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hessoit-my.sharepoint.com/personal/thomas_jusselme_hes-so_ch/Documents/04.Mandats/08.BFFSA_Climat/04.Développements/WP1.5/CahierDesCharges_partage/CarbonBudget/"/>
    </mc:Choice>
  </mc:AlternateContent>
  <xr:revisionPtr revIDLastSave="83" documentId="8_{1D17B058-FCCC-450D-9CCD-441F58757D37}" xr6:coauthVersionLast="47" xr6:coauthVersionMax="47" xr10:uidLastSave="{93DECD3F-DDAF-4E18-A3B7-A87449462B29}"/>
  <bookViews>
    <workbookView xWindow="-108" yWindow="-108" windowWidth="23256" windowHeight="12576" firstSheet="3" activeTab="6" xr2:uid="{00000000-000D-0000-FFFF-FFFF00000000}"/>
  </bookViews>
  <sheets>
    <sheet name="Introduction_EN" sheetId="13" state="hidden" r:id="rId1"/>
    <sheet name="Introduction_FR" sheetId="16" r:id="rId2"/>
    <sheet name="Intro_Cycle de Vie" sheetId="20" state="hidden" r:id="rId3"/>
    <sheet name="Outil Cibles" sheetId="6" r:id="rId4"/>
    <sheet name="Background graphCON (2)" sheetId="18" state="hidden" r:id="rId5"/>
    <sheet name="Budget statique équivalent" sheetId="23" r:id="rId6"/>
    <sheet name="EssentielTrack" sheetId="21" r:id="rId7"/>
    <sheet name="Swiss Climate Strategy" sheetId="2" state="hidden" r:id="rId8"/>
    <sheet name="Swiss Climate Strategy splitCat" sheetId="22" state="hidden" r:id="rId9"/>
    <sheet name="Surfaces_ratios" sheetId="17" state="hidden" r:id="rId10"/>
    <sheet name="Background graphCON" sheetId="8" state="hidden" r:id="rId11"/>
    <sheet name="Background graphEXPL_CH" sheetId="10" state="hidden" r:id="rId12"/>
    <sheet name="Background graphEXPL_1.5" sheetId="14" state="hidden" r:id="rId13"/>
    <sheet name="Background cumul_CH" sheetId="11" state="hidden" r:id="rId14"/>
    <sheet name="Background cumul_1.5" sheetId="15" state="hidden" r:id="rId15"/>
    <sheet name="Global-Swiss Carbon Budgets" sheetId="1" state="hidden" r:id="rId16"/>
    <sheet name="Surfaces" sheetId="5" state="hidden" r:id="rId17"/>
    <sheet name="Industry details" sheetId="7" state="hidden" r:id="rId18"/>
    <sheet name="1.5°C" sheetId="3" state="hidden" r:id="rId19"/>
    <sheet name="2°C" sheetId="4" state="hidden" r:id="rId20"/>
    <sheet name="CHECK" sheetId="9" state="hidden" r:id="rId21"/>
    <sheet name="Feuil1" sheetId="12" state="hidden"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7" i="2" l="1"/>
  <c r="E5" i="23"/>
  <c r="F5" i="23"/>
  <c r="G5" i="23"/>
  <c r="G15" i="23" s="1"/>
  <c r="H5" i="23"/>
  <c r="I5" i="23"/>
  <c r="I22" i="23" s="1"/>
  <c r="J5" i="23"/>
  <c r="J22" i="23" s="1"/>
  <c r="K5" i="23"/>
  <c r="K12" i="23" s="1"/>
  <c r="L5" i="23"/>
  <c r="L12" i="23" s="1"/>
  <c r="M5" i="23"/>
  <c r="M12" i="23" s="1"/>
  <c r="E6" i="23"/>
  <c r="E22" i="23" s="1"/>
  <c r="F6" i="23"/>
  <c r="G6" i="23"/>
  <c r="H6" i="23"/>
  <c r="H22" i="23" s="1"/>
  <c r="I6" i="23"/>
  <c r="I12" i="23" s="1"/>
  <c r="J6" i="23"/>
  <c r="J21" i="23" s="1"/>
  <c r="J23" i="23" s="1"/>
  <c r="K6" i="23"/>
  <c r="K14" i="23" s="1"/>
  <c r="L6" i="23"/>
  <c r="Y6" i="23" s="1"/>
  <c r="M6" i="23"/>
  <c r="Z6" i="23" s="1"/>
  <c r="Z16" i="23" s="1"/>
  <c r="E7" i="23"/>
  <c r="E14" i="23" s="1"/>
  <c r="F7" i="23"/>
  <c r="F13" i="23" s="1"/>
  <c r="G7" i="23"/>
  <c r="H7" i="23"/>
  <c r="I7" i="23"/>
  <c r="V7" i="23" s="1"/>
  <c r="J7" i="23"/>
  <c r="K7" i="23"/>
  <c r="X7" i="23" s="1"/>
  <c r="L7" i="23"/>
  <c r="Y7" i="23" s="1"/>
  <c r="M7" i="23"/>
  <c r="E8" i="23"/>
  <c r="F8" i="23"/>
  <c r="G8" i="23"/>
  <c r="H8" i="23"/>
  <c r="I8" i="23"/>
  <c r="J8" i="23"/>
  <c r="K8" i="23"/>
  <c r="X8" i="23" s="1"/>
  <c r="L8" i="23"/>
  <c r="Y8" i="23" s="1"/>
  <c r="M8" i="23"/>
  <c r="Z8" i="23" s="1"/>
  <c r="D8" i="23"/>
  <c r="D7" i="23"/>
  <c r="Q7" i="23" s="1"/>
  <c r="D6" i="23"/>
  <c r="D22" i="23" s="1"/>
  <c r="D5" i="23"/>
  <c r="U17" i="23"/>
  <c r="M22" i="23"/>
  <c r="L22" i="23"/>
  <c r="K22" i="23"/>
  <c r="G21" i="23"/>
  <c r="M15" i="23"/>
  <c r="L15" i="23"/>
  <c r="K15" i="23"/>
  <c r="J15" i="23"/>
  <c r="I15" i="23"/>
  <c r="H15" i="23"/>
  <c r="H14" i="23"/>
  <c r="K13" i="23"/>
  <c r="J13" i="23"/>
  <c r="I13" i="23"/>
  <c r="H13" i="23"/>
  <c r="G13" i="23"/>
  <c r="G12" i="23"/>
  <c r="J11" i="23"/>
  <c r="I11" i="23"/>
  <c r="H11" i="23"/>
  <c r="G11" i="23"/>
  <c r="E11" i="23"/>
  <c r="C73" i="23"/>
  <c r="C72" i="23"/>
  <c r="C71" i="23"/>
  <c r="C68" i="23"/>
  <c r="C67" i="23"/>
  <c r="C63" i="23"/>
  <c r="C62" i="23"/>
  <c r="W8" i="23"/>
  <c r="V8" i="23"/>
  <c r="U8" i="23"/>
  <c r="T8" i="23"/>
  <c r="S8" i="23"/>
  <c r="R8" i="23"/>
  <c r="Q8" i="23"/>
  <c r="Z7" i="23"/>
  <c r="W7" i="23"/>
  <c r="U7" i="23"/>
  <c r="T7" i="23"/>
  <c r="U6" i="23"/>
  <c r="U21" i="23" s="1"/>
  <c r="T6" i="23"/>
  <c r="S6" i="23"/>
  <c r="R6" i="23"/>
  <c r="R21" i="23" s="1"/>
  <c r="Z5" i="23"/>
  <c r="Y5" i="23"/>
  <c r="X5" i="23"/>
  <c r="U5" i="23"/>
  <c r="U16" i="23" s="1"/>
  <c r="S5" i="23"/>
  <c r="R5" i="23"/>
  <c r="Q5" i="23"/>
  <c r="E22" i="6"/>
  <c r="F22" i="6"/>
  <c r="G22" i="6"/>
  <c r="H22" i="6"/>
  <c r="I22" i="6"/>
  <c r="J22" i="6"/>
  <c r="K22" i="6"/>
  <c r="L22" i="6"/>
  <c r="M22" i="6"/>
  <c r="D22" i="6"/>
  <c r="E21" i="6"/>
  <c r="F21" i="6"/>
  <c r="G21" i="6"/>
  <c r="H21" i="6"/>
  <c r="I21" i="6"/>
  <c r="J21" i="6"/>
  <c r="K21" i="6"/>
  <c r="L21" i="6"/>
  <c r="M21" i="6"/>
  <c r="D21" i="6"/>
  <c r="E15" i="6"/>
  <c r="F15" i="6"/>
  <c r="G15" i="6"/>
  <c r="H15" i="6"/>
  <c r="I15" i="6"/>
  <c r="J15" i="6"/>
  <c r="K15" i="6"/>
  <c r="L15" i="6"/>
  <c r="M15" i="6"/>
  <c r="D15" i="6"/>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E14" i="6"/>
  <c r="F14" i="6"/>
  <c r="G14" i="6"/>
  <c r="H14" i="6"/>
  <c r="I14" i="6"/>
  <c r="J14" i="6"/>
  <c r="K14" i="6"/>
  <c r="L14" i="6"/>
  <c r="M14" i="6"/>
  <c r="D14" i="6"/>
  <c r="E13" i="6"/>
  <c r="F13" i="6"/>
  <c r="G13" i="6"/>
  <c r="H13" i="6"/>
  <c r="I13" i="6"/>
  <c r="J13" i="6"/>
  <c r="K13" i="6"/>
  <c r="L13" i="6"/>
  <c r="M13" i="6"/>
  <c r="D13" i="6"/>
  <c r="E12" i="6"/>
  <c r="F12" i="6"/>
  <c r="G12" i="6"/>
  <c r="H12" i="6"/>
  <c r="I12" i="6"/>
  <c r="J12" i="6"/>
  <c r="K12" i="6"/>
  <c r="L12" i="6"/>
  <c r="M12" i="6"/>
  <c r="D12" i="6"/>
  <c r="E11" i="6"/>
  <c r="F11" i="6"/>
  <c r="G11" i="6"/>
  <c r="H11" i="6"/>
  <c r="I11" i="6"/>
  <c r="J11" i="6"/>
  <c r="K11" i="6"/>
  <c r="L11" i="6"/>
  <c r="M11" i="6"/>
  <c r="D11" i="6"/>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109" i="2"/>
  <c r="N110" i="2"/>
  <c r="N111" i="2"/>
  <c r="N112" i="2"/>
  <c r="N113" i="2"/>
  <c r="N114" i="2"/>
  <c r="N115" i="2"/>
  <c r="N116" i="2"/>
  <c r="N117" i="2"/>
  <c r="N37" i="2"/>
  <c r="Y16" i="23" l="1"/>
  <c r="Z21" i="23"/>
  <c r="S16" i="23"/>
  <c r="S11" i="23"/>
  <c r="G23" i="23"/>
  <c r="W6" i="23"/>
  <c r="M11" i="23"/>
  <c r="M16" i="23" s="1"/>
  <c r="F14" i="23"/>
  <c r="H21" i="23"/>
  <c r="H23" i="23" s="1"/>
  <c r="Y17" i="23"/>
  <c r="X6" i="23"/>
  <c r="X21" i="23" s="1"/>
  <c r="E12" i="23"/>
  <c r="E16" i="23" s="1"/>
  <c r="E17" i="23" s="1"/>
  <c r="G14" i="23"/>
  <c r="G16" i="23" s="1"/>
  <c r="I21" i="23"/>
  <c r="I23" i="23" s="1"/>
  <c r="Z17" i="23"/>
  <c r="E21" i="23"/>
  <c r="E23" i="23" s="1"/>
  <c r="K11" i="23"/>
  <c r="K16" i="23" s="1"/>
  <c r="F21" i="23"/>
  <c r="F23" i="23" s="1"/>
  <c r="I14" i="23"/>
  <c r="I16" i="23" s="1"/>
  <c r="K21" i="23"/>
  <c r="K23" i="23" s="1"/>
  <c r="Z11" i="23"/>
  <c r="S21" i="23"/>
  <c r="R7" i="23"/>
  <c r="R17" i="23" s="1"/>
  <c r="H12" i="23"/>
  <c r="H16" i="23" s="1"/>
  <c r="J14" i="23"/>
  <c r="L21" i="23"/>
  <c r="L23" i="23" s="1"/>
  <c r="F11" i="23"/>
  <c r="Y11" i="23"/>
  <c r="L14" i="23"/>
  <c r="M14" i="23"/>
  <c r="F22" i="23"/>
  <c r="T5" i="23"/>
  <c r="E15" i="23"/>
  <c r="G22" i="23"/>
  <c r="M13" i="23"/>
  <c r="U11" i="23"/>
  <c r="S7" i="23"/>
  <c r="S17" i="23" s="1"/>
  <c r="M21" i="23"/>
  <c r="M23" i="23" s="1"/>
  <c r="J12" i="23"/>
  <c r="F15" i="23"/>
  <c r="Y21" i="23"/>
  <c r="V5" i="23"/>
  <c r="E13" i="23"/>
  <c r="L13" i="23"/>
  <c r="V6" i="23"/>
  <c r="L11" i="23"/>
  <c r="L16" i="23" s="1"/>
  <c r="F12" i="23"/>
  <c r="F16" i="23" s="1"/>
  <c r="F17" i="23" s="1"/>
  <c r="W5" i="23"/>
  <c r="D21" i="23"/>
  <c r="D23" i="23"/>
  <c r="D14" i="23"/>
  <c r="D12" i="23"/>
  <c r="Q6" i="23"/>
  <c r="Q16" i="23" s="1"/>
  <c r="Q18" i="23" s="1"/>
  <c r="D11" i="23"/>
  <c r="D13" i="23"/>
  <c r="D15" i="23"/>
  <c r="H18" i="23"/>
  <c r="H17" i="23"/>
  <c r="U18" i="23"/>
  <c r="Y18" i="23"/>
  <c r="Z18" i="23"/>
  <c r="S18" i="23"/>
  <c r="Q75" i="1"/>
  <c r="Q73" i="1"/>
  <c r="AF7" i="5"/>
  <c r="AG7" i="5"/>
  <c r="AH7" i="5"/>
  <c r="AI7" i="5"/>
  <c r="AJ7" i="5"/>
  <c r="AK7" i="5"/>
  <c r="AL7" i="5"/>
  <c r="AM7" i="5"/>
  <c r="AF8" i="5"/>
  <c r="AG8" i="5"/>
  <c r="AH8" i="5"/>
  <c r="AI8" i="5"/>
  <c r="AJ8" i="5"/>
  <c r="AK8" i="5"/>
  <c r="AL8" i="5"/>
  <c r="AM8" i="5"/>
  <c r="AF9" i="5"/>
  <c r="AG9" i="5"/>
  <c r="AH9" i="5"/>
  <c r="AI9" i="5"/>
  <c r="AJ9" i="5"/>
  <c r="AK9" i="5"/>
  <c r="AL9" i="5"/>
  <c r="AM9" i="5"/>
  <c r="AF10" i="5"/>
  <c r="AG10" i="5"/>
  <c r="AH10" i="5"/>
  <c r="AI10" i="5"/>
  <c r="AJ10" i="5"/>
  <c r="AK10" i="5"/>
  <c r="AL10" i="5"/>
  <c r="AM10" i="5"/>
  <c r="AF11" i="5"/>
  <c r="AG11" i="5"/>
  <c r="AH11" i="5"/>
  <c r="AI11" i="5"/>
  <c r="AJ11" i="5"/>
  <c r="AK11" i="5"/>
  <c r="AL11" i="5"/>
  <c r="AM11" i="5"/>
  <c r="AF12" i="5"/>
  <c r="AG12" i="5"/>
  <c r="AH12" i="5"/>
  <c r="AI12" i="5"/>
  <c r="AJ12" i="5"/>
  <c r="AK12" i="5"/>
  <c r="AL12" i="5"/>
  <c r="AM12" i="5"/>
  <c r="AF13" i="5"/>
  <c r="AG13" i="5"/>
  <c r="AH13" i="5"/>
  <c r="AI13" i="5"/>
  <c r="AJ13" i="5"/>
  <c r="AK13" i="5"/>
  <c r="AL13" i="5"/>
  <c r="AM13" i="5"/>
  <c r="AF14" i="5"/>
  <c r="AG14" i="5"/>
  <c r="AH14" i="5"/>
  <c r="AI14" i="5"/>
  <c r="AJ14" i="5"/>
  <c r="AK14" i="5"/>
  <c r="AL14" i="5"/>
  <c r="AM14" i="5"/>
  <c r="AF15" i="5"/>
  <c r="AG15" i="5"/>
  <c r="AH15" i="5"/>
  <c r="AI15" i="5"/>
  <c r="AJ15" i="5"/>
  <c r="AK15" i="5"/>
  <c r="AL15" i="5"/>
  <c r="AM15" i="5"/>
  <c r="AF16" i="5"/>
  <c r="AG16" i="5"/>
  <c r="AH16" i="5"/>
  <c r="AI16" i="5"/>
  <c r="AJ16" i="5"/>
  <c r="AK16" i="5"/>
  <c r="AL16" i="5"/>
  <c r="AM16" i="5"/>
  <c r="AF17" i="5"/>
  <c r="AG17" i="5"/>
  <c r="AH17" i="5"/>
  <c r="AI17" i="5"/>
  <c r="AJ17" i="5"/>
  <c r="AK17" i="5"/>
  <c r="AL17" i="5"/>
  <c r="AM17" i="5"/>
  <c r="AF18" i="5"/>
  <c r="AG18" i="5"/>
  <c r="AH18" i="5"/>
  <c r="AI18" i="5"/>
  <c r="AJ18" i="5"/>
  <c r="AK18" i="5"/>
  <c r="AL18" i="5"/>
  <c r="AM18" i="5"/>
  <c r="AF19" i="5"/>
  <c r="AG19" i="5"/>
  <c r="AH19" i="5"/>
  <c r="AI19" i="5"/>
  <c r="AJ19" i="5"/>
  <c r="AK19" i="5"/>
  <c r="AL19" i="5"/>
  <c r="AM19" i="5"/>
  <c r="AF20" i="5"/>
  <c r="AG20" i="5"/>
  <c r="AH20" i="5"/>
  <c r="AI20" i="5"/>
  <c r="AJ20" i="5"/>
  <c r="AK20" i="5"/>
  <c r="AL20" i="5"/>
  <c r="AM20" i="5"/>
  <c r="AF21" i="5"/>
  <c r="AG21" i="5"/>
  <c r="AH21" i="5"/>
  <c r="AI21" i="5"/>
  <c r="AJ21" i="5"/>
  <c r="AK21" i="5"/>
  <c r="AL21" i="5"/>
  <c r="AM21" i="5"/>
  <c r="AF22" i="5"/>
  <c r="AG22" i="5"/>
  <c r="AH22" i="5"/>
  <c r="AI22" i="5"/>
  <c r="AJ22" i="5"/>
  <c r="AK22" i="5"/>
  <c r="AL22" i="5"/>
  <c r="AM22" i="5"/>
  <c r="AF23" i="5"/>
  <c r="AG23" i="5"/>
  <c r="AH23" i="5"/>
  <c r="AI23" i="5"/>
  <c r="AJ23" i="5"/>
  <c r="AK23" i="5"/>
  <c r="AL23" i="5"/>
  <c r="AM23" i="5"/>
  <c r="AF24" i="5"/>
  <c r="AG24" i="5"/>
  <c r="AH24" i="5"/>
  <c r="AI24" i="5"/>
  <c r="AJ24" i="5"/>
  <c r="AK24" i="5"/>
  <c r="AL24" i="5"/>
  <c r="AM24" i="5"/>
  <c r="AF25" i="5"/>
  <c r="AG25" i="5"/>
  <c r="AH25" i="5"/>
  <c r="AI25" i="5"/>
  <c r="AJ25" i="5"/>
  <c r="AK25" i="5"/>
  <c r="AL25" i="5"/>
  <c r="AM25" i="5"/>
  <c r="AF26" i="5"/>
  <c r="AG26" i="5"/>
  <c r="AH26" i="5"/>
  <c r="AI26" i="5"/>
  <c r="AJ26" i="5"/>
  <c r="AK26" i="5"/>
  <c r="AL26" i="5"/>
  <c r="AM26" i="5"/>
  <c r="AF27" i="5"/>
  <c r="AG27" i="5"/>
  <c r="AH27" i="5"/>
  <c r="AI27" i="5"/>
  <c r="AJ27" i="5"/>
  <c r="AK27" i="5"/>
  <c r="AL27" i="5"/>
  <c r="AM27" i="5"/>
  <c r="AF28" i="5"/>
  <c r="AG28" i="5"/>
  <c r="AH28" i="5"/>
  <c r="AI28" i="5"/>
  <c r="AJ28" i="5"/>
  <c r="AK28" i="5"/>
  <c r="AL28" i="5"/>
  <c r="AM28" i="5"/>
  <c r="AF29" i="5"/>
  <c r="AG29" i="5"/>
  <c r="AH29" i="5"/>
  <c r="AI29" i="5"/>
  <c r="AJ29" i="5"/>
  <c r="AK29" i="5"/>
  <c r="AL29" i="5"/>
  <c r="AM29" i="5"/>
  <c r="AF30" i="5"/>
  <c r="AG30" i="5"/>
  <c r="AH30" i="5"/>
  <c r="AI30" i="5"/>
  <c r="AJ30" i="5"/>
  <c r="AK30" i="5"/>
  <c r="AL30" i="5"/>
  <c r="AM30" i="5"/>
  <c r="AF31" i="5"/>
  <c r="AG31" i="5"/>
  <c r="AH31" i="5"/>
  <c r="AI31" i="5"/>
  <c r="AJ31" i="5"/>
  <c r="AK31" i="5"/>
  <c r="AL31" i="5"/>
  <c r="AM31" i="5"/>
  <c r="AF32" i="5"/>
  <c r="AG32" i="5"/>
  <c r="AH32" i="5"/>
  <c r="AI32" i="5"/>
  <c r="AJ32" i="5"/>
  <c r="AK32" i="5"/>
  <c r="AL32" i="5"/>
  <c r="AM32" i="5"/>
  <c r="AF33" i="5"/>
  <c r="AG33" i="5"/>
  <c r="AH33" i="5"/>
  <c r="AI33" i="5"/>
  <c r="AJ33" i="5"/>
  <c r="AK33" i="5"/>
  <c r="AL33" i="5"/>
  <c r="AM33" i="5"/>
  <c r="AF34" i="5"/>
  <c r="AG34" i="5"/>
  <c r="AH34" i="5"/>
  <c r="AI34" i="5"/>
  <c r="AJ34" i="5"/>
  <c r="AK34" i="5"/>
  <c r="AL34" i="5"/>
  <c r="AM34" i="5"/>
  <c r="AF35" i="5"/>
  <c r="AG35" i="5"/>
  <c r="AH35" i="5"/>
  <c r="AI35" i="5"/>
  <c r="AJ35" i="5"/>
  <c r="AK35" i="5"/>
  <c r="AL35" i="5"/>
  <c r="AM35" i="5"/>
  <c r="AF36" i="5"/>
  <c r="AG36" i="5"/>
  <c r="AH36" i="5"/>
  <c r="AI36" i="5"/>
  <c r="AJ36" i="5"/>
  <c r="AK36" i="5"/>
  <c r="AL36" i="5"/>
  <c r="AM36" i="5"/>
  <c r="AF37" i="5"/>
  <c r="AG37" i="5"/>
  <c r="AH37" i="5"/>
  <c r="AI37" i="5"/>
  <c r="AJ37" i="5"/>
  <c r="AK37" i="5"/>
  <c r="AL37" i="5"/>
  <c r="AM37" i="5"/>
  <c r="AF38" i="5"/>
  <c r="AG38" i="5"/>
  <c r="AH38" i="5"/>
  <c r="AI38" i="5"/>
  <c r="AJ38" i="5"/>
  <c r="AK38" i="5"/>
  <c r="AL38" i="5"/>
  <c r="AM38" i="5"/>
  <c r="T49" i="5"/>
  <c r="S39" i="5"/>
  <c r="S40" i="5"/>
  <c r="S41" i="5"/>
  <c r="S42" i="5"/>
  <c r="S43" i="5"/>
  <c r="S44" i="5"/>
  <c r="S45" i="5"/>
  <c r="S46" i="5"/>
  <c r="S47" i="5"/>
  <c r="S4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8" i="5"/>
  <c r="N7" i="5"/>
  <c r="N8" i="5"/>
  <c r="N9" i="5" s="1"/>
  <c r="N10" i="5" s="1"/>
  <c r="N11" i="5" s="1"/>
  <c r="N12" i="5" s="1"/>
  <c r="N13" i="5" s="1"/>
  <c r="N14" i="5" s="1"/>
  <c r="N15" i="5" s="1"/>
  <c r="N16" i="5" s="1"/>
  <c r="N17" i="5" s="1"/>
  <c r="N18" i="5" s="1"/>
  <c r="N19" i="5" s="1"/>
  <c r="N20" i="5" s="1"/>
  <c r="N21" i="5" s="1"/>
  <c r="N22" i="5" s="1"/>
  <c r="N23" i="5" s="1"/>
  <c r="N24" i="5" s="1"/>
  <c r="N25" i="5" s="1"/>
  <c r="N26" i="5" s="1"/>
  <c r="N27" i="5" s="1"/>
  <c r="N28" i="5" s="1"/>
  <c r="N29" i="5" s="1"/>
  <c r="N30" i="5" s="1"/>
  <c r="N31" i="5" s="1"/>
  <c r="N32" i="5" s="1"/>
  <c r="N33" i="5" s="1"/>
  <c r="N34" i="5" s="1"/>
  <c r="N35" i="5" s="1"/>
  <c r="N36" i="5" s="1"/>
  <c r="N37" i="5" s="1"/>
  <c r="N38" i="5" s="1"/>
  <c r="N39" i="5" s="1"/>
  <c r="N40" i="5" s="1"/>
  <c r="N41" i="5" s="1"/>
  <c r="N42" i="5" s="1"/>
  <c r="N43" i="5" s="1"/>
  <c r="N44" i="5" s="1"/>
  <c r="N45" i="5" s="1"/>
  <c r="N46" i="5" s="1"/>
  <c r="N47" i="5" s="1"/>
  <c r="N48" i="5" s="1"/>
  <c r="N49" i="5" s="1"/>
  <c r="N50" i="5" s="1"/>
  <c r="N51" i="5" s="1"/>
  <c r="N52" i="5" s="1"/>
  <c r="N53" i="5" s="1"/>
  <c r="N54" i="5" s="1"/>
  <c r="N55" i="5" s="1"/>
  <c r="N56" i="5" s="1"/>
  <c r="N57" i="5" s="1"/>
  <c r="N58" i="5" s="1"/>
  <c r="N59" i="5" s="1"/>
  <c r="N60" i="5" s="1"/>
  <c r="N61" i="5" s="1"/>
  <c r="N62" i="5" s="1"/>
  <c r="N63" i="5" s="1"/>
  <c r="N64" i="5" s="1"/>
  <c r="N65" i="5" s="1"/>
  <c r="N66" i="5" s="1"/>
  <c r="N67" i="5" s="1"/>
  <c r="N68" i="5" s="1"/>
  <c r="N69" i="5" s="1"/>
  <c r="N70" i="5" s="1"/>
  <c r="N71" i="5" s="1"/>
  <c r="N72" i="5" s="1"/>
  <c r="N73" i="5" s="1"/>
  <c r="N74" i="5" s="1"/>
  <c r="N75" i="5" s="1"/>
  <c r="N76" i="5" s="1"/>
  <c r="N77" i="5" s="1"/>
  <c r="N78" i="5" s="1"/>
  <c r="N79" i="5" s="1"/>
  <c r="N80" i="5" s="1"/>
  <c r="N81" i="5" s="1"/>
  <c r="N82" i="5" s="1"/>
  <c r="N83" i="5" s="1"/>
  <c r="N84" i="5" s="1"/>
  <c r="N85" i="5" s="1"/>
  <c r="N86" i="5" s="1"/>
  <c r="N87" i="5" s="1"/>
  <c r="N88" i="5" s="1"/>
  <c r="AH6" i="5"/>
  <c r="AI6" i="5"/>
  <c r="AJ6" i="5"/>
  <c r="AK6" i="5"/>
  <c r="AL6" i="5"/>
  <c r="AM6" i="5"/>
  <c r="AG6" i="5"/>
  <c r="AF6" i="5"/>
  <c r="N6" i="5"/>
  <c r="G18" i="23" l="1"/>
  <c r="G17" i="23"/>
  <c r="I18" i="23"/>
  <c r="I17" i="23"/>
  <c r="K18" i="23"/>
  <c r="K17" i="23"/>
  <c r="M18" i="23"/>
  <c r="M17" i="23"/>
  <c r="L17" i="23"/>
  <c r="L18" i="23"/>
  <c r="F18" i="23"/>
  <c r="R16" i="23"/>
  <c r="R18" i="23" s="1"/>
  <c r="E18" i="23"/>
  <c r="J16" i="23"/>
  <c r="X11" i="23"/>
  <c r="X16" i="23"/>
  <c r="X18" i="23" s="1"/>
  <c r="X17" i="23"/>
  <c r="R11" i="23"/>
  <c r="T16" i="23"/>
  <c r="T18" i="23" s="1"/>
  <c r="Q27" i="23" s="1"/>
  <c r="T11" i="23"/>
  <c r="T21" i="23"/>
  <c r="T17" i="23"/>
  <c r="W16" i="23"/>
  <c r="W18" i="23" s="1"/>
  <c r="W17" i="23"/>
  <c r="W21" i="23"/>
  <c r="W11" i="23"/>
  <c r="V17" i="23"/>
  <c r="V16" i="23"/>
  <c r="V18" i="23" s="1"/>
  <c r="V21" i="23"/>
  <c r="V11" i="23"/>
  <c r="Q17" i="23"/>
  <c r="Q11" i="23"/>
  <c r="Q21" i="23"/>
  <c r="D16" i="23"/>
  <c r="C68" i="6"/>
  <c r="C67" i="6"/>
  <c r="C63" i="6"/>
  <c r="C62" i="6"/>
  <c r="C73" i="6"/>
  <c r="C72" i="6"/>
  <c r="C71" i="6"/>
  <c r="AG6" i="8"/>
  <c r="AG7" i="8"/>
  <c r="AG8" i="8"/>
  <c r="AG9" i="8"/>
  <c r="AG10" i="8"/>
  <c r="AG11" i="8"/>
  <c r="AG12" i="8"/>
  <c r="AG13" i="8"/>
  <c r="AG14"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6" i="8"/>
  <c r="AG47" i="8"/>
  <c r="AG49" i="8"/>
  <c r="AG50" i="8"/>
  <c r="AG51" i="8"/>
  <c r="AG52"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5" i="8"/>
  <c r="AE6" i="8"/>
  <c r="AE7" i="8"/>
  <c r="AE8" i="8"/>
  <c r="AE9" i="8"/>
  <c r="AE10" i="8"/>
  <c r="AE11" i="8"/>
  <c r="AE12" i="8"/>
  <c r="AE13" i="8"/>
  <c r="AE14" i="8"/>
  <c r="AE15" i="8"/>
  <c r="AE16" i="8"/>
  <c r="AE17" i="8"/>
  <c r="AE18" i="8"/>
  <c r="AE19" i="8"/>
  <c r="AE20" i="8"/>
  <c r="AE21" i="8"/>
  <c r="AE22" i="8"/>
  <c r="AE23" i="8"/>
  <c r="AE24" i="8"/>
  <c r="AE25" i="8"/>
  <c r="AE26" i="8"/>
  <c r="AE27" i="8"/>
  <c r="AE28" i="8"/>
  <c r="AE29" i="8"/>
  <c r="AE30" i="8"/>
  <c r="AE31" i="8"/>
  <c r="AE32" i="8"/>
  <c r="AE33" i="8"/>
  <c r="AE34" i="8"/>
  <c r="AE36" i="8"/>
  <c r="AE37" i="8"/>
  <c r="AE39" i="8"/>
  <c r="AE40" i="8"/>
  <c r="AE41" i="8"/>
  <c r="AE42"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5" i="8"/>
  <c r="AC6" i="8"/>
  <c r="AC7" i="8"/>
  <c r="AC8" i="8"/>
  <c r="AC9" i="8"/>
  <c r="AC10" i="8"/>
  <c r="AC11" i="8"/>
  <c r="AC12" i="8"/>
  <c r="AC13" i="8"/>
  <c r="AC14" i="8"/>
  <c r="AC15" i="8"/>
  <c r="AC16" i="8"/>
  <c r="AC17" i="8"/>
  <c r="AC18" i="8"/>
  <c r="AC19" i="8"/>
  <c r="AC20" i="8"/>
  <c r="AC21" i="8"/>
  <c r="AC22" i="8"/>
  <c r="AC23" i="8"/>
  <c r="AC24" i="8"/>
  <c r="AC26" i="8"/>
  <c r="AC27" i="8"/>
  <c r="AC29" i="8"/>
  <c r="AC30" i="8"/>
  <c r="AC31" i="8"/>
  <c r="AC32" i="8"/>
  <c r="AC34"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C5" i="8"/>
  <c r="AA6" i="8"/>
  <c r="AA7" i="8"/>
  <c r="AA9" i="8"/>
  <c r="AA10" i="8"/>
  <c r="AA11" i="8"/>
  <c r="AA12" i="8"/>
  <c r="AA14" i="8"/>
  <c r="AA15" i="8"/>
  <c r="AA17" i="8"/>
  <c r="AA18" i="8"/>
  <c r="AA19" i="8"/>
  <c r="AA20" i="8"/>
  <c r="AA21" i="8"/>
  <c r="AA22" i="8"/>
  <c r="AA23" i="8"/>
  <c r="AA24" i="8"/>
  <c r="AA25" i="8"/>
  <c r="AA26" i="8"/>
  <c r="AA27" i="8"/>
  <c r="AA28" i="8"/>
  <c r="AA29" i="8"/>
  <c r="AA30" i="8"/>
  <c r="AA31" i="8"/>
  <c r="AA32" i="8"/>
  <c r="AA33" i="8"/>
  <c r="AA34" i="8"/>
  <c r="AA35" i="8"/>
  <c r="AA36" i="8"/>
  <c r="AA37" i="8"/>
  <c r="AA38" i="8"/>
  <c r="AA39" i="8"/>
  <c r="AA40" i="8"/>
  <c r="AA41" i="8"/>
  <c r="AA42" i="8"/>
  <c r="AA43" i="8"/>
  <c r="AA44" i="8"/>
  <c r="AA45" i="8"/>
  <c r="AA46" i="8"/>
  <c r="AA47" i="8"/>
  <c r="AA48" i="8"/>
  <c r="AA49" i="8"/>
  <c r="AA50" i="8"/>
  <c r="AA51" i="8"/>
  <c r="AA52" i="8"/>
  <c r="AA53" i="8"/>
  <c r="AA54" i="8"/>
  <c r="AA55" i="8"/>
  <c r="AA56" i="8"/>
  <c r="AA57" i="8"/>
  <c r="AA58" i="8"/>
  <c r="AA59" i="8"/>
  <c r="AA60" i="8"/>
  <c r="AA61" i="8"/>
  <c r="AA62" i="8"/>
  <c r="AA63" i="8"/>
  <c r="AA64" i="8"/>
  <c r="AA65" i="8"/>
  <c r="AA66" i="8"/>
  <c r="AA67" i="8"/>
  <c r="AA68" i="8"/>
  <c r="AA69" i="8"/>
  <c r="AA70" i="8"/>
  <c r="AA71" i="8"/>
  <c r="AA72" i="8"/>
  <c r="AA73" i="8"/>
  <c r="AA74" i="8"/>
  <c r="AA75" i="8"/>
  <c r="AA76" i="8"/>
  <c r="AA77" i="8"/>
  <c r="AA78" i="8"/>
  <c r="AA79" i="8"/>
  <c r="AA80" i="8"/>
  <c r="AA81" i="8"/>
  <c r="AA82" i="8"/>
  <c r="AA83" i="8"/>
  <c r="B14" i="8"/>
  <c r="C14" i="8"/>
  <c r="D14" i="8"/>
  <c r="E14" i="8"/>
  <c r="F14" i="8"/>
  <c r="G14" i="8"/>
  <c r="H14" i="8"/>
  <c r="I14" i="8"/>
  <c r="J14" i="8"/>
  <c r="K14" i="8"/>
  <c r="B15" i="8"/>
  <c r="C15" i="8"/>
  <c r="D15" i="8"/>
  <c r="E15" i="8"/>
  <c r="F15" i="8"/>
  <c r="G15" i="8"/>
  <c r="H15" i="8"/>
  <c r="I15" i="8"/>
  <c r="J15" i="8"/>
  <c r="K15" i="8"/>
  <c r="C16" i="8"/>
  <c r="D16" i="8"/>
  <c r="E16" i="8"/>
  <c r="F16" i="8"/>
  <c r="G16" i="8"/>
  <c r="H16" i="8"/>
  <c r="I16" i="8"/>
  <c r="J16" i="8"/>
  <c r="K16" i="8"/>
  <c r="B17" i="8"/>
  <c r="C17" i="8"/>
  <c r="D17" i="8"/>
  <c r="E17" i="8"/>
  <c r="F17" i="8"/>
  <c r="G17" i="8"/>
  <c r="H17" i="8"/>
  <c r="I17" i="8"/>
  <c r="J17" i="8"/>
  <c r="K17" i="8"/>
  <c r="B18" i="8"/>
  <c r="C18" i="8"/>
  <c r="D18" i="8"/>
  <c r="F18" i="8"/>
  <c r="G18" i="8"/>
  <c r="H18" i="8"/>
  <c r="I18" i="8"/>
  <c r="J18" i="8"/>
  <c r="K18" i="8"/>
  <c r="B19" i="8"/>
  <c r="C19" i="8"/>
  <c r="D19" i="8"/>
  <c r="E19" i="8"/>
  <c r="F19" i="8"/>
  <c r="G19" i="8"/>
  <c r="H19" i="8"/>
  <c r="I19" i="8"/>
  <c r="J19" i="8"/>
  <c r="K19" i="8"/>
  <c r="B20" i="8"/>
  <c r="C20" i="8"/>
  <c r="D20" i="8"/>
  <c r="E20" i="8"/>
  <c r="F20" i="8"/>
  <c r="G20" i="8"/>
  <c r="H20" i="8"/>
  <c r="I20" i="8"/>
  <c r="J20" i="8"/>
  <c r="K20" i="8"/>
  <c r="B21" i="8"/>
  <c r="C21" i="8"/>
  <c r="D21" i="8"/>
  <c r="E21" i="8"/>
  <c r="G21" i="8"/>
  <c r="H21" i="8"/>
  <c r="I21" i="8"/>
  <c r="J21" i="8"/>
  <c r="K21" i="8"/>
  <c r="B22" i="8"/>
  <c r="C22" i="8"/>
  <c r="D22" i="8"/>
  <c r="E22" i="8"/>
  <c r="F22" i="8"/>
  <c r="G22" i="8"/>
  <c r="H22" i="8"/>
  <c r="I22" i="8"/>
  <c r="J22" i="8"/>
  <c r="K22" i="8"/>
  <c r="B23" i="8"/>
  <c r="C23" i="8"/>
  <c r="D23" i="8"/>
  <c r="E23" i="8"/>
  <c r="F23" i="8"/>
  <c r="H23" i="8"/>
  <c r="I23" i="8"/>
  <c r="J23" i="8"/>
  <c r="K23" i="8"/>
  <c r="B24" i="8"/>
  <c r="C24" i="8"/>
  <c r="D24" i="8"/>
  <c r="E24" i="8"/>
  <c r="F24" i="8"/>
  <c r="G24" i="8"/>
  <c r="H24" i="8"/>
  <c r="I24" i="8"/>
  <c r="J24" i="8"/>
  <c r="K24" i="8"/>
  <c r="C25" i="8"/>
  <c r="D25" i="8"/>
  <c r="E25" i="8"/>
  <c r="F25" i="8"/>
  <c r="G25" i="8"/>
  <c r="I25" i="8"/>
  <c r="J25" i="8"/>
  <c r="K25" i="8"/>
  <c r="B26" i="8"/>
  <c r="C26" i="8"/>
  <c r="D26" i="8"/>
  <c r="E26" i="8"/>
  <c r="F26" i="8"/>
  <c r="G26" i="8"/>
  <c r="H26" i="8"/>
  <c r="I26" i="8"/>
  <c r="J26" i="8"/>
  <c r="K26" i="8"/>
  <c r="B27" i="8"/>
  <c r="C27" i="8"/>
  <c r="D27" i="8"/>
  <c r="E27" i="8"/>
  <c r="F27" i="8"/>
  <c r="G27" i="8"/>
  <c r="H27" i="8"/>
  <c r="J27" i="8"/>
  <c r="K27" i="8"/>
  <c r="C28" i="8"/>
  <c r="D28" i="8"/>
  <c r="E28" i="8"/>
  <c r="F28" i="8"/>
  <c r="G28" i="8"/>
  <c r="H28" i="8"/>
  <c r="I28" i="8"/>
  <c r="J28" i="8"/>
  <c r="K28" i="8"/>
  <c r="B29" i="8"/>
  <c r="D29" i="8"/>
  <c r="E29" i="8"/>
  <c r="F29" i="8"/>
  <c r="G29" i="8"/>
  <c r="H29" i="8"/>
  <c r="I29" i="8"/>
  <c r="J29" i="8"/>
  <c r="K29" i="8"/>
  <c r="B30" i="8"/>
  <c r="C30" i="8"/>
  <c r="D30" i="8"/>
  <c r="E30" i="8"/>
  <c r="F30" i="8"/>
  <c r="G30" i="8"/>
  <c r="H30" i="8"/>
  <c r="I30" i="8"/>
  <c r="J30" i="8"/>
  <c r="K30" i="8"/>
  <c r="B31" i="8"/>
  <c r="C31" i="8"/>
  <c r="D31" i="8"/>
  <c r="E31" i="8"/>
  <c r="F31" i="8"/>
  <c r="G31" i="8"/>
  <c r="H31" i="8"/>
  <c r="I31" i="8"/>
  <c r="K31" i="8"/>
  <c r="B32" i="8"/>
  <c r="C32" i="8"/>
  <c r="D32" i="8"/>
  <c r="E32" i="8"/>
  <c r="F32" i="8"/>
  <c r="G32" i="8"/>
  <c r="H32" i="8"/>
  <c r="I32" i="8"/>
  <c r="J32" i="8"/>
  <c r="K32" i="8"/>
  <c r="C33" i="8"/>
  <c r="E33" i="8"/>
  <c r="F33" i="8"/>
  <c r="G33" i="8"/>
  <c r="H33" i="8"/>
  <c r="I33" i="8"/>
  <c r="J33" i="8"/>
  <c r="B34" i="8"/>
  <c r="C34" i="8"/>
  <c r="D34" i="8"/>
  <c r="E34" i="8"/>
  <c r="F34" i="8"/>
  <c r="G34" i="8"/>
  <c r="H34" i="8"/>
  <c r="I34" i="8"/>
  <c r="J34" i="8"/>
  <c r="K34" i="8"/>
  <c r="C35" i="8"/>
  <c r="D35" i="8"/>
  <c r="E35" i="8"/>
  <c r="F35" i="8"/>
  <c r="G35" i="8"/>
  <c r="H35" i="8"/>
  <c r="I35" i="8"/>
  <c r="J35" i="8"/>
  <c r="K35" i="8"/>
  <c r="B36" i="8"/>
  <c r="C36" i="8"/>
  <c r="D36" i="8"/>
  <c r="E36" i="8"/>
  <c r="F36" i="8"/>
  <c r="G36" i="8"/>
  <c r="H36" i="8"/>
  <c r="I36" i="8"/>
  <c r="J36" i="8"/>
  <c r="K36" i="8"/>
  <c r="B37" i="8"/>
  <c r="C37" i="8"/>
  <c r="D37" i="8"/>
  <c r="E37" i="8"/>
  <c r="F37" i="8"/>
  <c r="G37" i="8"/>
  <c r="H37" i="8"/>
  <c r="I37" i="8"/>
  <c r="J37" i="8"/>
  <c r="K37" i="8"/>
  <c r="C38" i="8"/>
  <c r="D38" i="8"/>
  <c r="F38" i="8"/>
  <c r="G38" i="8"/>
  <c r="H38" i="8"/>
  <c r="I38" i="8"/>
  <c r="J38" i="8"/>
  <c r="K38" i="8"/>
  <c r="B39" i="8"/>
  <c r="D39" i="8"/>
  <c r="E39" i="8"/>
  <c r="F39" i="8"/>
  <c r="G39" i="8"/>
  <c r="H39" i="8"/>
  <c r="I39" i="8"/>
  <c r="J39" i="8"/>
  <c r="K39" i="8"/>
  <c r="B40" i="8"/>
  <c r="C40" i="8"/>
  <c r="D40" i="8"/>
  <c r="E40" i="8"/>
  <c r="F40" i="8"/>
  <c r="G40" i="8"/>
  <c r="H40" i="8"/>
  <c r="I40" i="8"/>
  <c r="J40" i="8"/>
  <c r="K40" i="8"/>
  <c r="B41" i="8"/>
  <c r="C41" i="8"/>
  <c r="D41" i="8"/>
  <c r="E41" i="8"/>
  <c r="G41" i="8"/>
  <c r="H41" i="8"/>
  <c r="I41" i="8"/>
  <c r="J41" i="8"/>
  <c r="K41" i="8"/>
  <c r="B42" i="8"/>
  <c r="C42" i="8"/>
  <c r="D42" i="8"/>
  <c r="E42" i="8"/>
  <c r="F42" i="8"/>
  <c r="G42" i="8"/>
  <c r="H42" i="8"/>
  <c r="I42" i="8"/>
  <c r="J42" i="8"/>
  <c r="K42" i="8"/>
  <c r="C43" i="8"/>
  <c r="E43" i="8"/>
  <c r="F43" i="8"/>
  <c r="H43" i="8"/>
  <c r="I43" i="8"/>
  <c r="J43" i="8"/>
  <c r="K43" i="8"/>
  <c r="B44" i="8"/>
  <c r="C44" i="8"/>
  <c r="D44" i="8"/>
  <c r="E44" i="8"/>
  <c r="F44" i="8"/>
  <c r="G44" i="8"/>
  <c r="H44" i="8"/>
  <c r="I44" i="8"/>
  <c r="J44" i="8"/>
  <c r="K44" i="8"/>
  <c r="C45" i="8"/>
  <c r="D45" i="8"/>
  <c r="E45" i="8"/>
  <c r="F45" i="8"/>
  <c r="G45" i="8"/>
  <c r="I45" i="8"/>
  <c r="J45" i="8"/>
  <c r="K45" i="8"/>
  <c r="B46" i="8"/>
  <c r="C46" i="8"/>
  <c r="D46" i="8"/>
  <c r="E46" i="8"/>
  <c r="F46" i="8"/>
  <c r="G46" i="8"/>
  <c r="H46" i="8"/>
  <c r="I46" i="8"/>
  <c r="J46" i="8"/>
  <c r="K46" i="8"/>
  <c r="B47" i="8"/>
  <c r="C47" i="8"/>
  <c r="D47" i="8"/>
  <c r="E47" i="8"/>
  <c r="F47" i="8"/>
  <c r="G47" i="8"/>
  <c r="H47" i="8"/>
  <c r="J47" i="8"/>
  <c r="K47" i="8"/>
  <c r="C48" i="8"/>
  <c r="D48" i="8"/>
  <c r="F48" i="8"/>
  <c r="G48" i="8"/>
  <c r="H48" i="8"/>
  <c r="I48" i="8"/>
  <c r="J48" i="8"/>
  <c r="K48" i="8"/>
  <c r="B49" i="8"/>
  <c r="D49" i="8"/>
  <c r="E49" i="8"/>
  <c r="F49" i="8"/>
  <c r="G49" i="8"/>
  <c r="H49" i="8"/>
  <c r="I49" i="8"/>
  <c r="J49" i="8"/>
  <c r="K49" i="8"/>
  <c r="B50" i="8"/>
  <c r="C50" i="8"/>
  <c r="D50" i="8"/>
  <c r="E50" i="8"/>
  <c r="F50" i="8"/>
  <c r="G50" i="8"/>
  <c r="H50" i="8"/>
  <c r="I50" i="8"/>
  <c r="J50" i="8"/>
  <c r="K50" i="8"/>
  <c r="B51" i="8"/>
  <c r="C51" i="8"/>
  <c r="D51" i="8"/>
  <c r="E51" i="8"/>
  <c r="G51" i="8"/>
  <c r="H51" i="8"/>
  <c r="I51" i="8"/>
  <c r="K51" i="8"/>
  <c r="B52" i="8"/>
  <c r="C52" i="8"/>
  <c r="D52" i="8"/>
  <c r="E52" i="8"/>
  <c r="F52" i="8"/>
  <c r="G52" i="8"/>
  <c r="H52" i="8"/>
  <c r="I52" i="8"/>
  <c r="J52" i="8"/>
  <c r="K52" i="8"/>
  <c r="C53" i="8"/>
  <c r="E53" i="8"/>
  <c r="F53" i="8"/>
  <c r="H53" i="8"/>
  <c r="I53" i="8"/>
  <c r="J53" i="8"/>
  <c r="B54" i="8"/>
  <c r="C54" i="8"/>
  <c r="D54" i="8"/>
  <c r="E54" i="8"/>
  <c r="F54" i="8"/>
  <c r="G54" i="8"/>
  <c r="H54" i="8"/>
  <c r="I54" i="8"/>
  <c r="J54" i="8"/>
  <c r="K54" i="8"/>
  <c r="B55" i="8"/>
  <c r="C55" i="8"/>
  <c r="D55" i="8"/>
  <c r="E55" i="8"/>
  <c r="F55" i="8"/>
  <c r="G55" i="8"/>
  <c r="I55" i="8"/>
  <c r="J55" i="8"/>
  <c r="K55" i="8"/>
  <c r="B56" i="8"/>
  <c r="C56" i="8"/>
  <c r="D56" i="8"/>
  <c r="E56" i="8"/>
  <c r="F56" i="8"/>
  <c r="G56" i="8"/>
  <c r="H56" i="8"/>
  <c r="I56" i="8"/>
  <c r="J56" i="8"/>
  <c r="K56" i="8"/>
  <c r="B57" i="8"/>
  <c r="C57" i="8"/>
  <c r="D57" i="8"/>
  <c r="E57" i="8"/>
  <c r="F57" i="8"/>
  <c r="G57" i="8"/>
  <c r="H57" i="8"/>
  <c r="J57" i="8"/>
  <c r="K57" i="8"/>
  <c r="B58" i="8"/>
  <c r="C58" i="8"/>
  <c r="D58" i="8"/>
  <c r="F58" i="8"/>
  <c r="G58" i="8"/>
  <c r="H58" i="8"/>
  <c r="I58" i="8"/>
  <c r="J58" i="8"/>
  <c r="K58" i="8"/>
  <c r="B59" i="8"/>
  <c r="C59" i="8"/>
  <c r="D59" i="8"/>
  <c r="E59" i="8"/>
  <c r="F59" i="8"/>
  <c r="G59" i="8"/>
  <c r="H59" i="8"/>
  <c r="I59" i="8"/>
  <c r="J59" i="8"/>
  <c r="K59" i="8"/>
  <c r="B60" i="8"/>
  <c r="C60" i="8"/>
  <c r="D60" i="8"/>
  <c r="E60" i="8"/>
  <c r="F60" i="8"/>
  <c r="G60" i="8"/>
  <c r="H60" i="8"/>
  <c r="I60" i="8"/>
  <c r="J60" i="8"/>
  <c r="K60" i="8"/>
  <c r="B61" i="8"/>
  <c r="C61" i="8"/>
  <c r="D61" i="8"/>
  <c r="E61" i="8"/>
  <c r="G61" i="8"/>
  <c r="H61" i="8"/>
  <c r="I61" i="8"/>
  <c r="K61" i="8"/>
  <c r="B62" i="8"/>
  <c r="C62" i="8"/>
  <c r="D62" i="8"/>
  <c r="E62" i="8"/>
  <c r="F62" i="8"/>
  <c r="G62" i="8"/>
  <c r="H62" i="8"/>
  <c r="I62" i="8"/>
  <c r="J62" i="8"/>
  <c r="K62" i="8"/>
  <c r="B63" i="8"/>
  <c r="C63" i="8"/>
  <c r="D63" i="8"/>
  <c r="E63" i="8"/>
  <c r="F63" i="8"/>
  <c r="H63" i="8"/>
  <c r="I63" i="8"/>
  <c r="J63" i="8"/>
  <c r="B64" i="8"/>
  <c r="C64" i="8"/>
  <c r="D64" i="8"/>
  <c r="E64" i="8"/>
  <c r="F64" i="8"/>
  <c r="G64" i="8"/>
  <c r="H64" i="8"/>
  <c r="I64" i="8"/>
  <c r="J64" i="8"/>
  <c r="K64" i="8"/>
  <c r="B65" i="8"/>
  <c r="C65" i="8"/>
  <c r="D65" i="8"/>
  <c r="E65" i="8"/>
  <c r="F65" i="8"/>
  <c r="G65" i="8"/>
  <c r="I65" i="8"/>
  <c r="J65" i="8"/>
  <c r="K65" i="8"/>
  <c r="B66" i="8"/>
  <c r="C66" i="8"/>
  <c r="D66" i="8"/>
  <c r="E66" i="8"/>
  <c r="F66" i="8"/>
  <c r="G66" i="8"/>
  <c r="H66" i="8"/>
  <c r="I66" i="8"/>
  <c r="J66" i="8"/>
  <c r="K66" i="8"/>
  <c r="B67" i="8"/>
  <c r="C67" i="8"/>
  <c r="D67" i="8"/>
  <c r="E67" i="8"/>
  <c r="F67" i="8"/>
  <c r="G67" i="8"/>
  <c r="H67" i="8"/>
  <c r="J67" i="8"/>
  <c r="K67" i="8"/>
  <c r="B68" i="8"/>
  <c r="C68" i="8"/>
  <c r="D68" i="8"/>
  <c r="E68" i="8"/>
  <c r="F68" i="8"/>
  <c r="G68" i="8"/>
  <c r="H68" i="8"/>
  <c r="I68" i="8"/>
  <c r="J68" i="8"/>
  <c r="K68" i="8"/>
  <c r="B69" i="8"/>
  <c r="C69" i="8"/>
  <c r="D69" i="8"/>
  <c r="E69" i="8"/>
  <c r="F69" i="8"/>
  <c r="G69" i="8"/>
  <c r="H69" i="8"/>
  <c r="I69" i="8"/>
  <c r="J69" i="8"/>
  <c r="K69" i="8"/>
  <c r="B70" i="8"/>
  <c r="C70" i="8"/>
  <c r="D70" i="8"/>
  <c r="E70" i="8"/>
  <c r="F70" i="8"/>
  <c r="G70" i="8"/>
  <c r="H70" i="8"/>
  <c r="I70" i="8"/>
  <c r="J70" i="8"/>
  <c r="K70" i="8"/>
  <c r="B71" i="8"/>
  <c r="C71" i="8"/>
  <c r="D71" i="8"/>
  <c r="E71" i="8"/>
  <c r="F71" i="8"/>
  <c r="G71" i="8"/>
  <c r="H71" i="8"/>
  <c r="I71" i="8"/>
  <c r="K71" i="8"/>
  <c r="B72" i="8"/>
  <c r="C72" i="8"/>
  <c r="D72" i="8"/>
  <c r="E72" i="8"/>
  <c r="F72" i="8"/>
  <c r="G72" i="8"/>
  <c r="H72" i="8"/>
  <c r="I72" i="8"/>
  <c r="J72" i="8"/>
  <c r="K72" i="8"/>
  <c r="B73" i="8"/>
  <c r="C73" i="8"/>
  <c r="D73" i="8"/>
  <c r="E73" i="8"/>
  <c r="F73" i="8"/>
  <c r="G73" i="8"/>
  <c r="H73" i="8"/>
  <c r="I73" i="8"/>
  <c r="J73" i="8"/>
  <c r="B74" i="8"/>
  <c r="C74" i="8"/>
  <c r="D74" i="8"/>
  <c r="E74" i="8"/>
  <c r="F74" i="8"/>
  <c r="G74" i="8"/>
  <c r="H74" i="8"/>
  <c r="I74" i="8"/>
  <c r="J74" i="8"/>
  <c r="K74" i="8"/>
  <c r="B75" i="8"/>
  <c r="C75" i="8"/>
  <c r="D75" i="8"/>
  <c r="E75" i="8"/>
  <c r="F75" i="8"/>
  <c r="G75" i="8"/>
  <c r="H75" i="8"/>
  <c r="I75" i="8"/>
  <c r="J75" i="8"/>
  <c r="K75" i="8"/>
  <c r="B76" i="8"/>
  <c r="C76" i="8"/>
  <c r="D76" i="8"/>
  <c r="E76" i="8"/>
  <c r="F76" i="8"/>
  <c r="G76" i="8"/>
  <c r="H76" i="8"/>
  <c r="I76" i="8"/>
  <c r="J76" i="8"/>
  <c r="K76" i="8"/>
  <c r="B77" i="8"/>
  <c r="C77" i="8"/>
  <c r="D77" i="8"/>
  <c r="E77" i="8"/>
  <c r="F77" i="8"/>
  <c r="G77" i="8"/>
  <c r="H77" i="8"/>
  <c r="I77" i="8"/>
  <c r="J77" i="8"/>
  <c r="K77" i="8"/>
  <c r="B78" i="8"/>
  <c r="C78" i="8"/>
  <c r="D78" i="8"/>
  <c r="E78" i="8"/>
  <c r="F78" i="8"/>
  <c r="G78" i="8"/>
  <c r="H78" i="8"/>
  <c r="I78" i="8"/>
  <c r="J78" i="8"/>
  <c r="K78" i="8"/>
  <c r="B79" i="8"/>
  <c r="C79" i="8"/>
  <c r="D79" i="8"/>
  <c r="E79" i="8"/>
  <c r="F79" i="8"/>
  <c r="G79" i="8"/>
  <c r="H79" i="8"/>
  <c r="I79" i="8"/>
  <c r="J79" i="8"/>
  <c r="K79" i="8"/>
  <c r="B80" i="8"/>
  <c r="C80" i="8"/>
  <c r="D80" i="8"/>
  <c r="E80" i="8"/>
  <c r="F80" i="8"/>
  <c r="G80" i="8"/>
  <c r="H80" i="8"/>
  <c r="I80" i="8"/>
  <c r="J80" i="8"/>
  <c r="K80" i="8"/>
  <c r="B81" i="8"/>
  <c r="C81" i="8"/>
  <c r="D81" i="8"/>
  <c r="E81" i="8"/>
  <c r="F81" i="8"/>
  <c r="G81" i="8"/>
  <c r="H81" i="8"/>
  <c r="I81" i="8"/>
  <c r="J81" i="8"/>
  <c r="K81" i="8"/>
  <c r="B82" i="8"/>
  <c r="C82" i="8"/>
  <c r="D82" i="8"/>
  <c r="E82" i="8"/>
  <c r="F82" i="8"/>
  <c r="G82" i="8"/>
  <c r="H82" i="8"/>
  <c r="I82" i="8"/>
  <c r="J82" i="8"/>
  <c r="K82" i="8"/>
  <c r="B83" i="8"/>
  <c r="C83" i="8"/>
  <c r="D83" i="8"/>
  <c r="E83" i="8"/>
  <c r="F83" i="8"/>
  <c r="G83" i="8"/>
  <c r="H83" i="8"/>
  <c r="I83" i="8"/>
  <c r="J83" i="8"/>
  <c r="K83" i="8"/>
  <c r="B10" i="8"/>
  <c r="C10" i="8"/>
  <c r="D10" i="8"/>
  <c r="E10" i="8"/>
  <c r="F10" i="8"/>
  <c r="G10" i="8"/>
  <c r="H10" i="8"/>
  <c r="I10" i="8"/>
  <c r="J10" i="8"/>
  <c r="K10" i="8"/>
  <c r="B11" i="8"/>
  <c r="C11" i="8"/>
  <c r="D11" i="8"/>
  <c r="E11" i="8"/>
  <c r="F11" i="8"/>
  <c r="G11" i="8"/>
  <c r="H11" i="8"/>
  <c r="I11" i="8"/>
  <c r="J11" i="8"/>
  <c r="K11" i="8"/>
  <c r="B12" i="8"/>
  <c r="C12" i="8"/>
  <c r="D12" i="8"/>
  <c r="E12" i="8"/>
  <c r="F12" i="8"/>
  <c r="G12" i="8"/>
  <c r="H12" i="8"/>
  <c r="I12" i="8"/>
  <c r="J12" i="8"/>
  <c r="K12" i="8"/>
  <c r="C13" i="8"/>
  <c r="E13" i="8"/>
  <c r="F13" i="8"/>
  <c r="G13" i="8"/>
  <c r="H13" i="8"/>
  <c r="I13" i="8"/>
  <c r="J13" i="8"/>
  <c r="K13" i="8"/>
  <c r="B6" i="8"/>
  <c r="C6" i="8"/>
  <c r="D6" i="8"/>
  <c r="E6" i="8"/>
  <c r="F6" i="8"/>
  <c r="G6" i="8"/>
  <c r="H6" i="8"/>
  <c r="I6" i="8"/>
  <c r="J6" i="8"/>
  <c r="K6" i="8"/>
  <c r="B7" i="8"/>
  <c r="C7" i="8"/>
  <c r="D7" i="8"/>
  <c r="E7" i="8"/>
  <c r="F7" i="8"/>
  <c r="G7" i="8"/>
  <c r="H7" i="8"/>
  <c r="I7" i="8"/>
  <c r="J7" i="8"/>
  <c r="K7" i="8"/>
  <c r="C8" i="8"/>
  <c r="D8" i="8"/>
  <c r="E8" i="8"/>
  <c r="F8" i="8"/>
  <c r="G8" i="8"/>
  <c r="H8" i="8"/>
  <c r="I8" i="8"/>
  <c r="J8" i="8"/>
  <c r="K8" i="8"/>
  <c r="B9" i="8"/>
  <c r="D9" i="8"/>
  <c r="E9" i="8"/>
  <c r="F9" i="8"/>
  <c r="G9" i="8"/>
  <c r="H9" i="8"/>
  <c r="I9" i="8"/>
  <c r="J9" i="8"/>
  <c r="K9" i="8"/>
  <c r="C5" i="8"/>
  <c r="D5" i="8"/>
  <c r="E5" i="8"/>
  <c r="F5" i="8"/>
  <c r="G5" i="8"/>
  <c r="H5" i="8"/>
  <c r="I5" i="8"/>
  <c r="J5" i="8"/>
  <c r="K5" i="8"/>
  <c r="J18" i="23" l="1"/>
  <c r="J17" i="23"/>
  <c r="D18" i="23"/>
  <c r="D27" i="23" s="1"/>
  <c r="D17" i="23"/>
  <c r="L83" i="8"/>
  <c r="L75" i="8"/>
  <c r="L59" i="8"/>
  <c r="L81" i="8"/>
  <c r="L69" i="8"/>
  <c r="L37" i="8"/>
  <c r="L82" i="8"/>
  <c r="L80" i="8"/>
  <c r="L79" i="8"/>
  <c r="L78" i="8"/>
  <c r="L77" i="8"/>
  <c r="L76" i="8"/>
  <c r="L74" i="8"/>
  <c r="L72" i="8"/>
  <c r="L70" i="8"/>
  <c r="L68" i="8"/>
  <c r="L66" i="8"/>
  <c r="L64" i="8"/>
  <c r="L62" i="8"/>
  <c r="L60" i="8"/>
  <c r="L56" i="8"/>
  <c r="L54" i="8"/>
  <c r="L52" i="8"/>
  <c r="L50" i="8"/>
  <c r="L46" i="8"/>
  <c r="L44" i="8"/>
  <c r="L42" i="8"/>
  <c r="L40" i="8"/>
  <c r="L36" i="8"/>
  <c r="L34" i="8"/>
  <c r="L32" i="8"/>
  <c r="L30" i="8"/>
  <c r="L26" i="8"/>
  <c r="I67" i="2"/>
  <c r="F68" i="2"/>
  <c r="N68" i="2" s="1"/>
  <c r="E68" i="2"/>
  <c r="D13" i="21" l="1"/>
  <c r="E13" i="21"/>
  <c r="F13" i="21"/>
  <c r="G13" i="21"/>
  <c r="H13" i="21"/>
  <c r="I13" i="21"/>
  <c r="J13" i="21"/>
  <c r="K13" i="21"/>
  <c r="L13" i="21"/>
  <c r="C13" i="21"/>
  <c r="C12" i="21" l="1"/>
  <c r="R89" i="10"/>
  <c r="S89" i="10"/>
  <c r="T89" i="10"/>
  <c r="U89" i="10"/>
  <c r="P153" i="10"/>
  <c r="P154" i="10"/>
  <c r="P155" i="10"/>
  <c r="P156" i="10"/>
  <c r="P157" i="10"/>
  <c r="Q157" i="10"/>
  <c r="P158" i="10"/>
  <c r="Q158" i="10"/>
  <c r="P159" i="10"/>
  <c r="Q159" i="10"/>
  <c r="O160" i="10"/>
  <c r="P160" i="10"/>
  <c r="Q160" i="10"/>
  <c r="O161" i="10"/>
  <c r="P161" i="10"/>
  <c r="Q161" i="10"/>
  <c r="O162" i="10"/>
  <c r="P162" i="10"/>
  <c r="Q162" i="10"/>
  <c r="R162" i="10"/>
  <c r="O163" i="10"/>
  <c r="P163" i="10"/>
  <c r="Q163" i="10"/>
  <c r="R163" i="10"/>
  <c r="O164" i="10"/>
  <c r="P164" i="10"/>
  <c r="Q164" i="10"/>
  <c r="R164" i="10"/>
  <c r="O165" i="10"/>
  <c r="P165" i="10"/>
  <c r="Q165" i="10"/>
  <c r="R165" i="10"/>
  <c r="S165" i="10"/>
  <c r="O166" i="10"/>
  <c r="P166" i="10"/>
  <c r="Q166" i="10"/>
  <c r="R166" i="10"/>
  <c r="S166" i="10"/>
  <c r="Q88" i="10"/>
  <c r="R88" i="10"/>
  <c r="S88" i="10"/>
  <c r="T88" i="10"/>
  <c r="U88" i="10"/>
  <c r="V88" i="10"/>
  <c r="E89" i="8"/>
  <c r="F89" i="8"/>
  <c r="G89" i="8"/>
  <c r="H89" i="8"/>
  <c r="C153" i="8"/>
  <c r="C154" i="8"/>
  <c r="C155" i="8"/>
  <c r="C156" i="8"/>
  <c r="C157" i="8"/>
  <c r="D157" i="8"/>
  <c r="C158" i="8"/>
  <c r="D158" i="8"/>
  <c r="C159" i="8"/>
  <c r="D159" i="8"/>
  <c r="B160" i="8"/>
  <c r="C160" i="8"/>
  <c r="D160" i="8"/>
  <c r="B161" i="8"/>
  <c r="C161" i="8"/>
  <c r="D161" i="8"/>
  <c r="B162" i="8"/>
  <c r="C162" i="8"/>
  <c r="D162" i="8"/>
  <c r="E162" i="8"/>
  <c r="B163" i="8"/>
  <c r="C163" i="8"/>
  <c r="D163" i="8"/>
  <c r="E163" i="8"/>
  <c r="B164" i="8"/>
  <c r="C164" i="8"/>
  <c r="D164" i="8"/>
  <c r="E164" i="8"/>
  <c r="B165" i="8"/>
  <c r="C165" i="8"/>
  <c r="D165" i="8"/>
  <c r="E165" i="8"/>
  <c r="F165" i="8"/>
  <c r="B166" i="8"/>
  <c r="C166" i="8"/>
  <c r="D166" i="8"/>
  <c r="E166" i="8"/>
  <c r="F166" i="8"/>
  <c r="D88" i="8"/>
  <c r="E88" i="8"/>
  <c r="F88" i="8"/>
  <c r="G88" i="8"/>
  <c r="H88" i="8"/>
  <c r="I88" i="8"/>
  <c r="D12" i="21" l="1"/>
  <c r="E12" i="21"/>
  <c r="F12" i="21"/>
  <c r="G12" i="21"/>
  <c r="H12" i="21"/>
  <c r="I12" i="21"/>
  <c r="J12" i="21"/>
  <c r="K12" i="21"/>
  <c r="L12" i="21"/>
  <c r="E6" i="10"/>
  <c r="F6" i="10"/>
  <c r="G6" i="10"/>
  <c r="H6" i="10"/>
  <c r="C50" i="10"/>
  <c r="P50" i="10" s="1"/>
  <c r="C51" i="10"/>
  <c r="P51" i="10" s="1"/>
  <c r="C52" i="10"/>
  <c r="P52" i="10" s="1"/>
  <c r="C53" i="10"/>
  <c r="P53" i="10" s="1"/>
  <c r="C54" i="10"/>
  <c r="P54" i="10" s="1"/>
  <c r="D54" i="10"/>
  <c r="Q54" i="10" s="1"/>
  <c r="C55" i="10"/>
  <c r="D55" i="10"/>
  <c r="Q55" i="10" s="1"/>
  <c r="C56" i="10"/>
  <c r="D56" i="10"/>
  <c r="Q56" i="10" s="1"/>
  <c r="C57" i="10"/>
  <c r="P57" i="10" s="1"/>
  <c r="D57" i="10"/>
  <c r="Q57" i="10" s="1"/>
  <c r="C58" i="10"/>
  <c r="P58" i="10" s="1"/>
  <c r="D58" i="10"/>
  <c r="Q58" i="10" s="1"/>
  <c r="C59" i="10"/>
  <c r="P59" i="10" s="1"/>
  <c r="D59" i="10"/>
  <c r="Q59" i="10" s="1"/>
  <c r="E59" i="10"/>
  <c r="R59" i="10" s="1"/>
  <c r="C60" i="10"/>
  <c r="P60" i="10" s="1"/>
  <c r="D60" i="10"/>
  <c r="Q60" i="10" s="1"/>
  <c r="E60" i="10"/>
  <c r="C61" i="10"/>
  <c r="P61" i="10" s="1"/>
  <c r="D61" i="10"/>
  <c r="Q61" i="10" s="1"/>
  <c r="E61" i="10"/>
  <c r="R61" i="10" s="1"/>
  <c r="C62" i="10"/>
  <c r="P62" i="10" s="1"/>
  <c r="D62" i="10"/>
  <c r="Q62" i="10" s="1"/>
  <c r="E62" i="10"/>
  <c r="R62" i="10" s="1"/>
  <c r="C63" i="10"/>
  <c r="P63" i="10" s="1"/>
  <c r="D63" i="10"/>
  <c r="Q63" i="10" s="1"/>
  <c r="E63" i="10"/>
  <c r="C64" i="10"/>
  <c r="D64" i="10"/>
  <c r="Q64" i="10" s="1"/>
  <c r="D63" i="11" s="1"/>
  <c r="E64" i="10"/>
  <c r="R64" i="10" s="1"/>
  <c r="C65" i="10"/>
  <c r="P65" i="10" s="1"/>
  <c r="D65" i="10"/>
  <c r="Q65" i="10" s="1"/>
  <c r="E65" i="10"/>
  <c r="R65" i="10" s="1"/>
  <c r="F65" i="10"/>
  <c r="C66" i="10"/>
  <c r="P66" i="10" s="1"/>
  <c r="D66" i="10"/>
  <c r="Q66" i="10" s="1"/>
  <c r="E66" i="10"/>
  <c r="R66" i="10" s="1"/>
  <c r="F66" i="10"/>
  <c r="S66" i="10" s="1"/>
  <c r="C67" i="10"/>
  <c r="P67" i="10" s="1"/>
  <c r="D67" i="10"/>
  <c r="Q67" i="10" s="1"/>
  <c r="E67" i="10"/>
  <c r="R67" i="10" s="1"/>
  <c r="F67" i="10"/>
  <c r="C68" i="10"/>
  <c r="P68" i="10" s="1"/>
  <c r="D68" i="10"/>
  <c r="Q68" i="10" s="1"/>
  <c r="E68" i="10"/>
  <c r="R68" i="10" s="1"/>
  <c r="F68" i="10"/>
  <c r="S68" i="10" s="1"/>
  <c r="G68" i="10"/>
  <c r="T68" i="10" s="1"/>
  <c r="C69" i="10"/>
  <c r="P69" i="10" s="1"/>
  <c r="D69" i="10"/>
  <c r="Q69" i="10" s="1"/>
  <c r="D68" i="11" s="1"/>
  <c r="E69" i="10"/>
  <c r="R69" i="10" s="1"/>
  <c r="F69" i="10"/>
  <c r="S69" i="10" s="1"/>
  <c r="G69" i="10"/>
  <c r="T69" i="10" s="1"/>
  <c r="C70" i="10"/>
  <c r="P70" i="10" s="1"/>
  <c r="D70" i="10"/>
  <c r="Q70" i="10" s="1"/>
  <c r="E70" i="10"/>
  <c r="R70" i="10" s="1"/>
  <c r="F70" i="10"/>
  <c r="S70" i="10" s="1"/>
  <c r="G70" i="10"/>
  <c r="T70" i="10" s="1"/>
  <c r="H70" i="10"/>
  <c r="C71" i="10"/>
  <c r="D71" i="10"/>
  <c r="Q71" i="10" s="1"/>
  <c r="E71" i="10"/>
  <c r="R71" i="10" s="1"/>
  <c r="F71" i="10"/>
  <c r="S71" i="10" s="1"/>
  <c r="G71" i="10"/>
  <c r="T71" i="10" s="1"/>
  <c r="H71" i="10"/>
  <c r="C72" i="10"/>
  <c r="D72" i="10"/>
  <c r="E72" i="10"/>
  <c r="F72" i="10"/>
  <c r="S72" i="10" s="1"/>
  <c r="G72" i="10"/>
  <c r="T72" i="10" s="1"/>
  <c r="H72" i="10"/>
  <c r="U72" i="10" s="1"/>
  <c r="I72" i="10"/>
  <c r="C73" i="10"/>
  <c r="P73" i="10" s="1"/>
  <c r="C72" i="11" s="1"/>
  <c r="D73" i="10"/>
  <c r="Q73" i="10" s="1"/>
  <c r="E73" i="10"/>
  <c r="F73" i="10"/>
  <c r="G73" i="10"/>
  <c r="T73" i="10" s="1"/>
  <c r="H73" i="10"/>
  <c r="U73" i="10" s="1"/>
  <c r="I73" i="10"/>
  <c r="J73" i="10"/>
  <c r="C74" i="10"/>
  <c r="P74" i="10" s="1"/>
  <c r="D74" i="10"/>
  <c r="Q74" i="10" s="1"/>
  <c r="E74" i="10"/>
  <c r="R74" i="10" s="1"/>
  <c r="F74" i="10"/>
  <c r="S74" i="10" s="1"/>
  <c r="G74" i="10"/>
  <c r="T74" i="10" s="1"/>
  <c r="H74" i="10"/>
  <c r="U74" i="10" s="1"/>
  <c r="I74" i="10"/>
  <c r="V74" i="10" s="1"/>
  <c r="J74" i="10"/>
  <c r="W74" i="10" s="1"/>
  <c r="K74" i="10"/>
  <c r="X74" i="10" s="1"/>
  <c r="C75" i="10"/>
  <c r="P75" i="10" s="1"/>
  <c r="D75" i="10"/>
  <c r="Q75" i="10" s="1"/>
  <c r="E75" i="10"/>
  <c r="R75" i="10" s="1"/>
  <c r="F75" i="10"/>
  <c r="S75" i="10" s="1"/>
  <c r="G75" i="10"/>
  <c r="T75" i="10" s="1"/>
  <c r="H75" i="10"/>
  <c r="U75" i="10" s="1"/>
  <c r="I75" i="10"/>
  <c r="V75" i="10" s="1"/>
  <c r="J75" i="10"/>
  <c r="W75" i="10" s="1"/>
  <c r="K75" i="10"/>
  <c r="X75" i="10" s="1"/>
  <c r="C76" i="10"/>
  <c r="P76" i="10" s="1"/>
  <c r="D76" i="10"/>
  <c r="Q76" i="10" s="1"/>
  <c r="E76" i="10"/>
  <c r="R76" i="10" s="1"/>
  <c r="F76" i="10"/>
  <c r="S76" i="10" s="1"/>
  <c r="G76" i="10"/>
  <c r="T76" i="10" s="1"/>
  <c r="H76" i="10"/>
  <c r="U76" i="10" s="1"/>
  <c r="I76" i="10"/>
  <c r="V76" i="10" s="1"/>
  <c r="J76" i="10"/>
  <c r="W76" i="10" s="1"/>
  <c r="K76" i="10"/>
  <c r="X76" i="10" s="1"/>
  <c r="C77" i="10"/>
  <c r="P77" i="10" s="1"/>
  <c r="D77" i="10"/>
  <c r="Q77" i="10" s="1"/>
  <c r="E77" i="10"/>
  <c r="R77" i="10" s="1"/>
  <c r="F77" i="10"/>
  <c r="S77" i="10" s="1"/>
  <c r="G77" i="10"/>
  <c r="T77" i="10" s="1"/>
  <c r="H77" i="10"/>
  <c r="U77" i="10" s="1"/>
  <c r="I77" i="10"/>
  <c r="V77" i="10" s="1"/>
  <c r="J77" i="10"/>
  <c r="W77" i="10" s="1"/>
  <c r="K77" i="10"/>
  <c r="X77" i="10" s="1"/>
  <c r="C78" i="10"/>
  <c r="P78" i="10" s="1"/>
  <c r="D78" i="10"/>
  <c r="Q78" i="10" s="1"/>
  <c r="E78" i="10"/>
  <c r="R78" i="10" s="1"/>
  <c r="F78" i="10"/>
  <c r="S78" i="10" s="1"/>
  <c r="G78" i="10"/>
  <c r="T78" i="10" s="1"/>
  <c r="H78" i="10"/>
  <c r="U78" i="10" s="1"/>
  <c r="I78" i="10"/>
  <c r="V78" i="10" s="1"/>
  <c r="J78" i="10"/>
  <c r="W78" i="10" s="1"/>
  <c r="K78" i="10"/>
  <c r="X78" i="10" s="1"/>
  <c r="C79" i="10"/>
  <c r="P79" i="10" s="1"/>
  <c r="D79" i="10"/>
  <c r="Q79" i="10" s="1"/>
  <c r="E79" i="10"/>
  <c r="R79" i="10" s="1"/>
  <c r="F79" i="10"/>
  <c r="S79" i="10" s="1"/>
  <c r="G79" i="10"/>
  <c r="T79" i="10" s="1"/>
  <c r="H79" i="10"/>
  <c r="U79" i="10" s="1"/>
  <c r="I79" i="10"/>
  <c r="V79" i="10" s="1"/>
  <c r="J79" i="10"/>
  <c r="W79" i="10" s="1"/>
  <c r="K79" i="10"/>
  <c r="X79" i="10" s="1"/>
  <c r="C80" i="10"/>
  <c r="D80" i="10"/>
  <c r="Q80" i="10" s="1"/>
  <c r="E80" i="10"/>
  <c r="R80" i="10" s="1"/>
  <c r="F80" i="10"/>
  <c r="S80" i="10" s="1"/>
  <c r="G80" i="10"/>
  <c r="T80" i="10" s="1"/>
  <c r="H80" i="10"/>
  <c r="U80" i="10" s="1"/>
  <c r="I80" i="10"/>
  <c r="V80" i="10" s="1"/>
  <c r="J80" i="10"/>
  <c r="W80" i="10" s="1"/>
  <c r="K80" i="10"/>
  <c r="X80" i="10" s="1"/>
  <c r="C81" i="10"/>
  <c r="P81" i="10" s="1"/>
  <c r="D81" i="10"/>
  <c r="Q81" i="10" s="1"/>
  <c r="E81" i="10"/>
  <c r="R81" i="10" s="1"/>
  <c r="F81" i="10"/>
  <c r="S81" i="10" s="1"/>
  <c r="G81" i="10"/>
  <c r="T81" i="10" s="1"/>
  <c r="H81" i="10"/>
  <c r="U81" i="10" s="1"/>
  <c r="I81" i="10"/>
  <c r="V81" i="10" s="1"/>
  <c r="J81" i="10"/>
  <c r="W81" i="10" s="1"/>
  <c r="K81" i="10"/>
  <c r="X81" i="10" s="1"/>
  <c r="C82" i="10"/>
  <c r="P82" i="10" s="1"/>
  <c r="D82" i="10"/>
  <c r="Q82" i="10" s="1"/>
  <c r="E82" i="10"/>
  <c r="R82" i="10" s="1"/>
  <c r="F82" i="10"/>
  <c r="S82" i="10" s="1"/>
  <c r="G82" i="10"/>
  <c r="T82" i="10" s="1"/>
  <c r="H82" i="10"/>
  <c r="U82" i="10" s="1"/>
  <c r="I82" i="10"/>
  <c r="V82" i="10" s="1"/>
  <c r="J82" i="10"/>
  <c r="W82" i="10" s="1"/>
  <c r="K82" i="10"/>
  <c r="X82" i="10" s="1"/>
  <c r="C83" i="10"/>
  <c r="P83" i="10" s="1"/>
  <c r="D83" i="10"/>
  <c r="Q83" i="10" s="1"/>
  <c r="E83" i="10"/>
  <c r="R83" i="10" s="1"/>
  <c r="F83" i="10"/>
  <c r="S83" i="10" s="1"/>
  <c r="G83" i="10"/>
  <c r="T83" i="10" s="1"/>
  <c r="H83" i="10"/>
  <c r="U83" i="10" s="1"/>
  <c r="I83" i="10"/>
  <c r="V83" i="10" s="1"/>
  <c r="J83" i="10"/>
  <c r="W83" i="10" s="1"/>
  <c r="K83" i="10"/>
  <c r="X83" i="10" s="1"/>
  <c r="D5" i="10"/>
  <c r="E5" i="10"/>
  <c r="F5" i="10"/>
  <c r="G5" i="10"/>
  <c r="H5" i="10"/>
  <c r="I5" i="10"/>
  <c r="B74" i="10"/>
  <c r="O74" i="10" s="1"/>
  <c r="B75" i="10"/>
  <c r="O75" i="10" s="1"/>
  <c r="B76" i="10"/>
  <c r="O76" i="10" s="1"/>
  <c r="B77" i="10"/>
  <c r="O77" i="10" s="1"/>
  <c r="B78" i="10"/>
  <c r="O78" i="10" s="1"/>
  <c r="B79" i="10"/>
  <c r="O79" i="10" s="1"/>
  <c r="B80" i="10"/>
  <c r="O80" i="10" s="1"/>
  <c r="B81" i="10"/>
  <c r="O81" i="10" s="1"/>
  <c r="B82" i="10"/>
  <c r="O82" i="10" s="1"/>
  <c r="B83" i="10"/>
  <c r="O83" i="10" s="1"/>
  <c r="F69" i="2"/>
  <c r="N69" i="2" s="1"/>
  <c r="V40" i="5"/>
  <c r="V44" i="5"/>
  <c r="V48" i="5"/>
  <c r="V52" i="5"/>
  <c r="V53" i="5"/>
  <c r="V60" i="5"/>
  <c r="V61" i="5"/>
  <c r="V64" i="5"/>
  <c r="V72" i="5"/>
  <c r="V76" i="5"/>
  <c r="V80" i="5"/>
  <c r="V84" i="5"/>
  <c r="V85"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Q39" i="5"/>
  <c r="V39" i="5" s="1"/>
  <c r="Q40" i="5"/>
  <c r="Q41" i="5"/>
  <c r="V41" i="5" s="1"/>
  <c r="Q42" i="5"/>
  <c r="V42" i="5" s="1"/>
  <c r="Q43" i="5"/>
  <c r="V43" i="5" s="1"/>
  <c r="Q44" i="5"/>
  <c r="Q45" i="5"/>
  <c r="V45" i="5" s="1"/>
  <c r="Q46" i="5"/>
  <c r="V46" i="5" s="1"/>
  <c r="Q47" i="5"/>
  <c r="V47" i="5" s="1"/>
  <c r="Q48" i="5"/>
  <c r="Q49" i="5"/>
  <c r="V49" i="5" s="1"/>
  <c r="Q50" i="5"/>
  <c r="V50" i="5" s="1"/>
  <c r="Q51" i="5"/>
  <c r="V51" i="5" s="1"/>
  <c r="Q52" i="5"/>
  <c r="Q53" i="5"/>
  <c r="Q54" i="5"/>
  <c r="V54" i="5" s="1"/>
  <c r="Q55" i="5"/>
  <c r="V55" i="5" s="1"/>
  <c r="Q56" i="5"/>
  <c r="V56" i="5" s="1"/>
  <c r="Q57" i="5"/>
  <c r="V57" i="5" s="1"/>
  <c r="Q58" i="5"/>
  <c r="V58" i="5" s="1"/>
  <c r="Q59" i="5"/>
  <c r="V59" i="5" s="1"/>
  <c r="Q60" i="5"/>
  <c r="Q61" i="5"/>
  <c r="Q62" i="5"/>
  <c r="V62" i="5" s="1"/>
  <c r="Q63" i="5"/>
  <c r="V63" i="5" s="1"/>
  <c r="Q64" i="5"/>
  <c r="Q65" i="5"/>
  <c r="V65" i="5" s="1"/>
  <c r="Q66" i="5"/>
  <c r="V66" i="5" s="1"/>
  <c r="Q67" i="5"/>
  <c r="V67" i="5" s="1"/>
  <c r="Q68" i="5"/>
  <c r="V68" i="5" s="1"/>
  <c r="Q69" i="5"/>
  <c r="V69" i="5" s="1"/>
  <c r="Q70" i="5"/>
  <c r="V70" i="5" s="1"/>
  <c r="Q71" i="5"/>
  <c r="V71" i="5" s="1"/>
  <c r="Q72" i="5"/>
  <c r="Q73" i="5"/>
  <c r="V73" i="5" s="1"/>
  <c r="Q74" i="5"/>
  <c r="V74" i="5" s="1"/>
  <c r="Q75" i="5"/>
  <c r="V75" i="5" s="1"/>
  <c r="Q76" i="5"/>
  <c r="Q77" i="5"/>
  <c r="V77" i="5" s="1"/>
  <c r="Q78" i="5"/>
  <c r="V78" i="5" s="1"/>
  <c r="Q79" i="5"/>
  <c r="V79" i="5" s="1"/>
  <c r="Q80" i="5"/>
  <c r="Q81" i="5"/>
  <c r="V81" i="5" s="1"/>
  <c r="Q82" i="5"/>
  <c r="V82" i="5" s="1"/>
  <c r="Q83" i="5"/>
  <c r="V83" i="5" s="1"/>
  <c r="Q84" i="5"/>
  <c r="Q85" i="5"/>
  <c r="Q86" i="5"/>
  <c r="V86" i="5" s="1"/>
  <c r="Q87" i="5"/>
  <c r="V87" i="5" s="1"/>
  <c r="Q88" i="5"/>
  <c r="V88" i="5" s="1"/>
  <c r="P39" i="5"/>
  <c r="P40" i="5" s="1"/>
  <c r="P41" i="5" s="1"/>
  <c r="P42" i="5" s="1"/>
  <c r="P43" i="5" s="1"/>
  <c r="P44" i="5" s="1"/>
  <c r="P45" i="5" s="1"/>
  <c r="P46" i="5" s="1"/>
  <c r="P47" i="5" s="1"/>
  <c r="P48" i="5" s="1"/>
  <c r="P49" i="5" s="1"/>
  <c r="P50" i="5" s="1"/>
  <c r="P51" i="5" s="1"/>
  <c r="P52" i="5" s="1"/>
  <c r="P53" i="5" s="1"/>
  <c r="P54" i="5" s="1"/>
  <c r="P55" i="5" s="1"/>
  <c r="P56" i="5" s="1"/>
  <c r="P57" i="5" s="1"/>
  <c r="P58" i="5" s="1"/>
  <c r="P59" i="5" s="1"/>
  <c r="P60" i="5" s="1"/>
  <c r="P61" i="5" s="1"/>
  <c r="P62" i="5" s="1"/>
  <c r="P63" i="5" s="1"/>
  <c r="P64" i="5" s="1"/>
  <c r="P65" i="5" s="1"/>
  <c r="P66" i="5" s="1"/>
  <c r="P67" i="5" s="1"/>
  <c r="P68" i="5" s="1"/>
  <c r="P69" i="5" s="1"/>
  <c r="P70" i="5" s="1"/>
  <c r="P71" i="5" s="1"/>
  <c r="P72" i="5" s="1"/>
  <c r="P73" i="5" s="1"/>
  <c r="P74" i="5" s="1"/>
  <c r="P75" i="5" s="1"/>
  <c r="P76" i="5" s="1"/>
  <c r="P77" i="5" s="1"/>
  <c r="P78" i="5" s="1"/>
  <c r="P79" i="5" s="1"/>
  <c r="P80" i="5" s="1"/>
  <c r="P81" i="5" s="1"/>
  <c r="P82" i="5" s="1"/>
  <c r="P83" i="5" s="1"/>
  <c r="P84" i="5" s="1"/>
  <c r="P85" i="5" s="1"/>
  <c r="P86" i="5" s="1"/>
  <c r="P87" i="5" s="1"/>
  <c r="P88" i="5" s="1"/>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H39" i="5"/>
  <c r="H40" i="5" s="1"/>
  <c r="H41" i="5" s="1"/>
  <c r="H42" i="5" s="1"/>
  <c r="H43" i="5" s="1"/>
  <c r="H44" i="5" s="1"/>
  <c r="H45" i="5" s="1"/>
  <c r="H46" i="5" s="1"/>
  <c r="H47" i="5" s="1"/>
  <c r="H48" i="5" s="1"/>
  <c r="H49" i="5" s="1"/>
  <c r="H50" i="5" s="1"/>
  <c r="H51" i="5" s="1"/>
  <c r="H52" i="5" s="1"/>
  <c r="H53" i="5" s="1"/>
  <c r="H54" i="5" s="1"/>
  <c r="H55" i="5" s="1"/>
  <c r="H56" i="5" s="1"/>
  <c r="H57" i="5" s="1"/>
  <c r="H58" i="5" s="1"/>
  <c r="H59" i="5" s="1"/>
  <c r="H60" i="5" s="1"/>
  <c r="H61" i="5" s="1"/>
  <c r="H62" i="5" s="1"/>
  <c r="H63" i="5" s="1"/>
  <c r="H64" i="5" s="1"/>
  <c r="H65" i="5" s="1"/>
  <c r="H66" i="5" s="1"/>
  <c r="H67" i="5" s="1"/>
  <c r="H68" i="5" s="1"/>
  <c r="H69" i="5" s="1"/>
  <c r="H70" i="5" s="1"/>
  <c r="H71" i="5" s="1"/>
  <c r="H72" i="5" s="1"/>
  <c r="H73" i="5" s="1"/>
  <c r="H74" i="5" s="1"/>
  <c r="H75" i="5" s="1"/>
  <c r="H76" i="5" s="1"/>
  <c r="H77" i="5" s="1"/>
  <c r="H78" i="5" s="1"/>
  <c r="H79" i="5" s="1"/>
  <c r="H80" i="5" s="1"/>
  <c r="H81" i="5" s="1"/>
  <c r="H82" i="5" s="1"/>
  <c r="H83" i="5" s="1"/>
  <c r="H84" i="5" s="1"/>
  <c r="H85" i="5" s="1"/>
  <c r="H86" i="5" s="1"/>
  <c r="H87" i="5" s="1"/>
  <c r="H88" i="5" s="1"/>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E39" i="5"/>
  <c r="E40" i="5"/>
  <c r="E41" i="5" s="1"/>
  <c r="E42" i="5" s="1"/>
  <c r="E43" i="5" s="1"/>
  <c r="E44" i="5" s="1"/>
  <c r="E45" i="5" s="1"/>
  <c r="E46" i="5" s="1"/>
  <c r="E47" i="5" s="1"/>
  <c r="E48" i="5" s="1"/>
  <c r="E49" i="5" s="1"/>
  <c r="E50" i="5" s="1"/>
  <c r="E51" i="5" s="1"/>
  <c r="E52" i="5" s="1"/>
  <c r="E53" i="5" s="1"/>
  <c r="E54" i="5" s="1"/>
  <c r="E55" i="5" s="1"/>
  <c r="E56" i="5" s="1"/>
  <c r="E57" i="5" s="1"/>
  <c r="E58" i="5" s="1"/>
  <c r="E59" i="5" s="1"/>
  <c r="E60" i="5" s="1"/>
  <c r="E61" i="5" s="1"/>
  <c r="E62" i="5" s="1"/>
  <c r="E63" i="5" s="1"/>
  <c r="E64" i="5" s="1"/>
  <c r="E65" i="5" s="1"/>
  <c r="E66" i="5" s="1"/>
  <c r="E67" i="5" s="1"/>
  <c r="E68" i="5" s="1"/>
  <c r="E69" i="5" s="1"/>
  <c r="E70" i="5" s="1"/>
  <c r="E71" i="5" s="1"/>
  <c r="E72" i="5" s="1"/>
  <c r="E73" i="5" s="1"/>
  <c r="E74" i="5" s="1"/>
  <c r="E75" i="5" s="1"/>
  <c r="E76" i="5" s="1"/>
  <c r="E77" i="5" s="1"/>
  <c r="E78" i="5" s="1"/>
  <c r="E79" i="5" s="1"/>
  <c r="E80" i="5" s="1"/>
  <c r="E81" i="5" s="1"/>
  <c r="E82" i="5" s="1"/>
  <c r="E83" i="5" s="1"/>
  <c r="E84" i="5" s="1"/>
  <c r="E85" i="5" s="1"/>
  <c r="E86" i="5" s="1"/>
  <c r="E87" i="5" s="1"/>
  <c r="E88" i="5" s="1"/>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A40" i="5"/>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39" i="5"/>
  <c r="C40" i="5"/>
  <c r="C41" i="5" s="1"/>
  <c r="C42" i="5" s="1"/>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39" i="5"/>
  <c r="F51" i="5"/>
  <c r="F52" i="5"/>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40" i="5"/>
  <c r="F41" i="5"/>
  <c r="F42" i="5" s="1"/>
  <c r="F43" i="5" s="1"/>
  <c r="F44" i="5" s="1"/>
  <c r="F45" i="5" s="1"/>
  <c r="F46" i="5" s="1"/>
  <c r="F47" i="5" s="1"/>
  <c r="F48" i="5" s="1"/>
  <c r="F49" i="5" s="1"/>
  <c r="F50" i="5" s="1"/>
  <c r="F39" i="5"/>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68" i="2"/>
  <c r="E69" i="2"/>
  <c r="E70" i="2" s="1"/>
  <c r="E71" i="2" s="1"/>
  <c r="E72" i="2" s="1"/>
  <c r="E73" i="2" s="1"/>
  <c r="E74" i="2" s="1"/>
  <c r="E75" i="2" s="1"/>
  <c r="E76" i="2" s="1"/>
  <c r="E77" i="2" s="1"/>
  <c r="E78" i="2" s="1"/>
  <c r="E79" i="2" s="1"/>
  <c r="E80" i="2" s="1"/>
  <c r="E81" i="2" s="1"/>
  <c r="E82" i="2" s="1"/>
  <c r="E83" i="2" s="1"/>
  <c r="E84" i="2" s="1"/>
  <c r="E85" i="2" s="1"/>
  <c r="E86" i="2" s="1"/>
  <c r="E87" i="2" s="1"/>
  <c r="W3" i="2"/>
  <c r="V3" i="2"/>
  <c r="E50" i="10"/>
  <c r="F51" i="10"/>
  <c r="G52" i="10"/>
  <c r="H50" i="10"/>
  <c r="I60" i="10"/>
  <c r="J66" i="10"/>
  <c r="K67" i="10"/>
  <c r="P55" i="10"/>
  <c r="R60" i="10"/>
  <c r="E59" i="11" s="1"/>
  <c r="R63" i="10"/>
  <c r="S65" i="10"/>
  <c r="S67" i="10"/>
  <c r="P71" i="10"/>
  <c r="Q72" i="10"/>
  <c r="D71" i="11" s="1"/>
  <c r="R72" i="10"/>
  <c r="R73" i="10"/>
  <c r="S73" i="10"/>
  <c r="P9" i="5"/>
  <c r="P10" i="5" s="1"/>
  <c r="P11" i="5" s="1"/>
  <c r="P12" i="5" s="1"/>
  <c r="P13" i="5" s="1"/>
  <c r="P14" i="5" s="1"/>
  <c r="P15" i="5" s="1"/>
  <c r="P16" i="5" s="1"/>
  <c r="P17" i="5" s="1"/>
  <c r="P18" i="5" s="1"/>
  <c r="P19" i="5" s="1"/>
  <c r="P20" i="5" s="1"/>
  <c r="P21" i="5" s="1"/>
  <c r="P22" i="5" s="1"/>
  <c r="P23" i="5" s="1"/>
  <c r="P24" i="5" s="1"/>
  <c r="P25" i="5" s="1"/>
  <c r="P26" i="5" s="1"/>
  <c r="P27" i="5" s="1"/>
  <c r="P28" i="5" s="1"/>
  <c r="P29" i="5" s="1"/>
  <c r="P30" i="5" s="1"/>
  <c r="P31" i="5" s="1"/>
  <c r="P32" i="5" s="1"/>
  <c r="P33" i="5" s="1"/>
  <c r="P34" i="5" s="1"/>
  <c r="P35" i="5" s="1"/>
  <c r="P36" i="5" s="1"/>
  <c r="P37" i="5" s="1"/>
  <c r="P38" i="5" s="1"/>
  <c r="P7" i="5"/>
  <c r="P8" i="5" s="1"/>
  <c r="F70" i="2" l="1"/>
  <c r="N70" i="2" s="1"/>
  <c r="C60" i="11"/>
  <c r="C76" i="11"/>
  <c r="AC68" i="2"/>
  <c r="C68" i="11"/>
  <c r="K54" i="10"/>
  <c r="X54" i="10" s="1"/>
  <c r="K53" i="11" s="1"/>
  <c r="K60" i="10"/>
  <c r="X60" i="10" s="1"/>
  <c r="K59" i="11" s="1"/>
  <c r="K64" i="10"/>
  <c r="X64" i="10" s="1"/>
  <c r="K63" i="11" s="1"/>
  <c r="J57" i="10"/>
  <c r="W57" i="10" s="1"/>
  <c r="J56" i="11" s="1"/>
  <c r="E53" i="10"/>
  <c r="R53" i="10" s="1"/>
  <c r="E52" i="11" s="1"/>
  <c r="E58" i="10"/>
  <c r="R58" i="10" s="1"/>
  <c r="E48" i="10"/>
  <c r="R48" i="10" s="1"/>
  <c r="C78" i="11"/>
  <c r="E70" i="11"/>
  <c r="C69" i="11"/>
  <c r="D81" i="11"/>
  <c r="F79" i="11"/>
  <c r="H77" i="11"/>
  <c r="I76" i="11"/>
  <c r="K74" i="11"/>
  <c r="D57" i="11"/>
  <c r="D73" i="11"/>
  <c r="D79" i="11"/>
  <c r="F77" i="11"/>
  <c r="J75" i="11"/>
  <c r="D65" i="11"/>
  <c r="C59" i="11"/>
  <c r="K82" i="11"/>
  <c r="F71" i="11"/>
  <c r="C54" i="11"/>
  <c r="D66" i="11"/>
  <c r="F72" i="11"/>
  <c r="F64" i="11"/>
  <c r="H80" i="11"/>
  <c r="B80" i="11"/>
  <c r="K77" i="11"/>
  <c r="K29" i="10"/>
  <c r="K28" i="10"/>
  <c r="K27" i="10"/>
  <c r="K80" i="11"/>
  <c r="K32" i="10"/>
  <c r="K31" i="10"/>
  <c r="K30" i="10"/>
  <c r="J29" i="10"/>
  <c r="J28" i="10"/>
  <c r="J80" i="11"/>
  <c r="J27" i="10"/>
  <c r="J78" i="11"/>
  <c r="J30" i="10"/>
  <c r="J26" i="10"/>
  <c r="I82" i="11"/>
  <c r="I74" i="11"/>
  <c r="H75" i="11"/>
  <c r="H72" i="11"/>
  <c r="G81" i="11"/>
  <c r="F74" i="11"/>
  <c r="E78" i="11"/>
  <c r="E46" i="10"/>
  <c r="R46" i="10" s="1"/>
  <c r="E45" i="11" s="1"/>
  <c r="E44" i="10"/>
  <c r="R44" i="10" s="1"/>
  <c r="E43" i="11" s="1"/>
  <c r="E42" i="10"/>
  <c r="R42" i="10" s="1"/>
  <c r="E41" i="11" s="1"/>
  <c r="E75" i="11"/>
  <c r="E40" i="10"/>
  <c r="R40" i="10" s="1"/>
  <c r="E39" i="11" s="1"/>
  <c r="D56" i="11"/>
  <c r="D76" i="11"/>
  <c r="D55" i="11"/>
  <c r="C80" i="11"/>
  <c r="C64" i="11"/>
  <c r="C53" i="11"/>
  <c r="C77" i="11"/>
  <c r="D53" i="11"/>
  <c r="G69" i="11"/>
  <c r="C51" i="11"/>
  <c r="G77" i="11"/>
  <c r="I75" i="11"/>
  <c r="K73" i="11"/>
  <c r="E69" i="11"/>
  <c r="E62" i="11"/>
  <c r="B77" i="11"/>
  <c r="F70" i="11"/>
  <c r="F78" i="11"/>
  <c r="F68" i="11"/>
  <c r="E61" i="11"/>
  <c r="K81" i="11"/>
  <c r="D80" i="11"/>
  <c r="E60" i="11"/>
  <c r="D72" i="11"/>
  <c r="G67" i="11"/>
  <c r="F69" i="11"/>
  <c r="B75" i="11"/>
  <c r="E80" i="11"/>
  <c r="E72" i="11"/>
  <c r="E64" i="11"/>
  <c r="K61" i="10"/>
  <c r="X61" i="10" s="1"/>
  <c r="K60" i="11" s="1"/>
  <c r="K58" i="10"/>
  <c r="X58" i="10" s="1"/>
  <c r="K57" i="11" s="1"/>
  <c r="E57" i="10"/>
  <c r="R57" i="10" s="1"/>
  <c r="E56" i="11" s="1"/>
  <c r="K55" i="10"/>
  <c r="X55" i="10" s="1"/>
  <c r="K54" i="11" s="1"/>
  <c r="E54" i="10"/>
  <c r="R54" i="10" s="1"/>
  <c r="E53" i="11" s="1"/>
  <c r="E51" i="10"/>
  <c r="R51" i="10" s="1"/>
  <c r="E50" i="11" s="1"/>
  <c r="E79" i="11"/>
  <c r="E71" i="11"/>
  <c r="E63" i="11"/>
  <c r="K68" i="10"/>
  <c r="X68" i="10" s="1"/>
  <c r="K67" i="11" s="1"/>
  <c r="K65" i="10"/>
  <c r="X65" i="10" s="1"/>
  <c r="K64" i="11" s="1"/>
  <c r="J61" i="10"/>
  <c r="W61" i="10" s="1"/>
  <c r="F58" i="10"/>
  <c r="S58" i="10" s="1"/>
  <c r="F57" i="11" s="1"/>
  <c r="G55" i="10"/>
  <c r="T55" i="10" s="1"/>
  <c r="G54" i="11" s="1"/>
  <c r="F49" i="10"/>
  <c r="S49" i="10" s="1"/>
  <c r="F48" i="11" s="1"/>
  <c r="F47" i="10"/>
  <c r="S47" i="10" s="1"/>
  <c r="F46" i="11" s="1"/>
  <c r="F45" i="10"/>
  <c r="S45" i="10" s="1"/>
  <c r="F44" i="11" s="1"/>
  <c r="F63" i="10"/>
  <c r="S63" i="10" s="1"/>
  <c r="F62" i="11" s="1"/>
  <c r="C49" i="11"/>
  <c r="C52" i="11"/>
  <c r="K69" i="10"/>
  <c r="X69" i="10" s="1"/>
  <c r="K68" i="11" s="1"/>
  <c r="K62" i="10"/>
  <c r="X62" i="10" s="1"/>
  <c r="K61" i="11" s="1"/>
  <c r="F61" i="10"/>
  <c r="S61" i="10" s="1"/>
  <c r="F55" i="10"/>
  <c r="S55" i="10" s="1"/>
  <c r="F54" i="11" s="1"/>
  <c r="F52" i="10"/>
  <c r="S52" i="10" s="1"/>
  <c r="F51" i="11" s="1"/>
  <c r="E49" i="10"/>
  <c r="R49" i="10" s="1"/>
  <c r="E48" i="11" s="1"/>
  <c r="E47" i="10"/>
  <c r="R47" i="10" s="1"/>
  <c r="E45" i="10"/>
  <c r="R45" i="10" s="1"/>
  <c r="E44" i="11" s="1"/>
  <c r="E43" i="10"/>
  <c r="R43" i="10" s="1"/>
  <c r="E42" i="11" s="1"/>
  <c r="E41" i="10"/>
  <c r="R41" i="10" s="1"/>
  <c r="E40" i="11" s="1"/>
  <c r="E39" i="10"/>
  <c r="R39" i="10" s="1"/>
  <c r="E38" i="11" s="1"/>
  <c r="C56" i="11"/>
  <c r="D70" i="11"/>
  <c r="D62" i="11"/>
  <c r="D61" i="11"/>
  <c r="K73" i="10"/>
  <c r="X73" i="10" s="1"/>
  <c r="K70" i="10"/>
  <c r="X70" i="10" s="1"/>
  <c r="K69" i="11" s="1"/>
  <c r="H69" i="10"/>
  <c r="U69" i="10" s="1"/>
  <c r="H68" i="11" s="1"/>
  <c r="K63" i="10"/>
  <c r="X63" i="10" s="1"/>
  <c r="I62" i="10"/>
  <c r="V62" i="10" s="1"/>
  <c r="I61" i="11" s="1"/>
  <c r="K59" i="10"/>
  <c r="X59" i="10" s="1"/>
  <c r="K58" i="11" s="1"/>
  <c r="K56" i="10"/>
  <c r="X56" i="10" s="1"/>
  <c r="K55" i="11" s="1"/>
  <c r="E55" i="10"/>
  <c r="R55" i="10" s="1"/>
  <c r="E54" i="11" s="1"/>
  <c r="E52" i="10"/>
  <c r="R52" i="10" s="1"/>
  <c r="E51" i="11" s="1"/>
  <c r="H82" i="11"/>
  <c r="I81" i="11"/>
  <c r="K79" i="11"/>
  <c r="E77" i="11"/>
  <c r="F76" i="11"/>
  <c r="H74" i="11"/>
  <c r="I73" i="11"/>
  <c r="K72" i="10"/>
  <c r="X72" i="10" s="1"/>
  <c r="K71" i="11" s="1"/>
  <c r="K71" i="10"/>
  <c r="X71" i="10" s="1"/>
  <c r="K70" i="11" s="1"/>
  <c r="E67" i="11"/>
  <c r="K66" i="10"/>
  <c r="X66" i="10" s="1"/>
  <c r="K65" i="11" s="1"/>
  <c r="D64" i="11"/>
  <c r="I63" i="10"/>
  <c r="V63" i="10" s="1"/>
  <c r="I62" i="11" s="1"/>
  <c r="F62" i="10"/>
  <c r="S62" i="10" s="1"/>
  <c r="F61" i="11" s="1"/>
  <c r="D60" i="11"/>
  <c r="F59" i="10"/>
  <c r="S59" i="10" s="1"/>
  <c r="F58" i="11" s="1"/>
  <c r="C57" i="11"/>
  <c r="F56" i="10"/>
  <c r="S56" i="10" s="1"/>
  <c r="F55" i="11" s="1"/>
  <c r="I53" i="10"/>
  <c r="F50" i="10"/>
  <c r="S50" i="10" s="1"/>
  <c r="F49" i="11" s="1"/>
  <c r="F82" i="11"/>
  <c r="F66" i="11"/>
  <c r="G63" i="10"/>
  <c r="T63" i="10" s="1"/>
  <c r="K57" i="10"/>
  <c r="X57" i="10" s="1"/>
  <c r="K56" i="11" s="1"/>
  <c r="E56" i="10"/>
  <c r="R56" i="10" s="1"/>
  <c r="E55" i="11" s="1"/>
  <c r="F53" i="10"/>
  <c r="S53" i="10" s="1"/>
  <c r="F52" i="11" s="1"/>
  <c r="F48" i="10"/>
  <c r="S48" i="10" s="1"/>
  <c r="F47" i="11" s="1"/>
  <c r="F46" i="10"/>
  <c r="S46" i="10" s="1"/>
  <c r="F45" i="11" s="1"/>
  <c r="F64" i="10"/>
  <c r="S64" i="10" s="1"/>
  <c r="F63" i="11" s="1"/>
  <c r="F60" i="10"/>
  <c r="S60" i="10" s="1"/>
  <c r="F59" i="11" s="1"/>
  <c r="F57" i="10"/>
  <c r="S57" i="10" s="1"/>
  <c r="F56" i="11" s="1"/>
  <c r="F54" i="10"/>
  <c r="S54" i="10" s="1"/>
  <c r="D78" i="11"/>
  <c r="D54" i="11"/>
  <c r="F75" i="11"/>
  <c r="K78" i="11"/>
  <c r="E76" i="11"/>
  <c r="E82" i="11"/>
  <c r="F81" i="11"/>
  <c r="G80" i="11"/>
  <c r="H79" i="11"/>
  <c r="J77" i="11"/>
  <c r="K76" i="11"/>
  <c r="D75" i="11"/>
  <c r="E74" i="11"/>
  <c r="F73" i="11"/>
  <c r="G72" i="11"/>
  <c r="C58" i="11"/>
  <c r="D59" i="11"/>
  <c r="D82" i="11"/>
  <c r="E81" i="11"/>
  <c r="F80" i="11"/>
  <c r="I77" i="11"/>
  <c r="K75" i="11"/>
  <c r="D74" i="11"/>
  <c r="E73" i="11"/>
  <c r="C65" i="11"/>
  <c r="F67" i="11"/>
  <c r="C61" i="11"/>
  <c r="J82" i="11"/>
  <c r="J74" i="11"/>
  <c r="C82" i="11"/>
  <c r="G78" i="11"/>
  <c r="C74" i="11"/>
  <c r="E66" i="11"/>
  <c r="I80" i="11"/>
  <c r="D77" i="11"/>
  <c r="D69" i="11"/>
  <c r="J81" i="11"/>
  <c r="G76" i="11"/>
  <c r="J73" i="11"/>
  <c r="G68" i="11"/>
  <c r="C81" i="11"/>
  <c r="H76" i="11"/>
  <c r="C73" i="11"/>
  <c r="C50" i="11"/>
  <c r="G82" i="11"/>
  <c r="G74" i="11"/>
  <c r="G75" i="11"/>
  <c r="C66" i="11"/>
  <c r="D67" i="11"/>
  <c r="F65" i="11"/>
  <c r="E58" i="11"/>
  <c r="M12" i="21"/>
  <c r="C70" i="11"/>
  <c r="E68" i="11"/>
  <c r="C62" i="11"/>
  <c r="H71" i="11"/>
  <c r="G70" i="11"/>
  <c r="E65" i="11"/>
  <c r="D58" i="11"/>
  <c r="J72" i="10"/>
  <c r="W72" i="10" s="1"/>
  <c r="J71" i="11" s="1"/>
  <c r="J67" i="10"/>
  <c r="W67" i="10" s="1"/>
  <c r="J66" i="11" s="1"/>
  <c r="J63" i="10"/>
  <c r="W63" i="10" s="1"/>
  <c r="J62" i="11" s="1"/>
  <c r="J62" i="10"/>
  <c r="W62" i="10" s="1"/>
  <c r="J53" i="10"/>
  <c r="J71" i="10"/>
  <c r="W71" i="10" s="1"/>
  <c r="J70" i="10"/>
  <c r="W70" i="10" s="1"/>
  <c r="J69" i="11" s="1"/>
  <c r="J69" i="10"/>
  <c r="W69" i="10" s="1"/>
  <c r="J68" i="11" s="1"/>
  <c r="J68" i="10"/>
  <c r="W68" i="10" s="1"/>
  <c r="J67" i="11" s="1"/>
  <c r="J58" i="10"/>
  <c r="W58" i="10" s="1"/>
  <c r="J57" i="11" s="1"/>
  <c r="J64" i="10"/>
  <c r="W64" i="10" s="1"/>
  <c r="J63" i="11" s="1"/>
  <c r="J54" i="10"/>
  <c r="W54" i="10" s="1"/>
  <c r="J53" i="11" s="1"/>
  <c r="J76" i="11"/>
  <c r="J59" i="10"/>
  <c r="W59" i="10" s="1"/>
  <c r="J58" i="11" s="1"/>
  <c r="J55" i="10"/>
  <c r="W55" i="10" s="1"/>
  <c r="J54" i="11" s="1"/>
  <c r="J65" i="10"/>
  <c r="W65" i="10" s="1"/>
  <c r="J64" i="11" s="1"/>
  <c r="J60" i="10"/>
  <c r="W60" i="10" s="1"/>
  <c r="J59" i="11" s="1"/>
  <c r="J56" i="10"/>
  <c r="W56" i="10" s="1"/>
  <c r="J55" i="11" s="1"/>
  <c r="J79" i="11"/>
  <c r="I79" i="11"/>
  <c r="I61" i="10"/>
  <c r="V61" i="10" s="1"/>
  <c r="I52" i="10"/>
  <c r="I78" i="11"/>
  <c r="I71" i="10"/>
  <c r="V71" i="10" s="1"/>
  <c r="I70" i="11" s="1"/>
  <c r="I64" i="10"/>
  <c r="V64" i="10" s="1"/>
  <c r="I63" i="11" s="1"/>
  <c r="I55" i="10"/>
  <c r="V55" i="10" s="1"/>
  <c r="I54" i="11" s="1"/>
  <c r="I54" i="10"/>
  <c r="V54" i="10" s="1"/>
  <c r="I53" i="11" s="1"/>
  <c r="I70" i="10"/>
  <c r="V70" i="10" s="1"/>
  <c r="I69" i="11" s="1"/>
  <c r="I65" i="10"/>
  <c r="V65" i="10" s="1"/>
  <c r="I64" i="11" s="1"/>
  <c r="I56" i="10"/>
  <c r="V56" i="10" s="1"/>
  <c r="I55" i="11" s="1"/>
  <c r="I69" i="10"/>
  <c r="V69" i="10" s="1"/>
  <c r="I68" i="11" s="1"/>
  <c r="I66" i="10"/>
  <c r="V66" i="10" s="1"/>
  <c r="I65" i="11" s="1"/>
  <c r="I57" i="10"/>
  <c r="V57" i="10" s="1"/>
  <c r="I68" i="10"/>
  <c r="V68" i="10" s="1"/>
  <c r="I67" i="11" s="1"/>
  <c r="I67" i="10"/>
  <c r="V67" i="10" s="1"/>
  <c r="I58" i="10"/>
  <c r="V58" i="10" s="1"/>
  <c r="I57" i="11" s="1"/>
  <c r="I59" i="10"/>
  <c r="V59" i="10" s="1"/>
  <c r="I58" i="11" s="1"/>
  <c r="H81" i="11"/>
  <c r="H68" i="10"/>
  <c r="U68" i="10" s="1"/>
  <c r="H67" i="11" s="1"/>
  <c r="H67" i="10"/>
  <c r="U67" i="10" s="1"/>
  <c r="H66" i="11" s="1"/>
  <c r="H66" i="10"/>
  <c r="U66" i="10" s="1"/>
  <c r="H65" i="11" s="1"/>
  <c r="H65" i="10"/>
  <c r="U65" i="10" s="1"/>
  <c r="H64" i="10"/>
  <c r="U64" i="10" s="1"/>
  <c r="H63" i="11" s="1"/>
  <c r="H63" i="10"/>
  <c r="U63" i="10" s="1"/>
  <c r="H62" i="11" s="1"/>
  <c r="H73" i="11"/>
  <c r="H62" i="10"/>
  <c r="U62" i="10" s="1"/>
  <c r="H61" i="11" s="1"/>
  <c r="H61" i="10"/>
  <c r="U61" i="10" s="1"/>
  <c r="H60" i="11" s="1"/>
  <c r="H60" i="10"/>
  <c r="U60" i="10" s="1"/>
  <c r="H59" i="11" s="1"/>
  <c r="H59" i="10"/>
  <c r="U59" i="10" s="1"/>
  <c r="H58" i="10"/>
  <c r="U58" i="10" s="1"/>
  <c r="H57" i="11" s="1"/>
  <c r="H57" i="10"/>
  <c r="U57" i="10" s="1"/>
  <c r="H56" i="11" s="1"/>
  <c r="H56" i="10"/>
  <c r="U56" i="10" s="1"/>
  <c r="H55" i="11" s="1"/>
  <c r="H55" i="10"/>
  <c r="U55" i="10" s="1"/>
  <c r="H54" i="10"/>
  <c r="U54" i="10" s="1"/>
  <c r="H53" i="11" s="1"/>
  <c r="H53" i="10"/>
  <c r="U53" i="10" s="1"/>
  <c r="H52" i="11" s="1"/>
  <c r="H52" i="10"/>
  <c r="U52" i="10" s="1"/>
  <c r="H51" i="11" s="1"/>
  <c r="H51" i="10"/>
  <c r="H78" i="11"/>
  <c r="G67" i="10"/>
  <c r="T67" i="10" s="1"/>
  <c r="G66" i="11" s="1"/>
  <c r="G59" i="10"/>
  <c r="T59" i="10" s="1"/>
  <c r="G58" i="11" s="1"/>
  <c r="G51" i="10"/>
  <c r="T51" i="10" s="1"/>
  <c r="G50" i="11" s="1"/>
  <c r="G66" i="10"/>
  <c r="T66" i="10" s="1"/>
  <c r="G65" i="11" s="1"/>
  <c r="G58" i="10"/>
  <c r="T58" i="10" s="1"/>
  <c r="G57" i="11" s="1"/>
  <c r="G50" i="10"/>
  <c r="T50" i="10" s="1"/>
  <c r="G49" i="11" s="1"/>
  <c r="G65" i="10"/>
  <c r="T65" i="10" s="1"/>
  <c r="G64" i="11" s="1"/>
  <c r="G57" i="10"/>
  <c r="T57" i="10" s="1"/>
  <c r="G49" i="10"/>
  <c r="T49" i="10" s="1"/>
  <c r="G48" i="11" s="1"/>
  <c r="G48" i="10"/>
  <c r="T48" i="10" s="1"/>
  <c r="G47" i="11" s="1"/>
  <c r="G79" i="11"/>
  <c r="G71" i="11"/>
  <c r="G64" i="10"/>
  <c r="T64" i="10" s="1"/>
  <c r="G63" i="11" s="1"/>
  <c r="G56" i="10"/>
  <c r="T56" i="10" s="1"/>
  <c r="G55" i="11" s="1"/>
  <c r="G62" i="10"/>
  <c r="T62" i="10" s="1"/>
  <c r="G61" i="11" s="1"/>
  <c r="G54" i="10"/>
  <c r="T54" i="10" s="1"/>
  <c r="G53" i="11" s="1"/>
  <c r="G61" i="10"/>
  <c r="T61" i="10" s="1"/>
  <c r="G60" i="11" s="1"/>
  <c r="G53" i="10"/>
  <c r="T53" i="10" s="1"/>
  <c r="G73" i="11"/>
  <c r="G60" i="10"/>
  <c r="T60" i="10" s="1"/>
  <c r="G59" i="11" s="1"/>
  <c r="C75" i="11"/>
  <c r="C67" i="11"/>
  <c r="B79" i="11"/>
  <c r="B74" i="11"/>
  <c r="B78" i="11"/>
  <c r="B82" i="11"/>
  <c r="B76" i="11"/>
  <c r="B81" i="11"/>
  <c r="B73" i="11"/>
  <c r="S51" i="10"/>
  <c r="V72" i="10"/>
  <c r="I71" i="11" s="1"/>
  <c r="V60" i="10"/>
  <c r="I59" i="11" s="1"/>
  <c r="T52" i="10"/>
  <c r="G51" i="11" s="1"/>
  <c r="U71" i="10"/>
  <c r="H70" i="11" s="1"/>
  <c r="U70" i="10"/>
  <c r="H69" i="11" s="1"/>
  <c r="W73" i="10"/>
  <c r="J72" i="11" s="1"/>
  <c r="W66" i="10"/>
  <c r="J65" i="11" s="1"/>
  <c r="V73" i="10"/>
  <c r="I72" i="11" s="1"/>
  <c r="S5" i="10"/>
  <c r="R50" i="10"/>
  <c r="E49" i="11" s="1"/>
  <c r="V5" i="10"/>
  <c r="U5" i="10"/>
  <c r="T6" i="10"/>
  <c r="R5" i="10"/>
  <c r="Y81" i="10"/>
  <c r="L78" i="10"/>
  <c r="P56" i="10"/>
  <c r="C55" i="11" s="1"/>
  <c r="P72" i="10"/>
  <c r="C71" i="11" s="1"/>
  <c r="P64" i="10"/>
  <c r="C63" i="11" s="1"/>
  <c r="L79" i="10"/>
  <c r="Y78" i="10"/>
  <c r="Y77" i="10"/>
  <c r="Y83" i="10"/>
  <c r="Y75" i="10"/>
  <c r="Y79" i="10"/>
  <c r="Y76" i="10"/>
  <c r="Y82" i="10"/>
  <c r="Y74" i="10"/>
  <c r="P80" i="10"/>
  <c r="L80" i="10"/>
  <c r="L77" i="10"/>
  <c r="L76" i="10"/>
  <c r="L83" i="10"/>
  <c r="L75" i="10"/>
  <c r="L82" i="10"/>
  <c r="L74" i="10"/>
  <c r="X67" i="10"/>
  <c r="K66" i="11" s="1"/>
  <c r="L81" i="10"/>
  <c r="B4" i="18"/>
  <c r="C4" i="18" s="1"/>
  <c r="D4" i="18" s="1"/>
  <c r="E4" i="18" s="1"/>
  <c r="F4" i="18" s="1"/>
  <c r="G4" i="18" s="1"/>
  <c r="H4" i="18" s="1"/>
  <c r="I4" i="18" s="1"/>
  <c r="J4" i="18" s="1"/>
  <c r="K4" i="18" s="1"/>
  <c r="B5" i="18"/>
  <c r="C5" i="18" s="1"/>
  <c r="D5" i="18" s="1"/>
  <c r="E5" i="18" s="1"/>
  <c r="F5" i="18" s="1"/>
  <c r="G5" i="18" s="1"/>
  <c r="H5" i="18" s="1"/>
  <c r="I5" i="18" s="1"/>
  <c r="J5" i="18" s="1"/>
  <c r="K5" i="18" s="1"/>
  <c r="B6" i="18"/>
  <c r="C6" i="18" s="1"/>
  <c r="D6" i="18" s="1"/>
  <c r="E6" i="18" s="1"/>
  <c r="F6" i="18" s="1"/>
  <c r="G6" i="18" s="1"/>
  <c r="H6" i="18" s="1"/>
  <c r="B7" i="18"/>
  <c r="C7" i="18" s="1"/>
  <c r="D7" i="18" s="1"/>
  <c r="E7" i="18" s="1"/>
  <c r="F7" i="18" s="1"/>
  <c r="G7" i="18" s="1"/>
  <c r="B8" i="18"/>
  <c r="C8" i="18" s="1"/>
  <c r="D8" i="18" s="1"/>
  <c r="E8" i="18" s="1"/>
  <c r="F8" i="18" s="1"/>
  <c r="G8" i="18" s="1"/>
  <c r="H8" i="18" s="1"/>
  <c r="I8" i="18" s="1"/>
  <c r="J8" i="18" s="1"/>
  <c r="K8" i="18" s="1"/>
  <c r="B9" i="18"/>
  <c r="C9" i="18" s="1"/>
  <c r="D9" i="18" s="1"/>
  <c r="E9" i="18" s="1"/>
  <c r="F9" i="18" s="1"/>
  <c r="B10" i="18"/>
  <c r="C10" i="18" s="1"/>
  <c r="D10" i="18" s="1"/>
  <c r="E10" i="18" s="1"/>
  <c r="F10" i="18" s="1"/>
  <c r="G10" i="18" s="1"/>
  <c r="H10" i="18" s="1"/>
  <c r="I10" i="18" s="1"/>
  <c r="J10" i="18" s="1"/>
  <c r="K10" i="18" s="1"/>
  <c r="B11" i="18"/>
  <c r="C11" i="18" s="1"/>
  <c r="D11" i="18" s="1"/>
  <c r="E11" i="18" s="1"/>
  <c r="F11" i="18" s="1"/>
  <c r="G11" i="18" s="1"/>
  <c r="H11" i="18" s="1"/>
  <c r="I11" i="18" s="1"/>
  <c r="J11" i="18" s="1"/>
  <c r="K11" i="18" s="1"/>
  <c r="B12" i="18"/>
  <c r="C12" i="18" s="1"/>
  <c r="D12" i="18" s="1"/>
  <c r="E12" i="18" s="1"/>
  <c r="F12" i="18" s="1"/>
  <c r="G12" i="18" s="1"/>
  <c r="H12" i="18" s="1"/>
  <c r="I12" i="18" s="1"/>
  <c r="J12" i="18" s="1"/>
  <c r="K12" i="18" s="1"/>
  <c r="B13" i="18"/>
  <c r="C13" i="18" s="1"/>
  <c r="D13" i="18" s="1"/>
  <c r="E13" i="18" s="1"/>
  <c r="F13" i="18" s="1"/>
  <c r="G13" i="18" s="1"/>
  <c r="H13" i="18" s="1"/>
  <c r="I13" i="18" s="1"/>
  <c r="J13" i="18" s="1"/>
  <c r="B14" i="18"/>
  <c r="C14" i="18" s="1"/>
  <c r="B15" i="18"/>
  <c r="C15" i="18" s="1"/>
  <c r="D15" i="18" s="1"/>
  <c r="E15" i="18" s="1"/>
  <c r="F15" i="18" s="1"/>
  <c r="G15" i="18" s="1"/>
  <c r="B16" i="18"/>
  <c r="C16" i="18" s="1"/>
  <c r="D16" i="18" s="1"/>
  <c r="E16" i="18" s="1"/>
  <c r="F16" i="18" s="1"/>
  <c r="G16" i="18" s="1"/>
  <c r="H16" i="18" s="1"/>
  <c r="I16" i="18" s="1"/>
  <c r="J16" i="18" s="1"/>
  <c r="K16" i="18" s="1"/>
  <c r="B17" i="18"/>
  <c r="C17" i="18" s="1"/>
  <c r="D17" i="18" s="1"/>
  <c r="E17" i="18" s="1"/>
  <c r="F17" i="18" s="1"/>
  <c r="G17" i="18" s="1"/>
  <c r="H17" i="18" s="1"/>
  <c r="I17" i="18" s="1"/>
  <c r="J17" i="18" s="1"/>
  <c r="K17" i="18" s="1"/>
  <c r="B18" i="18"/>
  <c r="C18" i="18" s="1"/>
  <c r="D18" i="18" s="1"/>
  <c r="E18" i="18" s="1"/>
  <c r="F18" i="18" s="1"/>
  <c r="G18" i="18" s="1"/>
  <c r="H18" i="18" s="1"/>
  <c r="I18" i="18" s="1"/>
  <c r="J18" i="18" s="1"/>
  <c r="K18" i="18" s="1"/>
  <c r="B19" i="18"/>
  <c r="C19" i="18" s="1"/>
  <c r="D19" i="18" s="1"/>
  <c r="E19" i="18" s="1"/>
  <c r="F19" i="18" s="1"/>
  <c r="G19" i="18" s="1"/>
  <c r="H19" i="18" s="1"/>
  <c r="I19" i="18" s="1"/>
  <c r="J19" i="18" s="1"/>
  <c r="K19" i="18" s="1"/>
  <c r="B20" i="18"/>
  <c r="C20" i="18" s="1"/>
  <c r="D20" i="18" s="1"/>
  <c r="E20" i="18" s="1"/>
  <c r="F20" i="18" s="1"/>
  <c r="G20" i="18" s="1"/>
  <c r="H20" i="18" s="1"/>
  <c r="I20" i="18" s="1"/>
  <c r="J20" i="18" s="1"/>
  <c r="K20" i="18" s="1"/>
  <c r="B21" i="18"/>
  <c r="C21" i="18" s="1"/>
  <c r="D21" i="18" s="1"/>
  <c r="E21" i="18" s="1"/>
  <c r="F21" i="18" s="1"/>
  <c r="G21" i="18" s="1"/>
  <c r="H21" i="18" s="1"/>
  <c r="I21" i="18" s="1"/>
  <c r="J21" i="18" s="1"/>
  <c r="K21" i="18" s="1"/>
  <c r="B22" i="18"/>
  <c r="C22" i="18" s="1"/>
  <c r="D22" i="18" s="1"/>
  <c r="B23" i="18"/>
  <c r="C23" i="18" s="1"/>
  <c r="D23" i="18" s="1"/>
  <c r="E23" i="18" s="1"/>
  <c r="F23" i="18" s="1"/>
  <c r="G23" i="18" s="1"/>
  <c r="H23" i="18" s="1"/>
  <c r="B24" i="18"/>
  <c r="C24" i="18" s="1"/>
  <c r="D24" i="18" s="1"/>
  <c r="B25" i="18"/>
  <c r="C25" i="18" s="1"/>
  <c r="D25" i="18" s="1"/>
  <c r="E25" i="18" s="1"/>
  <c r="F25" i="18" s="1"/>
  <c r="G25" i="18" s="1"/>
  <c r="H25" i="18" s="1"/>
  <c r="I25" i="18" s="1"/>
  <c r="J25" i="18" s="1"/>
  <c r="K25" i="18" s="1"/>
  <c r="B26" i="18"/>
  <c r="C26" i="18" s="1"/>
  <c r="D26" i="18" s="1"/>
  <c r="E26" i="18" s="1"/>
  <c r="B27" i="18"/>
  <c r="C27" i="18" s="1"/>
  <c r="D27" i="18" s="1"/>
  <c r="E27" i="18" s="1"/>
  <c r="F27" i="18" s="1"/>
  <c r="G27" i="18" s="1"/>
  <c r="H27" i="18" s="1"/>
  <c r="I27" i="18" s="1"/>
  <c r="J27" i="18" s="1"/>
  <c r="K27" i="18" s="1"/>
  <c r="B28" i="18"/>
  <c r="C28" i="18" s="1"/>
  <c r="D28" i="18" s="1"/>
  <c r="E28" i="18" s="1"/>
  <c r="F28" i="18" s="1"/>
  <c r="G28" i="18" s="1"/>
  <c r="H28" i="18" s="1"/>
  <c r="I28" i="18" s="1"/>
  <c r="J28" i="18" s="1"/>
  <c r="K28" i="18" s="1"/>
  <c r="B29" i="18"/>
  <c r="C29" i="18" s="1"/>
  <c r="D29" i="18" s="1"/>
  <c r="E29" i="18" s="1"/>
  <c r="F29" i="18" s="1"/>
  <c r="G29" i="18" s="1"/>
  <c r="H29" i="18" s="1"/>
  <c r="I29" i="18" s="1"/>
  <c r="J29" i="18" s="1"/>
  <c r="K29" i="18" s="1"/>
  <c r="B30" i="18"/>
  <c r="C30" i="18" s="1"/>
  <c r="D30" i="18" s="1"/>
  <c r="E30" i="18" s="1"/>
  <c r="F30" i="18" s="1"/>
  <c r="G30" i="18" s="1"/>
  <c r="H30" i="18" s="1"/>
  <c r="I30" i="18" s="1"/>
  <c r="J30" i="18" s="1"/>
  <c r="K30" i="18" s="1"/>
  <c r="B31" i="18"/>
  <c r="C31" i="18" s="1"/>
  <c r="D31" i="18" s="1"/>
  <c r="E31" i="18" s="1"/>
  <c r="F31" i="18" s="1"/>
  <c r="G31" i="18" s="1"/>
  <c r="H31" i="18" s="1"/>
  <c r="I31" i="18" s="1"/>
  <c r="J31" i="18" s="1"/>
  <c r="K31" i="18" s="1"/>
  <c r="B32" i="18"/>
  <c r="C32" i="18" s="1"/>
  <c r="D32" i="18" s="1"/>
  <c r="E32" i="18" s="1"/>
  <c r="F32" i="18" s="1"/>
  <c r="G32" i="18" s="1"/>
  <c r="H32" i="18" s="1"/>
  <c r="I32" i="18" s="1"/>
  <c r="J32" i="18" s="1"/>
  <c r="K32" i="18" s="1"/>
  <c r="B33" i="18"/>
  <c r="C33" i="18" s="1"/>
  <c r="D33" i="18" s="1"/>
  <c r="E33" i="18" s="1"/>
  <c r="F33" i="18" s="1"/>
  <c r="B38" i="18"/>
  <c r="B39" i="18"/>
  <c r="C39" i="18" s="1"/>
  <c r="D39" i="18" s="1"/>
  <c r="E39" i="18" s="1"/>
  <c r="F39" i="18" s="1"/>
  <c r="G39" i="18" s="1"/>
  <c r="H39" i="18" s="1"/>
  <c r="I39" i="18" s="1"/>
  <c r="J39" i="18" s="1"/>
  <c r="K39" i="18" s="1"/>
  <c r="B43" i="18"/>
  <c r="C43" i="18" s="1"/>
  <c r="D43" i="18" s="1"/>
  <c r="E43" i="18" s="1"/>
  <c r="F43" i="18" s="1"/>
  <c r="G43" i="18" s="1"/>
  <c r="H43" i="18" s="1"/>
  <c r="I43" i="18" s="1"/>
  <c r="J43" i="18" s="1"/>
  <c r="K43" i="18" s="1"/>
  <c r="B44" i="18"/>
  <c r="C44" i="18" s="1"/>
  <c r="D44" i="18" s="1"/>
  <c r="E44" i="18" s="1"/>
  <c r="F44" i="18" s="1"/>
  <c r="G44" i="18" s="1"/>
  <c r="H44" i="18" s="1"/>
  <c r="I44" i="18" s="1"/>
  <c r="J44" i="18" s="1"/>
  <c r="K44" i="18" s="1"/>
  <c r="B46" i="18"/>
  <c r="C46" i="18" s="1"/>
  <c r="D46" i="18" s="1"/>
  <c r="B47" i="18"/>
  <c r="C47" i="18" s="1"/>
  <c r="D47" i="18" s="1"/>
  <c r="B48" i="18"/>
  <c r="C48" i="18" s="1"/>
  <c r="D48" i="18" s="1"/>
  <c r="B49" i="18"/>
  <c r="C49" i="18" s="1"/>
  <c r="D49" i="18" s="1"/>
  <c r="E49" i="18" s="1"/>
  <c r="F49" i="18" s="1"/>
  <c r="G49" i="18" s="1"/>
  <c r="H49" i="18" s="1"/>
  <c r="I49" i="18" s="1"/>
  <c r="J49" i="18" s="1"/>
  <c r="K49" i="18" s="1"/>
  <c r="B50" i="18"/>
  <c r="C50" i="18" s="1"/>
  <c r="D50" i="18" s="1"/>
  <c r="B51" i="18"/>
  <c r="C51" i="18" s="1"/>
  <c r="D51" i="18" s="1"/>
  <c r="E51" i="18" s="1"/>
  <c r="F51" i="18" s="1"/>
  <c r="G51" i="18" s="1"/>
  <c r="H51" i="18" s="1"/>
  <c r="I51" i="18" s="1"/>
  <c r="J51" i="18" s="1"/>
  <c r="K51" i="18" s="1"/>
  <c r="B52" i="18"/>
  <c r="C52" i="18" s="1"/>
  <c r="D52" i="18" s="1"/>
  <c r="E52" i="18" s="1"/>
  <c r="B53" i="18"/>
  <c r="C53" i="18" s="1"/>
  <c r="D53" i="18" s="1"/>
  <c r="B54" i="18"/>
  <c r="C54" i="18" s="1"/>
  <c r="D54" i="18" s="1"/>
  <c r="E54" i="18" s="1"/>
  <c r="F54" i="18" s="1"/>
  <c r="B55" i="18"/>
  <c r="C55" i="18" s="1"/>
  <c r="D55" i="18" s="1"/>
  <c r="E55" i="18" s="1"/>
  <c r="F55" i="18" s="1"/>
  <c r="G55" i="18" s="1"/>
  <c r="H55" i="18" s="1"/>
  <c r="I55" i="18" s="1"/>
  <c r="J55" i="18" s="1"/>
  <c r="K55" i="18" s="1"/>
  <c r="B56" i="18"/>
  <c r="C56" i="18" s="1"/>
  <c r="D56" i="18" s="1"/>
  <c r="B57" i="18"/>
  <c r="C57" i="18" s="1"/>
  <c r="D57" i="18" s="1"/>
  <c r="E57" i="18" s="1"/>
  <c r="F57" i="18" s="1"/>
  <c r="G57" i="18" s="1"/>
  <c r="H57" i="18" s="1"/>
  <c r="I57" i="18" s="1"/>
  <c r="J57" i="18" s="1"/>
  <c r="K57" i="18" s="1"/>
  <c r="B58" i="18"/>
  <c r="C58" i="18" s="1"/>
  <c r="D58" i="18" s="1"/>
  <c r="E58" i="18" s="1"/>
  <c r="F58" i="18" s="1"/>
  <c r="G58" i="18" s="1"/>
  <c r="B59" i="18"/>
  <c r="C59" i="18" s="1"/>
  <c r="D59" i="18" s="1"/>
  <c r="E59" i="18" s="1"/>
  <c r="F59" i="18" s="1"/>
  <c r="G59" i="18" s="1"/>
  <c r="H59" i="18" s="1"/>
  <c r="I59" i="18" s="1"/>
  <c r="J59" i="18" s="1"/>
  <c r="K59" i="18" s="1"/>
  <c r="B60" i="18"/>
  <c r="C60" i="18" s="1"/>
  <c r="D60" i="18" s="1"/>
  <c r="E60" i="18" s="1"/>
  <c r="F60" i="18" s="1"/>
  <c r="G60" i="18" s="1"/>
  <c r="B61" i="18"/>
  <c r="C61" i="18" s="1"/>
  <c r="D61" i="18" s="1"/>
  <c r="E61" i="18" s="1"/>
  <c r="F61" i="18" s="1"/>
  <c r="G61" i="18" s="1"/>
  <c r="H61" i="18" s="1"/>
  <c r="B63" i="18"/>
  <c r="C63" i="18" s="1"/>
  <c r="D63" i="18" s="1"/>
  <c r="E63" i="18" s="1"/>
  <c r="F63" i="18" s="1"/>
  <c r="G63" i="18" s="1"/>
  <c r="H63" i="18" s="1"/>
  <c r="I63" i="18" s="1"/>
  <c r="J63" i="18" s="1"/>
  <c r="K63" i="18" s="1"/>
  <c r="B68" i="18"/>
  <c r="C68" i="18" s="1"/>
  <c r="D68" i="18" s="1"/>
  <c r="E68" i="18" s="1"/>
  <c r="F68" i="18" s="1"/>
  <c r="G68" i="18" s="1"/>
  <c r="H68" i="18" s="1"/>
  <c r="I68" i="18" s="1"/>
  <c r="J68" i="18" s="1"/>
  <c r="K68" i="18" s="1"/>
  <c r="B69" i="18"/>
  <c r="C69" i="18" s="1"/>
  <c r="D69" i="18" s="1"/>
  <c r="B73" i="18"/>
  <c r="C73" i="18" s="1"/>
  <c r="D73" i="18" s="1"/>
  <c r="E73" i="18" s="1"/>
  <c r="B74" i="18"/>
  <c r="C74" i="18" s="1"/>
  <c r="D74" i="18" s="1"/>
  <c r="E74" i="18" s="1"/>
  <c r="F74" i="18" s="1"/>
  <c r="G74" i="18" s="1"/>
  <c r="H74" i="18" s="1"/>
  <c r="I74" i="18" s="1"/>
  <c r="J74" i="18" s="1"/>
  <c r="K74" i="18" s="1"/>
  <c r="B76" i="18"/>
  <c r="C76" i="18" s="1"/>
  <c r="D76" i="18" s="1"/>
  <c r="E76" i="18" s="1"/>
  <c r="F76" i="18" s="1"/>
  <c r="G76" i="18" s="1"/>
  <c r="H76" i="18" s="1"/>
  <c r="I76" i="18" s="1"/>
  <c r="J76" i="18" s="1"/>
  <c r="K76" i="18" s="1"/>
  <c r="B77" i="18"/>
  <c r="C77" i="18" s="1"/>
  <c r="D77" i="18" s="1"/>
  <c r="E77" i="18" s="1"/>
  <c r="F77" i="18" s="1"/>
  <c r="G77" i="18" s="1"/>
  <c r="H77" i="18" s="1"/>
  <c r="I77" i="18" s="1"/>
  <c r="J77" i="18" s="1"/>
  <c r="K77" i="18" s="1"/>
  <c r="B78" i="18"/>
  <c r="C78" i="18" s="1"/>
  <c r="B79" i="18"/>
  <c r="C79" i="18" s="1"/>
  <c r="D79" i="18" s="1"/>
  <c r="E79" i="18" s="1"/>
  <c r="F79" i="18" s="1"/>
  <c r="G79" i="18" s="1"/>
  <c r="H79" i="18" s="1"/>
  <c r="I79" i="18" s="1"/>
  <c r="J79" i="18" s="1"/>
  <c r="K79" i="18" s="1"/>
  <c r="B80" i="18"/>
  <c r="C80" i="18" s="1"/>
  <c r="D80" i="18" s="1"/>
  <c r="E80" i="18" s="1"/>
  <c r="F80" i="18" s="1"/>
  <c r="G80" i="18" s="1"/>
  <c r="H80" i="18" s="1"/>
  <c r="I80" i="18" s="1"/>
  <c r="J80" i="18" s="1"/>
  <c r="K80" i="18" s="1"/>
  <c r="B81" i="18"/>
  <c r="C81" i="18" s="1"/>
  <c r="D81" i="18" s="1"/>
  <c r="E81" i="18" s="1"/>
  <c r="F81" i="18" s="1"/>
  <c r="G81" i="18" s="1"/>
  <c r="H81" i="18" s="1"/>
  <c r="I81" i="18" s="1"/>
  <c r="J81" i="18" s="1"/>
  <c r="K81" i="18" s="1"/>
  <c r="B82" i="18"/>
  <c r="C82" i="18" s="1"/>
  <c r="D82" i="18" s="1"/>
  <c r="E82" i="18" s="1"/>
  <c r="F82" i="18" s="1"/>
  <c r="G82" i="18" s="1"/>
  <c r="H82" i="18" s="1"/>
  <c r="I82" i="18" s="1"/>
  <c r="J82" i="18" s="1"/>
  <c r="K82" i="18" s="1"/>
  <c r="E165" i="18"/>
  <c r="D165" i="18"/>
  <c r="C165" i="18"/>
  <c r="E164" i="18"/>
  <c r="D164" i="18"/>
  <c r="C164" i="18"/>
  <c r="D163" i="18"/>
  <c r="C163" i="18"/>
  <c r="D162" i="18"/>
  <c r="C162" i="18"/>
  <c r="D161" i="18"/>
  <c r="C161" i="18"/>
  <c r="D160" i="18"/>
  <c r="C160" i="18"/>
  <c r="D159" i="18"/>
  <c r="C159" i="18"/>
  <c r="D158" i="18"/>
  <c r="C158" i="18"/>
  <c r="D157" i="18"/>
  <c r="C157" i="18"/>
  <c r="D156" i="18"/>
  <c r="C156" i="18"/>
  <c r="C155" i="18"/>
  <c r="C154" i="18"/>
  <c r="C153" i="18"/>
  <c r="C152" i="18"/>
  <c r="C10" i="17"/>
  <c r="D10" i="17" s="1"/>
  <c r="C8" i="17"/>
  <c r="D8" i="17" s="1"/>
  <c r="C7" i="17"/>
  <c r="D7" i="17" s="1"/>
  <c r="U6" i="10"/>
  <c r="T5" i="10"/>
  <c r="U8" i="6"/>
  <c r="J48" i="1"/>
  <c r="B48" i="1"/>
  <c r="L51" i="1"/>
  <c r="L50" i="1"/>
  <c r="V8" i="6"/>
  <c r="W8" i="6"/>
  <c r="X8" i="6"/>
  <c r="Y8" i="6"/>
  <c r="Z8" i="6"/>
  <c r="U6" i="6"/>
  <c r="V6" i="6"/>
  <c r="W6" i="6"/>
  <c r="X6" i="6"/>
  <c r="Y6" i="6"/>
  <c r="Z6" i="6"/>
  <c r="U7" i="6"/>
  <c r="R7" i="15" s="1"/>
  <c r="V7" i="6"/>
  <c r="S6" i="15" s="1"/>
  <c r="W7" i="6"/>
  <c r="T8" i="15" s="1"/>
  <c r="X7" i="6"/>
  <c r="U10" i="15" s="1"/>
  <c r="Y7" i="6"/>
  <c r="V13" i="15" s="1"/>
  <c r="Z7" i="6"/>
  <c r="V5" i="6"/>
  <c r="W5" i="6"/>
  <c r="X5" i="6"/>
  <c r="Y5" i="6"/>
  <c r="Z5" i="6"/>
  <c r="U5" i="6"/>
  <c r="Q7" i="6"/>
  <c r="N10" i="15" s="1"/>
  <c r="Y53" i="3"/>
  <c r="Y54" i="3"/>
  <c r="Y55" i="3"/>
  <c r="Y56" i="3"/>
  <c r="Y57" i="3"/>
  <c r="Y58" i="3"/>
  <c r="Y59" i="3"/>
  <c r="Y60" i="3"/>
  <c r="Y61" i="3"/>
  <c r="Y62" i="3"/>
  <c r="Y63" i="3"/>
  <c r="Y64" i="3"/>
  <c r="Y65" i="3"/>
  <c r="Y66" i="3"/>
  <c r="Y67" i="3"/>
  <c r="AC53" i="3"/>
  <c r="AC54" i="3"/>
  <c r="AC55" i="3"/>
  <c r="AC56" i="3"/>
  <c r="AC57" i="3"/>
  <c r="AC58" i="3"/>
  <c r="AC59" i="3"/>
  <c r="AC60" i="3"/>
  <c r="AC61" i="3"/>
  <c r="AC62" i="3"/>
  <c r="AC63" i="3"/>
  <c r="AC64" i="3"/>
  <c r="AC65" i="3"/>
  <c r="AC66" i="3"/>
  <c r="AC67" i="3"/>
  <c r="X53" i="3"/>
  <c r="X54" i="3"/>
  <c r="X55" i="3"/>
  <c r="X56" i="3"/>
  <c r="X57" i="3"/>
  <c r="X58" i="3"/>
  <c r="X59" i="3"/>
  <c r="X60" i="3"/>
  <c r="X61" i="3"/>
  <c r="X62" i="3"/>
  <c r="X63" i="3"/>
  <c r="X64" i="3"/>
  <c r="X65" i="3"/>
  <c r="X66" i="3"/>
  <c r="X67" i="3"/>
  <c r="AG8" i="3"/>
  <c r="AF8" i="3"/>
  <c r="AE7" i="3"/>
  <c r="AC6"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F37" i="3"/>
  <c r="E37" i="3"/>
  <c r="F71" i="2" l="1"/>
  <c r="N71" i="2" s="1"/>
  <c r="W5" i="15"/>
  <c r="L81" i="11"/>
  <c r="L77" i="11"/>
  <c r="L75" i="11"/>
  <c r="L80" i="11"/>
  <c r="L78" i="11"/>
  <c r="L74" i="11"/>
  <c r="L82" i="11"/>
  <c r="L76" i="11"/>
  <c r="L73" i="11"/>
  <c r="Y80" i="10"/>
  <c r="C79" i="11"/>
  <c r="L79" i="11" s="1"/>
  <c r="R29" i="15"/>
  <c r="S35" i="18"/>
  <c r="R13" i="15"/>
  <c r="R5" i="15"/>
  <c r="U61" i="18"/>
  <c r="S38" i="18"/>
  <c r="T29" i="15"/>
  <c r="T19" i="15"/>
  <c r="U67" i="18"/>
  <c r="W8" i="18"/>
  <c r="S11" i="18"/>
  <c r="U43" i="18"/>
  <c r="S70" i="18"/>
  <c r="X13" i="18"/>
  <c r="U46" i="18"/>
  <c r="U70" i="18"/>
  <c r="O14" i="18"/>
  <c r="U49" i="18"/>
  <c r="U73" i="18"/>
  <c r="X17" i="18"/>
  <c r="U55" i="18"/>
  <c r="S78" i="18"/>
  <c r="O18" i="18"/>
  <c r="U58" i="18"/>
  <c r="U79" i="18"/>
  <c r="S25" i="18"/>
  <c r="S59" i="18"/>
  <c r="U82" i="18"/>
  <c r="X16" i="18"/>
  <c r="X28" i="18"/>
  <c r="V42" i="18"/>
  <c r="X51" i="18"/>
  <c r="V6" i="18"/>
  <c r="V13" i="18"/>
  <c r="S17" i="18"/>
  <c r="X21" i="18"/>
  <c r="S30" i="18"/>
  <c r="X35" i="18"/>
  <c r="S43" i="18"/>
  <c r="X46" i="18"/>
  <c r="U52" i="18"/>
  <c r="V58" i="18"/>
  <c r="U64" i="18"/>
  <c r="X68" i="18"/>
  <c r="S73" i="18"/>
  <c r="W78" i="18"/>
  <c r="V52" i="18"/>
  <c r="X8" i="18"/>
  <c r="X22" i="18"/>
  <c r="X31" i="18"/>
  <c r="X38" i="18"/>
  <c r="X44" i="18"/>
  <c r="X47" i="18"/>
  <c r="X52" i="18"/>
  <c r="X59" i="18"/>
  <c r="X64" i="18"/>
  <c r="S75" i="18"/>
  <c r="X79" i="18"/>
  <c r="V22" i="18"/>
  <c r="R21" i="15"/>
  <c r="K9" i="14"/>
  <c r="X9" i="14" s="1"/>
  <c r="S9" i="18"/>
  <c r="S14" i="18"/>
  <c r="S19" i="18"/>
  <c r="V23" i="18"/>
  <c r="X40" i="18"/>
  <c r="W45" i="18"/>
  <c r="V48" i="18"/>
  <c r="V53" i="18"/>
  <c r="V60" i="18"/>
  <c r="S65" i="18"/>
  <c r="V70" i="18"/>
  <c r="V75" i="18"/>
  <c r="S81" i="18"/>
  <c r="V47" i="18"/>
  <c r="V64" i="18"/>
  <c r="U5" i="18"/>
  <c r="X9" i="18"/>
  <c r="V14" i="18"/>
  <c r="U19" i="18"/>
  <c r="S33" i="18"/>
  <c r="S41" i="18"/>
  <c r="X45" i="18"/>
  <c r="S49" i="18"/>
  <c r="S54" i="18"/>
  <c r="X60" i="18"/>
  <c r="V65" i="18"/>
  <c r="W70" i="18"/>
  <c r="U76" i="18"/>
  <c r="V81" i="18"/>
  <c r="X14" i="18"/>
  <c r="V19" i="18"/>
  <c r="V34" i="18"/>
  <c r="V41" i="18"/>
  <c r="S46" i="18"/>
  <c r="X65" i="18"/>
  <c r="X70" i="18"/>
  <c r="W76" i="18"/>
  <c r="V11" i="18"/>
  <c r="V16" i="18"/>
  <c r="V20" i="18"/>
  <c r="S27" i="18"/>
  <c r="W34" i="18"/>
  <c r="X41" i="18"/>
  <c r="S51" i="18"/>
  <c r="S57" i="18"/>
  <c r="S62" i="18"/>
  <c r="S67" i="18"/>
  <c r="V72" i="18"/>
  <c r="V77" i="18"/>
  <c r="V82" i="18"/>
  <c r="V12" i="18"/>
  <c r="V21" i="18"/>
  <c r="V46" i="18"/>
  <c r="X63" i="18"/>
  <c r="X72" i="18"/>
  <c r="O41" i="18"/>
  <c r="O80" i="18"/>
  <c r="O48" i="18"/>
  <c r="O36" i="18"/>
  <c r="O46" i="18"/>
  <c r="O78" i="18"/>
  <c r="O8" i="18"/>
  <c r="O49" i="18"/>
  <c r="O75" i="18"/>
  <c r="O28" i="18"/>
  <c r="O33" i="18"/>
  <c r="O43" i="18"/>
  <c r="O40" i="18"/>
  <c r="O77" i="18"/>
  <c r="O29" i="18"/>
  <c r="O71" i="18"/>
  <c r="O9" i="18"/>
  <c r="O30" i="18"/>
  <c r="O44" i="18"/>
  <c r="O63" i="18"/>
  <c r="O72" i="18"/>
  <c r="O13" i="18"/>
  <c r="O16" i="18"/>
  <c r="O22" i="18"/>
  <c r="O34" i="18"/>
  <c r="O38" i="18"/>
  <c r="O57" i="18"/>
  <c r="O60" i="18"/>
  <c r="O70" i="18"/>
  <c r="O82" i="18"/>
  <c r="O26" i="18"/>
  <c r="O45" i="18"/>
  <c r="O47" i="18"/>
  <c r="O50" i="18"/>
  <c r="O53" i="18"/>
  <c r="O64" i="18"/>
  <c r="O66" i="18"/>
  <c r="O76" i="18"/>
  <c r="O79" i="18"/>
  <c r="O19" i="18"/>
  <c r="O25" i="18"/>
  <c r="O37" i="18"/>
  <c r="O56" i="18"/>
  <c r="O69" i="18"/>
  <c r="O27" i="18"/>
  <c r="O31" i="18"/>
  <c r="O42" i="18"/>
  <c r="O51" i="18"/>
  <c r="O58" i="18"/>
  <c r="O67" i="18"/>
  <c r="O73" i="18"/>
  <c r="O17" i="18"/>
  <c r="O20" i="18"/>
  <c r="O23" i="18"/>
  <c r="O35" i="18"/>
  <c r="O39" i="18"/>
  <c r="O54" i="18"/>
  <c r="O61" i="18"/>
  <c r="O21" i="18"/>
  <c r="O24" i="18"/>
  <c r="O52" i="18"/>
  <c r="O55" i="18"/>
  <c r="O59" i="18"/>
  <c r="O62" i="18"/>
  <c r="O65" i="18"/>
  <c r="O68" i="18"/>
  <c r="O74" i="18"/>
  <c r="O81" i="18"/>
  <c r="X11" i="18"/>
  <c r="X24" i="18"/>
  <c r="X27" i="18"/>
  <c r="X30" i="18"/>
  <c r="X33" i="18"/>
  <c r="X39" i="18"/>
  <c r="X54" i="18"/>
  <c r="X57" i="18"/>
  <c r="X62" i="18"/>
  <c r="X67" i="18"/>
  <c r="X77" i="18"/>
  <c r="X19" i="18"/>
  <c r="X36" i="18"/>
  <c r="X42" i="18"/>
  <c r="X49" i="18"/>
  <c r="X75" i="18"/>
  <c r="X80" i="18"/>
  <c r="X82" i="18"/>
  <c r="X6" i="18"/>
  <c r="X12" i="18"/>
  <c r="X25" i="18"/>
  <c r="X37" i="18"/>
  <c r="X50" i="18"/>
  <c r="X55" i="18"/>
  <c r="X73" i="18"/>
  <c r="X10" i="18"/>
  <c r="X15" i="18"/>
  <c r="X18" i="18"/>
  <c r="X20" i="18"/>
  <c r="X29" i="18"/>
  <c r="X34" i="18"/>
  <c r="X58" i="18"/>
  <c r="X66" i="18"/>
  <c r="X69" i="18"/>
  <c r="X71" i="18"/>
  <c r="X78" i="18"/>
  <c r="X23" i="18"/>
  <c r="X26" i="18"/>
  <c r="X43" i="18"/>
  <c r="X48" i="18"/>
  <c r="X53" i="18"/>
  <c r="X56" i="18"/>
  <c r="X61" i="18"/>
  <c r="X74" i="18"/>
  <c r="X76" i="18"/>
  <c r="X81" i="18"/>
  <c r="W33" i="18"/>
  <c r="W40" i="18"/>
  <c r="W65" i="18"/>
  <c r="W73" i="18"/>
  <c r="W77" i="18"/>
  <c r="W81" i="18"/>
  <c r="W42" i="18"/>
  <c r="W44" i="18"/>
  <c r="W29" i="18"/>
  <c r="W35" i="18"/>
  <c r="W67" i="18"/>
  <c r="W75" i="18"/>
  <c r="W79" i="18"/>
  <c r="W6" i="18"/>
  <c r="W9" i="18"/>
  <c r="W11" i="18"/>
  <c r="W13" i="18"/>
  <c r="W15" i="18"/>
  <c r="W17" i="18"/>
  <c r="W27" i="18"/>
  <c r="W38" i="18"/>
  <c r="W46" i="18"/>
  <c r="W48" i="18"/>
  <c r="W50" i="18"/>
  <c r="W56" i="18"/>
  <c r="W19" i="18"/>
  <c r="W21" i="18"/>
  <c r="W23" i="18"/>
  <c r="W25" i="18"/>
  <c r="W36" i="18"/>
  <c r="W52" i="18"/>
  <c r="W54" i="18"/>
  <c r="W58" i="18"/>
  <c r="W60" i="18"/>
  <c r="W62" i="18"/>
  <c r="W64" i="18"/>
  <c r="W66" i="18"/>
  <c r="W68" i="18"/>
  <c r="W72" i="18"/>
  <c r="W74" i="18"/>
  <c r="W80" i="18"/>
  <c r="W5" i="18"/>
  <c r="W10" i="18"/>
  <c r="W18" i="18"/>
  <c r="W28" i="18"/>
  <c r="W39" i="18"/>
  <c r="W41" i="18"/>
  <c r="W82" i="18"/>
  <c r="W12" i="18"/>
  <c r="W16" i="18"/>
  <c r="W26" i="18"/>
  <c r="W37" i="18"/>
  <c r="W43" i="18"/>
  <c r="W47" i="18"/>
  <c r="W51" i="18"/>
  <c r="W57" i="18"/>
  <c r="W63" i="18"/>
  <c r="W69" i="18"/>
  <c r="W14" i="18"/>
  <c r="W20" i="18"/>
  <c r="W22" i="18"/>
  <c r="W24" i="18"/>
  <c r="W49" i="18"/>
  <c r="W53" i="18"/>
  <c r="W55" i="18"/>
  <c r="W59" i="18"/>
  <c r="W61" i="18"/>
  <c r="W71" i="18"/>
  <c r="V18" i="18"/>
  <c r="V25" i="18"/>
  <c r="V36" i="18"/>
  <c r="V43" i="18"/>
  <c r="V45" i="18"/>
  <c r="V50" i="18"/>
  <c r="V55" i="18"/>
  <c r="V9" i="18"/>
  <c r="V27" i="18"/>
  <c r="V29" i="18"/>
  <c r="V38" i="18"/>
  <c r="V40" i="18"/>
  <c r="V57" i="18"/>
  <c r="V62" i="18"/>
  <c r="V67" i="18"/>
  <c r="V69" i="18"/>
  <c r="V74" i="18"/>
  <c r="V79" i="18"/>
  <c r="V15" i="18"/>
  <c r="V24" i="18"/>
  <c r="V33" i="18"/>
  <c r="V54" i="18"/>
  <c r="V59" i="18"/>
  <c r="V66" i="18"/>
  <c r="V71" i="18"/>
  <c r="V76" i="18"/>
  <c r="V8" i="18"/>
  <c r="V17" i="18"/>
  <c r="V35" i="18"/>
  <c r="V37" i="18"/>
  <c r="V44" i="18"/>
  <c r="V49" i="18"/>
  <c r="V56" i="18"/>
  <c r="V61" i="18"/>
  <c r="V78" i="18"/>
  <c r="V10" i="18"/>
  <c r="V28" i="18"/>
  <c r="V39" i="18"/>
  <c r="V51" i="18"/>
  <c r="V63" i="18"/>
  <c r="V68" i="18"/>
  <c r="V73" i="18"/>
  <c r="V80" i="18"/>
  <c r="T10" i="15"/>
  <c r="U9" i="18"/>
  <c r="U12" i="18"/>
  <c r="U15" i="18"/>
  <c r="U18" i="18"/>
  <c r="U21" i="18"/>
  <c r="U27" i="18"/>
  <c r="U33" i="18"/>
  <c r="U36" i="18"/>
  <c r="U39" i="18"/>
  <c r="U42" i="18"/>
  <c r="U45" i="18"/>
  <c r="U48" i="18"/>
  <c r="U51" i="18"/>
  <c r="U54" i="18"/>
  <c r="U57" i="18"/>
  <c r="U60" i="18"/>
  <c r="U63" i="18"/>
  <c r="U66" i="18"/>
  <c r="U69" i="18"/>
  <c r="U72" i="18"/>
  <c r="U8" i="18"/>
  <c r="U23" i="18"/>
  <c r="U26" i="18"/>
  <c r="U29" i="18"/>
  <c r="U32" i="18"/>
  <c r="U75" i="18"/>
  <c r="U78" i="18"/>
  <c r="U81" i="18"/>
  <c r="U11" i="18"/>
  <c r="U14" i="18"/>
  <c r="U17" i="18"/>
  <c r="U20" i="18"/>
  <c r="U35" i="18"/>
  <c r="U38" i="18"/>
  <c r="U41" i="18"/>
  <c r="U44" i="18"/>
  <c r="U47" i="18"/>
  <c r="U50" i="18"/>
  <c r="U53" i="18"/>
  <c r="U56" i="18"/>
  <c r="U59" i="18"/>
  <c r="U62" i="18"/>
  <c r="U65" i="18"/>
  <c r="U68" i="18"/>
  <c r="U71" i="18"/>
  <c r="U74" i="18"/>
  <c r="U77" i="18"/>
  <c r="U80" i="18"/>
  <c r="U10" i="18"/>
  <c r="U13" i="18"/>
  <c r="U16" i="18"/>
  <c r="U22" i="18"/>
  <c r="U25" i="18"/>
  <c r="U31" i="18"/>
  <c r="U34" i="18"/>
  <c r="U37" i="18"/>
  <c r="U40" i="18"/>
  <c r="T31" i="18"/>
  <c r="T51" i="18"/>
  <c r="T16" i="18"/>
  <c r="T21" i="18"/>
  <c r="T40" i="18"/>
  <c r="T45" i="18"/>
  <c r="T50" i="18"/>
  <c r="T55" i="18"/>
  <c r="T60" i="18"/>
  <c r="T65" i="18"/>
  <c r="T70" i="18"/>
  <c r="T75" i="18"/>
  <c r="S14" i="15"/>
  <c r="T17" i="18"/>
  <c r="T41" i="18"/>
  <c r="T46" i="18"/>
  <c r="T80" i="18"/>
  <c r="T11" i="18"/>
  <c r="T25" i="18"/>
  <c r="T30" i="18"/>
  <c r="T35" i="18"/>
  <c r="T64" i="18"/>
  <c r="T69" i="18"/>
  <c r="T74" i="18"/>
  <c r="T79" i="18"/>
  <c r="T12" i="18"/>
  <c r="T36" i="18"/>
  <c r="G4" i="14"/>
  <c r="T4" i="14" s="1"/>
  <c r="T10" i="18"/>
  <c r="T15" i="18"/>
  <c r="T20" i="18"/>
  <c r="T29" i="18"/>
  <c r="T34" i="18"/>
  <c r="T39" i="18"/>
  <c r="T44" i="18"/>
  <c r="T49" i="18"/>
  <c r="T54" i="18"/>
  <c r="T59" i="18"/>
  <c r="T5" i="18"/>
  <c r="S24" i="15"/>
  <c r="G13" i="14"/>
  <c r="T13" i="14" s="1"/>
  <c r="G5" i="14"/>
  <c r="T5" i="14" s="1"/>
  <c r="T48" i="18"/>
  <c r="T53" i="18"/>
  <c r="T58" i="18"/>
  <c r="T63" i="18"/>
  <c r="T68" i="18"/>
  <c r="T73" i="18"/>
  <c r="T78" i="18"/>
  <c r="S22" i="15"/>
  <c r="T9" i="18"/>
  <c r="T14" i="18"/>
  <c r="T19" i="18"/>
  <c r="T28" i="18"/>
  <c r="T33" i="18"/>
  <c r="T38" i="18"/>
  <c r="T43" i="18"/>
  <c r="T72" i="18"/>
  <c r="T77" i="18"/>
  <c r="T82" i="18"/>
  <c r="T18" i="18"/>
  <c r="T37" i="18"/>
  <c r="T67" i="18"/>
  <c r="T8" i="18"/>
  <c r="T13" i="18"/>
  <c r="T32" i="18"/>
  <c r="T42" i="18"/>
  <c r="T47" i="18"/>
  <c r="T52" i="18"/>
  <c r="T57" i="18"/>
  <c r="T62" i="18"/>
  <c r="T27" i="18"/>
  <c r="T56" i="18"/>
  <c r="T61" i="18"/>
  <c r="T66" i="18"/>
  <c r="T71" i="18"/>
  <c r="T76" i="18"/>
  <c r="T81" i="18"/>
  <c r="S5" i="18"/>
  <c r="S8" i="18"/>
  <c r="S16" i="18"/>
  <c r="S24" i="18"/>
  <c r="S32" i="18"/>
  <c r="S40" i="18"/>
  <c r="S48" i="18"/>
  <c r="S56" i="18"/>
  <c r="S64" i="18"/>
  <c r="S72" i="18"/>
  <c r="S80" i="18"/>
  <c r="F6" i="14"/>
  <c r="S6" i="14" s="1"/>
  <c r="S15" i="18"/>
  <c r="S31" i="18"/>
  <c r="S39" i="18"/>
  <c r="S47" i="18"/>
  <c r="S55" i="18"/>
  <c r="S63" i="18"/>
  <c r="S71" i="18"/>
  <c r="S79" i="18"/>
  <c r="S13" i="18"/>
  <c r="S21" i="18"/>
  <c r="S29" i="18"/>
  <c r="S37" i="18"/>
  <c r="S45" i="18"/>
  <c r="S53" i="18"/>
  <c r="S61" i="18"/>
  <c r="S69" i="18"/>
  <c r="S77" i="18"/>
  <c r="S12" i="18"/>
  <c r="S28" i="18"/>
  <c r="S36" i="18"/>
  <c r="S44" i="18"/>
  <c r="S52" i="18"/>
  <c r="S60" i="18"/>
  <c r="S68" i="18"/>
  <c r="S76" i="18"/>
  <c r="S7" i="18"/>
  <c r="S10" i="18"/>
  <c r="S18" i="18"/>
  <c r="S26" i="18"/>
  <c r="S34" i="18"/>
  <c r="S42" i="18"/>
  <c r="S50" i="18"/>
  <c r="S58" i="18"/>
  <c r="S66" i="18"/>
  <c r="S74" i="18"/>
  <c r="S82" i="18"/>
  <c r="H15" i="18"/>
  <c r="I15" i="18" s="1"/>
  <c r="J15" i="18" s="1"/>
  <c r="K15" i="18" s="1"/>
  <c r="G33" i="18"/>
  <c r="H33" i="18" s="1"/>
  <c r="I33" i="18" s="1"/>
  <c r="J33" i="18" s="1"/>
  <c r="K33" i="18" s="1"/>
  <c r="F26" i="18"/>
  <c r="G26" i="18" s="1"/>
  <c r="H26" i="18" s="1"/>
  <c r="I26" i="18" s="1"/>
  <c r="J26" i="18" s="1"/>
  <c r="K26" i="18" s="1"/>
  <c r="L74" i="18"/>
  <c r="I23" i="18"/>
  <c r="J23" i="18" s="1"/>
  <c r="K23" i="18" s="1"/>
  <c r="H7" i="18"/>
  <c r="I7" i="18" s="1"/>
  <c r="J7" i="18" s="1"/>
  <c r="K7" i="18" s="1"/>
  <c r="I6" i="18"/>
  <c r="J6" i="18" s="1"/>
  <c r="K6" i="18" s="1"/>
  <c r="K13" i="18"/>
  <c r="L13" i="18" s="1"/>
  <c r="G9" i="18"/>
  <c r="H9" i="18" s="1"/>
  <c r="I9" i="18" s="1"/>
  <c r="J9" i="18" s="1"/>
  <c r="K9" i="18" s="1"/>
  <c r="L18" i="18"/>
  <c r="D78" i="18"/>
  <c r="E78" i="18" s="1"/>
  <c r="F78" i="18" s="1"/>
  <c r="G78" i="18" s="1"/>
  <c r="H78" i="18" s="1"/>
  <c r="I78" i="18" s="1"/>
  <c r="J78" i="18" s="1"/>
  <c r="K78" i="18" s="1"/>
  <c r="L29" i="18"/>
  <c r="L77" i="18"/>
  <c r="L80" i="18"/>
  <c r="L21" i="18"/>
  <c r="E24" i="18"/>
  <c r="F24" i="18" s="1"/>
  <c r="G24" i="18" s="1"/>
  <c r="H24" i="18" s="1"/>
  <c r="I24" i="18" s="1"/>
  <c r="J24" i="18" s="1"/>
  <c r="K24" i="18" s="1"/>
  <c r="L55" i="18"/>
  <c r="L5" i="18"/>
  <c r="L81" i="18"/>
  <c r="F73" i="18"/>
  <c r="G73" i="18" s="1"/>
  <c r="H73" i="18" s="1"/>
  <c r="I73" i="18" s="1"/>
  <c r="J73" i="18" s="1"/>
  <c r="K73" i="18" s="1"/>
  <c r="L11" i="18"/>
  <c r="L25" i="18"/>
  <c r="L79" i="18"/>
  <c r="L57" i="18"/>
  <c r="E53" i="18"/>
  <c r="L49" i="18"/>
  <c r="L17" i="18"/>
  <c r="E56" i="18"/>
  <c r="F56" i="18" s="1"/>
  <c r="E69" i="18"/>
  <c r="F69" i="18" s="1"/>
  <c r="G69" i="18" s="1"/>
  <c r="H69" i="18" s="1"/>
  <c r="I69" i="18" s="1"/>
  <c r="J69" i="18" s="1"/>
  <c r="K69" i="18" s="1"/>
  <c r="E48" i="18"/>
  <c r="F48" i="18" s="1"/>
  <c r="G48" i="18" s="1"/>
  <c r="H48" i="18" s="1"/>
  <c r="I48" i="18" s="1"/>
  <c r="J48" i="18" s="1"/>
  <c r="K48" i="18" s="1"/>
  <c r="L10" i="18"/>
  <c r="L51" i="18"/>
  <c r="E22" i="18"/>
  <c r="F22" i="18" s="1"/>
  <c r="G22" i="18" s="1"/>
  <c r="H22" i="18" s="1"/>
  <c r="I22" i="18" s="1"/>
  <c r="J22" i="18" s="1"/>
  <c r="K22" i="18" s="1"/>
  <c r="L30" i="18"/>
  <c r="D14" i="18"/>
  <c r="E14" i="18" s="1"/>
  <c r="F14" i="18" s="1"/>
  <c r="G14" i="18" s="1"/>
  <c r="H14" i="18" s="1"/>
  <c r="I14" i="18" s="1"/>
  <c r="J14" i="18" s="1"/>
  <c r="K14" i="18" s="1"/>
  <c r="L4" i="18"/>
  <c r="L39" i="18"/>
  <c r="L76" i="18"/>
  <c r="L20" i="18"/>
  <c r="L28" i="18"/>
  <c r="L82" i="18"/>
  <c r="L12" i="18"/>
  <c r="L31" i="18"/>
  <c r="L63" i="18"/>
  <c r="L68" i="18"/>
  <c r="L16" i="18"/>
  <c r="L27" i="18"/>
  <c r="L32" i="18"/>
  <c r="L59" i="18"/>
  <c r="L44" i="18"/>
  <c r="L8" i="18"/>
  <c r="L19" i="18"/>
  <c r="L43" i="18"/>
  <c r="K25" i="14"/>
  <c r="K17" i="14"/>
  <c r="F14" i="14"/>
  <c r="S14" i="14" s="1"/>
  <c r="H12" i="14"/>
  <c r="U12" i="14" s="1"/>
  <c r="I11" i="14"/>
  <c r="V11" i="14" s="1"/>
  <c r="J10" i="14"/>
  <c r="W10" i="14" s="1"/>
  <c r="S27" i="15"/>
  <c r="F4" i="14"/>
  <c r="S4" i="14" s="1"/>
  <c r="J25" i="14"/>
  <c r="K24" i="14"/>
  <c r="G20" i="14"/>
  <c r="T20" i="14" s="1"/>
  <c r="H19" i="14"/>
  <c r="U19" i="14" s="1"/>
  <c r="I18" i="14"/>
  <c r="V18" i="14" s="1"/>
  <c r="J17" i="14"/>
  <c r="K16" i="14"/>
  <c r="X16" i="14" s="1"/>
  <c r="F13" i="14"/>
  <c r="S13" i="14" s="1"/>
  <c r="G12" i="14"/>
  <c r="T12" i="14" s="1"/>
  <c r="H11" i="14"/>
  <c r="U11" i="14" s="1"/>
  <c r="I10" i="14"/>
  <c r="V10" i="14" s="1"/>
  <c r="J9" i="14"/>
  <c r="W9" i="14" s="1"/>
  <c r="K8" i="14"/>
  <c r="X8" i="14" s="1"/>
  <c r="F5" i="14"/>
  <c r="S5" i="14" s="1"/>
  <c r="J26" i="14"/>
  <c r="G21" i="14"/>
  <c r="T21" i="14" s="1"/>
  <c r="H20" i="14"/>
  <c r="U20" i="14" s="1"/>
  <c r="I19" i="14"/>
  <c r="V19" i="14" s="1"/>
  <c r="J18" i="14"/>
  <c r="S25" i="15"/>
  <c r="S7" i="15"/>
  <c r="K31" i="14"/>
  <c r="I25" i="14"/>
  <c r="V25" i="14" s="1"/>
  <c r="J24" i="14"/>
  <c r="K23" i="14"/>
  <c r="G19" i="14"/>
  <c r="T19" i="14" s="1"/>
  <c r="H18" i="14"/>
  <c r="U18" i="14" s="1"/>
  <c r="I17" i="14"/>
  <c r="V17" i="14" s="1"/>
  <c r="J16" i="14"/>
  <c r="K15" i="14"/>
  <c r="F12" i="14"/>
  <c r="S12" i="14" s="1"/>
  <c r="G11" i="14"/>
  <c r="T11" i="14" s="1"/>
  <c r="H10" i="14"/>
  <c r="U10" i="14" s="1"/>
  <c r="I9" i="14"/>
  <c r="V9" i="14" s="1"/>
  <c r="J8" i="14"/>
  <c r="W8" i="14" s="1"/>
  <c r="K7" i="14"/>
  <c r="X7" i="14" s="1"/>
  <c r="K30" i="14"/>
  <c r="I24" i="14"/>
  <c r="V24" i="14" s="1"/>
  <c r="J23" i="14"/>
  <c r="K22" i="14"/>
  <c r="F19" i="14"/>
  <c r="G18" i="14"/>
  <c r="T18" i="14" s="1"/>
  <c r="H17" i="14"/>
  <c r="U17" i="14" s="1"/>
  <c r="I16" i="14"/>
  <c r="V16" i="14" s="1"/>
  <c r="J15" i="14"/>
  <c r="K14" i="14"/>
  <c r="F11" i="14"/>
  <c r="S11" i="14" s="1"/>
  <c r="G10" i="14"/>
  <c r="T10" i="14" s="1"/>
  <c r="H9" i="14"/>
  <c r="U9" i="14" s="1"/>
  <c r="I8" i="14"/>
  <c r="V8" i="14" s="1"/>
  <c r="J7" i="14"/>
  <c r="W7" i="14" s="1"/>
  <c r="K6" i="14"/>
  <c r="X6" i="14" s="1"/>
  <c r="K4" i="14"/>
  <c r="X4" i="14" s="1"/>
  <c r="K29" i="14"/>
  <c r="I23" i="14"/>
  <c r="V23" i="14" s="1"/>
  <c r="J22" i="14"/>
  <c r="K21" i="14"/>
  <c r="F18" i="14"/>
  <c r="G17" i="14"/>
  <c r="T17" i="14" s="1"/>
  <c r="H16" i="14"/>
  <c r="U16" i="14" s="1"/>
  <c r="I15" i="14"/>
  <c r="V15" i="14" s="1"/>
  <c r="J14" i="14"/>
  <c r="K13" i="14"/>
  <c r="F10" i="14"/>
  <c r="S10" i="14" s="1"/>
  <c r="G9" i="14"/>
  <c r="T9" i="14" s="1"/>
  <c r="H8" i="14"/>
  <c r="U8" i="14" s="1"/>
  <c r="I7" i="14"/>
  <c r="V7" i="14" s="1"/>
  <c r="J6" i="14"/>
  <c r="W6" i="14" s="1"/>
  <c r="K5" i="14"/>
  <c r="X5" i="14" s="1"/>
  <c r="J4" i="14"/>
  <c r="W4" i="14" s="1"/>
  <c r="J29" i="14"/>
  <c r="K28" i="14"/>
  <c r="H23" i="14"/>
  <c r="U23" i="14" s="1"/>
  <c r="I22" i="14"/>
  <c r="V22" i="14" s="1"/>
  <c r="J21" i="14"/>
  <c r="K20" i="14"/>
  <c r="F17" i="14"/>
  <c r="G16" i="14"/>
  <c r="T16" i="14" s="1"/>
  <c r="H15" i="14"/>
  <c r="U15" i="14" s="1"/>
  <c r="I14" i="14"/>
  <c r="V14" i="14" s="1"/>
  <c r="J13" i="14"/>
  <c r="K12" i="14"/>
  <c r="X12" i="14" s="1"/>
  <c r="F9" i="14"/>
  <c r="S9" i="14" s="1"/>
  <c r="G8" i="14"/>
  <c r="T8" i="14" s="1"/>
  <c r="H7" i="14"/>
  <c r="U7" i="14" s="1"/>
  <c r="I6" i="14"/>
  <c r="V6" i="14" s="1"/>
  <c r="J5" i="14"/>
  <c r="W5" i="14" s="1"/>
  <c r="I4" i="14"/>
  <c r="V4" i="14" s="1"/>
  <c r="J28" i="14"/>
  <c r="K27" i="14"/>
  <c r="H22" i="14"/>
  <c r="U22" i="14" s="1"/>
  <c r="I21" i="14"/>
  <c r="V21" i="14" s="1"/>
  <c r="J20" i="14"/>
  <c r="K19" i="14"/>
  <c r="F16" i="14"/>
  <c r="S16" i="14" s="1"/>
  <c r="G15" i="14"/>
  <c r="T15" i="14" s="1"/>
  <c r="H14" i="14"/>
  <c r="U14" i="14" s="1"/>
  <c r="I13" i="14"/>
  <c r="V13" i="14" s="1"/>
  <c r="J12" i="14"/>
  <c r="K11" i="14"/>
  <c r="X11" i="14" s="1"/>
  <c r="F8" i="14"/>
  <c r="S8" i="14" s="1"/>
  <c r="G7" i="14"/>
  <c r="T7" i="14" s="1"/>
  <c r="H6" i="14"/>
  <c r="U6" i="14" s="1"/>
  <c r="I5" i="14"/>
  <c r="V5" i="14" s="1"/>
  <c r="H4" i="14"/>
  <c r="U4" i="14" s="1"/>
  <c r="J27" i="14"/>
  <c r="K26" i="14"/>
  <c r="H21" i="14"/>
  <c r="U21" i="14" s="1"/>
  <c r="I20" i="14"/>
  <c r="V20" i="14" s="1"/>
  <c r="J19" i="14"/>
  <c r="K18" i="14"/>
  <c r="F15" i="14"/>
  <c r="S15" i="14" s="1"/>
  <c r="G14" i="14"/>
  <c r="T14" i="14" s="1"/>
  <c r="H13" i="14"/>
  <c r="U13" i="14" s="1"/>
  <c r="I12" i="14"/>
  <c r="V12" i="14" s="1"/>
  <c r="J11" i="14"/>
  <c r="W11" i="14" s="1"/>
  <c r="K10" i="14"/>
  <c r="X10" i="14" s="1"/>
  <c r="F7" i="14"/>
  <c r="S7" i="14" s="1"/>
  <c r="G6" i="14"/>
  <c r="T6" i="14" s="1"/>
  <c r="H5" i="14"/>
  <c r="U5" i="14" s="1"/>
  <c r="V24" i="15"/>
  <c r="V9" i="15"/>
  <c r="U29" i="15"/>
  <c r="U12" i="15"/>
  <c r="U19" i="15"/>
  <c r="U6" i="15"/>
  <c r="U25" i="15"/>
  <c r="U30" i="15"/>
  <c r="U22" i="15"/>
  <c r="U31" i="15"/>
  <c r="U27" i="15"/>
  <c r="S30" i="15"/>
  <c r="S26" i="15"/>
  <c r="S21" i="15"/>
  <c r="S13" i="15"/>
  <c r="S31" i="15"/>
  <c r="S20" i="15"/>
  <c r="S29" i="15"/>
  <c r="S12" i="15"/>
  <c r="S28" i="15"/>
  <c r="S23" i="15"/>
  <c r="S18" i="15"/>
  <c r="S10" i="15"/>
  <c r="S16" i="15"/>
  <c r="N16" i="15"/>
  <c r="N11" i="15"/>
  <c r="S32" i="15"/>
  <c r="U20" i="15"/>
  <c r="S19" i="15"/>
  <c r="S17" i="15"/>
  <c r="S15" i="15"/>
  <c r="S9" i="15"/>
  <c r="N32" i="15"/>
  <c r="N19" i="15"/>
  <c r="N13" i="15"/>
  <c r="N29" i="15"/>
  <c r="N8" i="15"/>
  <c r="N27" i="15"/>
  <c r="N5" i="15"/>
  <c r="N24" i="15"/>
  <c r="N21" i="15"/>
  <c r="U28" i="15"/>
  <c r="W25" i="15"/>
  <c r="U23" i="15"/>
  <c r="U17" i="15"/>
  <c r="U13" i="15"/>
  <c r="U5" i="15"/>
  <c r="W27" i="15"/>
  <c r="W22" i="15"/>
  <c r="U16" i="15"/>
  <c r="U9" i="15"/>
  <c r="U4" i="15"/>
  <c r="W24" i="15"/>
  <c r="U15" i="15"/>
  <c r="U8" i="15"/>
  <c r="U32" i="15"/>
  <c r="W26" i="15"/>
  <c r="U24" i="15"/>
  <c r="W21" i="15"/>
  <c r="U11" i="15"/>
  <c r="U7" i="15"/>
  <c r="U26" i="15"/>
  <c r="U21" i="15"/>
  <c r="U18" i="15"/>
  <c r="U14" i="15"/>
  <c r="W28" i="15"/>
  <c r="W23" i="15"/>
  <c r="V32" i="15"/>
  <c r="V25" i="15"/>
  <c r="V18" i="15"/>
  <c r="V14" i="15"/>
  <c r="V10" i="15"/>
  <c r="V6" i="15"/>
  <c r="V26" i="15"/>
  <c r="V19" i="15"/>
  <c r="V29" i="15"/>
  <c r="V27" i="15"/>
  <c r="V15" i="15"/>
  <c r="V7" i="15"/>
  <c r="V28" i="15"/>
  <c r="V20" i="15"/>
  <c r="V11" i="15"/>
  <c r="V4" i="15"/>
  <c r="V30" i="15"/>
  <c r="V21" i="15"/>
  <c r="V16" i="15"/>
  <c r="V22" i="15"/>
  <c r="V12" i="15"/>
  <c r="V8" i="15"/>
  <c r="V5" i="15"/>
  <c r="V31" i="15"/>
  <c r="V23" i="15"/>
  <c r="V17" i="15"/>
  <c r="S11" i="15"/>
  <c r="S8" i="15"/>
  <c r="S4" i="15"/>
  <c r="S5" i="15"/>
  <c r="T18" i="15"/>
  <c r="T9" i="15"/>
  <c r="T30" i="15"/>
  <c r="T28" i="15"/>
  <c r="T27" i="15"/>
  <c r="T26" i="15"/>
  <c r="T25" i="15"/>
  <c r="T24" i="15"/>
  <c r="T23" i="15"/>
  <c r="T22" i="15"/>
  <c r="T21" i="15"/>
  <c r="T20" i="15"/>
  <c r="T11" i="15"/>
  <c r="T31" i="15"/>
  <c r="T13" i="15"/>
  <c r="T12" i="15"/>
  <c r="T5" i="15"/>
  <c r="T4" i="15"/>
  <c r="T32" i="15"/>
  <c r="T14" i="15"/>
  <c r="T6" i="15"/>
  <c r="T15" i="15"/>
  <c r="T16" i="15"/>
  <c r="T7" i="15"/>
  <c r="T17" i="15"/>
  <c r="W12" i="15"/>
  <c r="W11" i="15"/>
  <c r="W10" i="15"/>
  <c r="W9" i="15"/>
  <c r="W8" i="15"/>
  <c r="W7" i="15"/>
  <c r="W4" i="15"/>
  <c r="W32" i="15"/>
  <c r="W31" i="15"/>
  <c r="W30" i="15"/>
  <c r="W29" i="15"/>
  <c r="W20" i="15"/>
  <c r="W19" i="15"/>
  <c r="W18" i="15"/>
  <c r="W17" i="15"/>
  <c r="W16" i="15"/>
  <c r="W15" i="15"/>
  <c r="W14" i="15"/>
  <c r="W13" i="15"/>
  <c r="W6" i="15"/>
  <c r="N25" i="15"/>
  <c r="N17" i="15"/>
  <c r="N9" i="15"/>
  <c r="N31" i="15"/>
  <c r="N23" i="15"/>
  <c r="N15" i="15"/>
  <c r="N30" i="15"/>
  <c r="N22" i="15"/>
  <c r="N14" i="15"/>
  <c r="N6" i="15"/>
  <c r="N28" i="15"/>
  <c r="N20" i="15"/>
  <c r="N26" i="15"/>
  <c r="N18" i="15"/>
  <c r="R30" i="15"/>
  <c r="R22" i="15"/>
  <c r="R14" i="15"/>
  <c r="R6" i="15"/>
  <c r="R28" i="15"/>
  <c r="R20" i="15"/>
  <c r="R12" i="15"/>
  <c r="R4" i="15"/>
  <c r="R27" i="15"/>
  <c r="R19" i="15"/>
  <c r="R11" i="15"/>
  <c r="R26" i="15"/>
  <c r="R18" i="15"/>
  <c r="R10" i="15"/>
  <c r="R25" i="15"/>
  <c r="R17" i="15"/>
  <c r="R9" i="15"/>
  <c r="R32" i="15"/>
  <c r="R24" i="15"/>
  <c r="R16" i="15"/>
  <c r="R8" i="15"/>
  <c r="R31" i="15"/>
  <c r="R23" i="15"/>
  <c r="R15" i="15"/>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4"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4" i="11"/>
  <c r="T5" i="11"/>
  <c r="U5" i="11"/>
  <c r="V5" i="11"/>
  <c r="W5" i="11"/>
  <c r="T6" i="11"/>
  <c r="U6" i="11"/>
  <c r="V6" i="11"/>
  <c r="W6" i="11"/>
  <c r="T7" i="11"/>
  <c r="U7" i="11"/>
  <c r="V7" i="11"/>
  <c r="W7" i="11"/>
  <c r="T8" i="11"/>
  <c r="U8" i="11"/>
  <c r="V8" i="11"/>
  <c r="W8" i="11"/>
  <c r="T9" i="11"/>
  <c r="U9" i="11"/>
  <c r="V9" i="11"/>
  <c r="W9" i="11"/>
  <c r="T10" i="11"/>
  <c r="U10" i="11"/>
  <c r="V10" i="11"/>
  <c r="W10" i="11"/>
  <c r="T11" i="11"/>
  <c r="U11" i="11"/>
  <c r="V11" i="11"/>
  <c r="W11" i="11"/>
  <c r="T12" i="11"/>
  <c r="U12" i="11"/>
  <c r="V12" i="11"/>
  <c r="W12" i="11"/>
  <c r="T13" i="11"/>
  <c r="U13" i="11"/>
  <c r="V13" i="11"/>
  <c r="W13" i="11"/>
  <c r="T14" i="11"/>
  <c r="U14" i="11"/>
  <c r="V14" i="11"/>
  <c r="W14" i="11"/>
  <c r="T15" i="11"/>
  <c r="U15" i="11"/>
  <c r="V15" i="11"/>
  <c r="W15" i="11"/>
  <c r="T16" i="11"/>
  <c r="U16" i="11"/>
  <c r="V16" i="11"/>
  <c r="W16" i="11"/>
  <c r="T17" i="11"/>
  <c r="U17" i="11"/>
  <c r="V17" i="11"/>
  <c r="W17" i="11"/>
  <c r="T18" i="11"/>
  <c r="U18" i="11"/>
  <c r="V18" i="11"/>
  <c r="W18" i="11"/>
  <c r="T19" i="11"/>
  <c r="U19" i="11"/>
  <c r="V19" i="11"/>
  <c r="W19" i="11"/>
  <c r="T20" i="11"/>
  <c r="U20" i="11"/>
  <c r="V20" i="11"/>
  <c r="W20" i="11"/>
  <c r="T21" i="11"/>
  <c r="U21" i="11"/>
  <c r="V21" i="11"/>
  <c r="W21" i="11"/>
  <c r="T22" i="11"/>
  <c r="U22" i="11"/>
  <c r="V22" i="11"/>
  <c r="W22" i="11"/>
  <c r="T23" i="11"/>
  <c r="U23" i="11"/>
  <c r="V23" i="11"/>
  <c r="W23" i="11"/>
  <c r="T24" i="11"/>
  <c r="U24" i="11"/>
  <c r="V24" i="11"/>
  <c r="W24" i="11"/>
  <c r="T25" i="11"/>
  <c r="U25" i="11"/>
  <c r="V25" i="11"/>
  <c r="W25" i="11"/>
  <c r="T26" i="11"/>
  <c r="U26" i="11"/>
  <c r="V26" i="11"/>
  <c r="W26" i="11"/>
  <c r="T27" i="11"/>
  <c r="U27" i="11"/>
  <c r="V27" i="11"/>
  <c r="W27" i="11"/>
  <c r="T28" i="11"/>
  <c r="U28" i="11"/>
  <c r="V28" i="11"/>
  <c r="W28" i="11"/>
  <c r="T29" i="11"/>
  <c r="U29" i="11"/>
  <c r="V29" i="11"/>
  <c r="W29" i="11"/>
  <c r="T30" i="11"/>
  <c r="U30" i="11"/>
  <c r="V30" i="11"/>
  <c r="W30" i="11"/>
  <c r="T31" i="11"/>
  <c r="U31" i="11"/>
  <c r="V31" i="11"/>
  <c r="W31" i="11"/>
  <c r="T32" i="11"/>
  <c r="U32" i="11"/>
  <c r="V32" i="11"/>
  <c r="W32" i="11"/>
  <c r="W4" i="11"/>
  <c r="V4" i="11"/>
  <c r="U4" i="11"/>
  <c r="T4" i="11"/>
  <c r="N8" i="11"/>
  <c r="F72" i="2" l="1"/>
  <c r="N72" i="2" s="1"/>
  <c r="W7" i="18"/>
  <c r="W28" i="14"/>
  <c r="V7" i="18"/>
  <c r="T7" i="18"/>
  <c r="L69" i="18"/>
  <c r="L26" i="18"/>
  <c r="L73" i="18"/>
  <c r="L9" i="18"/>
  <c r="L33" i="18"/>
  <c r="L14" i="18"/>
  <c r="L6" i="18"/>
  <c r="L15" i="18"/>
  <c r="L78" i="18"/>
  <c r="L23" i="18"/>
  <c r="L22" i="18"/>
  <c r="L48" i="18"/>
  <c r="L7" i="18"/>
  <c r="L24" i="18"/>
  <c r="W16" i="14"/>
  <c r="X28" i="14"/>
  <c r="O26" i="8"/>
  <c r="R7" i="6"/>
  <c r="P58" i="8" s="1"/>
  <c r="S7" i="6"/>
  <c r="Q81" i="8" s="1"/>
  <c r="T7" i="6"/>
  <c r="R43" i="8" s="1"/>
  <c r="Q8" i="6"/>
  <c r="N12" i="15" s="1"/>
  <c r="R8" i="6"/>
  <c r="S8" i="6"/>
  <c r="T8" i="6"/>
  <c r="R6" i="6"/>
  <c r="S6" i="6"/>
  <c r="T6" i="6"/>
  <c r="Q6" i="6"/>
  <c r="R5" i="6"/>
  <c r="S5" i="6"/>
  <c r="T5" i="6"/>
  <c r="Q5" i="6"/>
  <c r="N5" i="11"/>
  <c r="N6" i="11"/>
  <c r="N7" i="11"/>
  <c r="N9" i="11"/>
  <c r="N10" i="11"/>
  <c r="N11" i="11"/>
  <c r="N12" i="11"/>
  <c r="N13" i="11"/>
  <c r="N14" i="11"/>
  <c r="N15" i="11"/>
  <c r="N16" i="11"/>
  <c r="N17" i="11"/>
  <c r="N18" i="11"/>
  <c r="N19" i="11"/>
  <c r="N20" i="11"/>
  <c r="N21" i="11"/>
  <c r="N22" i="11"/>
  <c r="N23" i="11"/>
  <c r="N24" i="11"/>
  <c r="N25" i="11"/>
  <c r="N26" i="11"/>
  <c r="N27" i="11"/>
  <c r="N28" i="11"/>
  <c r="N29" i="11"/>
  <c r="N30" i="11"/>
  <c r="N31" i="11"/>
  <c r="N32" i="11"/>
  <c r="N4" i="11"/>
  <c r="R6" i="10"/>
  <c r="X7" i="8"/>
  <c r="K6" i="15" s="1"/>
  <c r="X9" i="8"/>
  <c r="K8" i="15" s="1"/>
  <c r="X10" i="8"/>
  <c r="K9" i="15" s="1"/>
  <c r="X11" i="8"/>
  <c r="K10" i="15" s="1"/>
  <c r="X12" i="8"/>
  <c r="K11" i="15" s="1"/>
  <c r="X13" i="8"/>
  <c r="K12" i="15" s="1"/>
  <c r="X15" i="8"/>
  <c r="X16" i="8"/>
  <c r="X17" i="8"/>
  <c r="K16" i="15" s="1"/>
  <c r="X19" i="8"/>
  <c r="X20" i="8"/>
  <c r="X21" i="8"/>
  <c r="X22" i="8"/>
  <c r="X23" i="8"/>
  <c r="X24" i="8"/>
  <c r="X25" i="8"/>
  <c r="X26" i="8"/>
  <c r="X27" i="8"/>
  <c r="X28" i="8"/>
  <c r="X29" i="8"/>
  <c r="X30" i="8"/>
  <c r="X31" i="8"/>
  <c r="X32"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82" i="8"/>
  <c r="X83" i="8"/>
  <c r="W6" i="8"/>
  <c r="J5" i="15" s="1"/>
  <c r="W7" i="8"/>
  <c r="J6" i="15" s="1"/>
  <c r="W9" i="8"/>
  <c r="J8" i="15" s="1"/>
  <c r="W10" i="8"/>
  <c r="J9" i="15" s="1"/>
  <c r="W11" i="8"/>
  <c r="J10" i="15" s="1"/>
  <c r="W12" i="8"/>
  <c r="J11" i="15" s="1"/>
  <c r="W14" i="8"/>
  <c r="W15" i="8"/>
  <c r="W16" i="8"/>
  <c r="W17" i="8"/>
  <c r="W18" i="8"/>
  <c r="W19" i="8"/>
  <c r="W20" i="8"/>
  <c r="W21" i="8"/>
  <c r="W22" i="8"/>
  <c r="W23" i="8"/>
  <c r="W24" i="8"/>
  <c r="W25" i="8"/>
  <c r="W26" i="8"/>
  <c r="W27" i="8"/>
  <c r="W28" i="8"/>
  <c r="W29"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V7" i="8"/>
  <c r="I6" i="15" s="1"/>
  <c r="V9" i="8"/>
  <c r="I8" i="15" s="1"/>
  <c r="V11" i="8"/>
  <c r="I10" i="15" s="1"/>
  <c r="V12" i="8"/>
  <c r="I11" i="15" s="1"/>
  <c r="V13" i="8"/>
  <c r="I12" i="15" s="1"/>
  <c r="V14" i="8"/>
  <c r="I13" i="15" s="1"/>
  <c r="V15" i="8"/>
  <c r="I14" i="15" s="1"/>
  <c r="V16" i="8"/>
  <c r="I15" i="15" s="1"/>
  <c r="V17" i="8"/>
  <c r="I16" i="15" s="1"/>
  <c r="V18" i="8"/>
  <c r="I17" i="15" s="1"/>
  <c r="V19" i="8"/>
  <c r="I18" i="15" s="1"/>
  <c r="V20" i="8"/>
  <c r="I19" i="15" s="1"/>
  <c r="V21" i="8"/>
  <c r="I20" i="15" s="1"/>
  <c r="V22" i="8"/>
  <c r="I21" i="15" s="1"/>
  <c r="V23" i="8"/>
  <c r="I22" i="15" s="1"/>
  <c r="V24" i="8"/>
  <c r="I23" i="15" s="1"/>
  <c r="V26" i="8"/>
  <c r="I25" i="15" s="1"/>
  <c r="V28" i="8"/>
  <c r="V29" i="8"/>
  <c r="V30"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U6" i="8"/>
  <c r="H5" i="15" s="1"/>
  <c r="U9" i="8"/>
  <c r="H8" i="15" s="1"/>
  <c r="U10" i="8"/>
  <c r="H9" i="15" s="1"/>
  <c r="U11" i="8"/>
  <c r="H10" i="15" s="1"/>
  <c r="U12" i="8"/>
  <c r="H11" i="15" s="1"/>
  <c r="U13" i="8"/>
  <c r="H12" i="15" s="1"/>
  <c r="U14" i="8"/>
  <c r="H13" i="15" s="1"/>
  <c r="U15" i="8"/>
  <c r="H14" i="15" s="1"/>
  <c r="U16" i="8"/>
  <c r="H15" i="15" s="1"/>
  <c r="U17" i="8"/>
  <c r="H16" i="15" s="1"/>
  <c r="U18" i="8"/>
  <c r="H17" i="15" s="1"/>
  <c r="U19" i="8"/>
  <c r="H18" i="15" s="1"/>
  <c r="U20" i="8"/>
  <c r="H19" i="15" s="1"/>
  <c r="U21" i="8"/>
  <c r="H20" i="15" s="1"/>
  <c r="U22" i="8"/>
  <c r="H21" i="15" s="1"/>
  <c r="U23" i="8"/>
  <c r="H22" i="15" s="1"/>
  <c r="U24" i="8"/>
  <c r="H23" i="15" s="1"/>
  <c r="U27" i="8"/>
  <c r="U28" i="8"/>
  <c r="U30" i="8"/>
  <c r="U32" i="8"/>
  <c r="U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T6" i="8"/>
  <c r="G5" i="15" s="1"/>
  <c r="T9" i="8"/>
  <c r="G8" i="15" s="1"/>
  <c r="T10" i="8"/>
  <c r="G9" i="15" s="1"/>
  <c r="T11" i="8"/>
  <c r="G10" i="15" s="1"/>
  <c r="T12" i="8"/>
  <c r="G11" i="15" s="1"/>
  <c r="T13" i="8"/>
  <c r="G12" i="15" s="1"/>
  <c r="T14" i="8"/>
  <c r="G13" i="15" s="1"/>
  <c r="T15" i="8"/>
  <c r="G14" i="15" s="1"/>
  <c r="T16" i="8"/>
  <c r="G15" i="15" s="1"/>
  <c r="T17" i="8"/>
  <c r="G16" i="15" s="1"/>
  <c r="T18" i="8"/>
  <c r="G17" i="15" s="1"/>
  <c r="T19" i="8"/>
  <c r="G18" i="15" s="1"/>
  <c r="T20" i="8"/>
  <c r="G19" i="15" s="1"/>
  <c r="T21" i="8"/>
  <c r="G20" i="15" s="1"/>
  <c r="T22" i="8"/>
  <c r="G21" i="15" s="1"/>
  <c r="T26" i="8"/>
  <c r="T28" i="8"/>
  <c r="T29" i="8"/>
  <c r="T30" i="8"/>
  <c r="T31"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S6" i="8"/>
  <c r="F5" i="15" s="1"/>
  <c r="S9" i="8"/>
  <c r="F8" i="15" s="1"/>
  <c r="S10" i="8"/>
  <c r="F9" i="15" s="1"/>
  <c r="S11" i="8"/>
  <c r="F10" i="15" s="1"/>
  <c r="S12" i="8"/>
  <c r="F11" i="15" s="1"/>
  <c r="S13" i="8"/>
  <c r="F12" i="15" s="1"/>
  <c r="S14" i="8"/>
  <c r="F13" i="15" s="1"/>
  <c r="S15" i="8"/>
  <c r="F14" i="15" s="1"/>
  <c r="S16" i="8"/>
  <c r="F15" i="15" s="1"/>
  <c r="S17" i="8"/>
  <c r="F16" i="15" s="1"/>
  <c r="S19" i="8"/>
  <c r="S20" i="8"/>
  <c r="S22" i="8"/>
  <c r="S25" i="8"/>
  <c r="S26" i="8"/>
  <c r="S27" i="8"/>
  <c r="S28" i="8"/>
  <c r="S29" i="8"/>
  <c r="S30" i="8"/>
  <c r="S31" i="8"/>
  <c r="S33" i="8"/>
  <c r="S34" i="8"/>
  <c r="S35" i="8"/>
  <c r="S36" i="8"/>
  <c r="S37" i="8"/>
  <c r="S38" i="8"/>
  <c r="S39" i="8"/>
  <c r="S40" i="8"/>
  <c r="S41" i="8"/>
  <c r="S42" i="8"/>
  <c r="S43" i="8"/>
  <c r="S44" i="8"/>
  <c r="S45" i="8"/>
  <c r="S46" i="8"/>
  <c r="S47" i="8"/>
  <c r="S48" i="8"/>
  <c r="S49" i="8"/>
  <c r="S50" i="8"/>
  <c r="S51" i="8"/>
  <c r="S52" i="8"/>
  <c r="S53" i="8"/>
  <c r="S54" i="8"/>
  <c r="S55" i="8"/>
  <c r="S56" i="8"/>
  <c r="S57" i="8"/>
  <c r="S58" i="8"/>
  <c r="S59" i="8"/>
  <c r="S60" i="8"/>
  <c r="S61" i="8"/>
  <c r="S62" i="8"/>
  <c r="S63" i="8"/>
  <c r="S64" i="8"/>
  <c r="S65" i="8"/>
  <c r="S66" i="8"/>
  <c r="S67" i="8"/>
  <c r="S68" i="8"/>
  <c r="S69" i="8"/>
  <c r="S70" i="8"/>
  <c r="S71" i="8"/>
  <c r="S72" i="8"/>
  <c r="S73" i="8"/>
  <c r="S74" i="8"/>
  <c r="S75" i="8"/>
  <c r="S76" i="8"/>
  <c r="S77" i="8"/>
  <c r="S78" i="8"/>
  <c r="S79" i="8"/>
  <c r="S80" i="8"/>
  <c r="S81" i="8"/>
  <c r="S82" i="8"/>
  <c r="S83" i="8"/>
  <c r="P50" i="8"/>
  <c r="O29" i="8"/>
  <c r="O40" i="8"/>
  <c r="O56" i="8"/>
  <c r="O61" i="8"/>
  <c r="O72" i="8"/>
  <c r="O80" i="8"/>
  <c r="AL8" i="2"/>
  <c r="AK8" i="2"/>
  <c r="AJ7" i="2"/>
  <c r="F73" i="2" l="1"/>
  <c r="N73" i="2" s="1"/>
  <c r="R58" i="8"/>
  <c r="R27" i="8"/>
  <c r="R71" i="8"/>
  <c r="J28" i="15"/>
  <c r="R77" i="18"/>
  <c r="R62" i="18"/>
  <c r="R49" i="18"/>
  <c r="R38" i="18"/>
  <c r="R32" i="18"/>
  <c r="R26" i="18"/>
  <c r="R19" i="18"/>
  <c r="R13" i="18"/>
  <c r="R8" i="18"/>
  <c r="R5" i="18"/>
  <c r="R81" i="18"/>
  <c r="R74" i="18"/>
  <c r="R70" i="18"/>
  <c r="R66" i="18"/>
  <c r="R61" i="18"/>
  <c r="R55" i="18"/>
  <c r="R48" i="18"/>
  <c r="R41" i="18"/>
  <c r="R35" i="18"/>
  <c r="R29" i="18"/>
  <c r="R22" i="18"/>
  <c r="R15" i="18"/>
  <c r="R51" i="18"/>
  <c r="R9" i="18"/>
  <c r="R76" i="18"/>
  <c r="R59" i="18"/>
  <c r="R47" i="18"/>
  <c r="R42" i="18"/>
  <c r="R34" i="18"/>
  <c r="R27" i="18"/>
  <c r="R21" i="18"/>
  <c r="R14" i="18"/>
  <c r="R164" i="18"/>
  <c r="R79" i="18"/>
  <c r="R73" i="18"/>
  <c r="R68" i="18"/>
  <c r="R64" i="18"/>
  <c r="R58" i="18"/>
  <c r="R54" i="18"/>
  <c r="R50" i="18"/>
  <c r="R44" i="18"/>
  <c r="R40" i="18"/>
  <c r="R36" i="18"/>
  <c r="R31" i="18"/>
  <c r="R25" i="18"/>
  <c r="R18" i="18"/>
  <c r="R12" i="18"/>
  <c r="R165" i="18"/>
  <c r="R80" i="18"/>
  <c r="R75" i="18"/>
  <c r="R71" i="18"/>
  <c r="R67" i="18"/>
  <c r="R63" i="18"/>
  <c r="R57" i="18"/>
  <c r="R53" i="18"/>
  <c r="R46" i="18"/>
  <c r="R43" i="18"/>
  <c r="R37" i="18"/>
  <c r="R30" i="18"/>
  <c r="R24" i="18"/>
  <c r="R11" i="18"/>
  <c r="R82" i="18"/>
  <c r="R78" i="18"/>
  <c r="R72" i="18"/>
  <c r="R69" i="18"/>
  <c r="R65" i="18"/>
  <c r="R60" i="18"/>
  <c r="R56" i="18"/>
  <c r="R52" i="18"/>
  <c r="R45" i="18"/>
  <c r="R39" i="18"/>
  <c r="R33" i="18"/>
  <c r="R28" i="18"/>
  <c r="R23" i="18"/>
  <c r="R10" i="18"/>
  <c r="R22" i="8"/>
  <c r="R74" i="8"/>
  <c r="R6" i="8"/>
  <c r="Q76" i="18"/>
  <c r="Q68" i="18"/>
  <c r="Q60" i="18"/>
  <c r="Q52" i="18"/>
  <c r="Q44" i="18"/>
  <c r="Q36" i="18"/>
  <c r="Q28" i="18"/>
  <c r="Q20" i="18"/>
  <c r="Q75" i="18"/>
  <c r="Q67" i="18"/>
  <c r="Q59" i="18"/>
  <c r="Q51" i="18"/>
  <c r="Q43" i="18"/>
  <c r="Q35" i="18"/>
  <c r="Q27" i="18"/>
  <c r="Q19" i="18"/>
  <c r="Q11" i="18"/>
  <c r="Q16" i="18"/>
  <c r="Q82" i="18"/>
  <c r="Q74" i="18"/>
  <c r="Q66" i="18"/>
  <c r="Q58" i="18"/>
  <c r="Q50" i="18"/>
  <c r="Q42" i="18"/>
  <c r="Q34" i="18"/>
  <c r="Q26" i="18"/>
  <c r="Q18" i="18"/>
  <c r="Q10" i="18"/>
  <c r="Q24" i="18"/>
  <c r="Q8" i="18"/>
  <c r="Q81" i="18"/>
  <c r="Q73" i="18"/>
  <c r="Q65" i="18"/>
  <c r="Q57" i="18"/>
  <c r="Q49" i="18"/>
  <c r="Q41" i="18"/>
  <c r="Q33" i="18"/>
  <c r="Q25" i="18"/>
  <c r="Q17" i="18"/>
  <c r="Q9" i="18"/>
  <c r="Q80" i="18"/>
  <c r="Q72" i="18"/>
  <c r="Q64" i="18"/>
  <c r="Q56" i="18"/>
  <c r="Q48" i="18"/>
  <c r="Q40" i="18"/>
  <c r="Q32" i="18"/>
  <c r="Q79" i="18"/>
  <c r="Q71" i="18"/>
  <c r="Q63" i="18"/>
  <c r="Q55" i="18"/>
  <c r="Q47" i="18"/>
  <c r="Q39" i="18"/>
  <c r="Q31" i="18"/>
  <c r="Q23" i="18"/>
  <c r="Q15" i="18"/>
  <c r="Q161" i="18"/>
  <c r="Q157" i="18"/>
  <c r="Q156" i="18"/>
  <c r="Q77" i="18"/>
  <c r="Q69" i="18"/>
  <c r="Q61" i="18"/>
  <c r="Q45" i="18"/>
  <c r="Q29" i="18"/>
  <c r="Q21" i="18"/>
  <c r="Q6" i="18"/>
  <c r="Q78" i="18"/>
  <c r="Q70" i="18"/>
  <c r="Q62" i="18"/>
  <c r="Q54" i="18"/>
  <c r="Q46" i="18"/>
  <c r="Q38" i="18"/>
  <c r="Q30" i="18"/>
  <c r="Q22" i="18"/>
  <c r="Q14" i="18"/>
  <c r="Q165" i="18"/>
  <c r="Q164" i="18"/>
  <c r="Q163" i="18"/>
  <c r="Q162" i="18"/>
  <c r="Q160" i="18"/>
  <c r="Q159" i="18"/>
  <c r="Q158" i="18"/>
  <c r="Q53" i="18"/>
  <c r="Q37" i="18"/>
  <c r="Q13" i="18"/>
  <c r="P163" i="18"/>
  <c r="P156" i="18"/>
  <c r="P6" i="18"/>
  <c r="P155" i="18"/>
  <c r="P81" i="18"/>
  <c r="P77" i="18"/>
  <c r="P73" i="18"/>
  <c r="P69" i="18"/>
  <c r="P65" i="18"/>
  <c r="P61" i="18"/>
  <c r="P57" i="18"/>
  <c r="P53" i="18"/>
  <c r="P49" i="18"/>
  <c r="P45" i="18"/>
  <c r="P41" i="18"/>
  <c r="P37" i="18"/>
  <c r="P33" i="18"/>
  <c r="P29" i="18"/>
  <c r="P25" i="18"/>
  <c r="P21" i="18"/>
  <c r="P17" i="18"/>
  <c r="P13" i="18"/>
  <c r="P9" i="18"/>
  <c r="P162" i="18"/>
  <c r="P5" i="18"/>
  <c r="P161" i="18"/>
  <c r="P154" i="18"/>
  <c r="P80" i="18"/>
  <c r="P76" i="18"/>
  <c r="P72" i="18"/>
  <c r="P68" i="18"/>
  <c r="P64" i="18"/>
  <c r="P60" i="18"/>
  <c r="P56" i="18"/>
  <c r="P52" i="18"/>
  <c r="P48" i="18"/>
  <c r="P44" i="18"/>
  <c r="P40" i="18"/>
  <c r="P36" i="18"/>
  <c r="P32" i="18"/>
  <c r="P28" i="18"/>
  <c r="P24" i="18"/>
  <c r="P20" i="18"/>
  <c r="P16" i="18"/>
  <c r="P12" i="18"/>
  <c r="P160" i="18"/>
  <c r="P153" i="18"/>
  <c r="P159" i="18"/>
  <c r="P152" i="18"/>
  <c r="P79" i="18"/>
  <c r="P75" i="18"/>
  <c r="P71" i="18"/>
  <c r="P67" i="18"/>
  <c r="P63" i="18"/>
  <c r="P59" i="18"/>
  <c r="P55" i="18"/>
  <c r="P51" i="18"/>
  <c r="P47" i="18"/>
  <c r="P43" i="18"/>
  <c r="P39" i="18"/>
  <c r="P35" i="18"/>
  <c r="P31" i="18"/>
  <c r="P27" i="18"/>
  <c r="P23" i="18"/>
  <c r="P19" i="18"/>
  <c r="P15" i="18"/>
  <c r="P11" i="18"/>
  <c r="P165" i="18"/>
  <c r="P158" i="18"/>
  <c r="P164" i="18"/>
  <c r="P157" i="18"/>
  <c r="P82" i="18"/>
  <c r="P78" i="18"/>
  <c r="P74" i="18"/>
  <c r="P70" i="18"/>
  <c r="P66" i="18"/>
  <c r="P62" i="18"/>
  <c r="P58" i="18"/>
  <c r="P54" i="18"/>
  <c r="P50" i="18"/>
  <c r="P46" i="18"/>
  <c r="P42" i="18"/>
  <c r="P38" i="18"/>
  <c r="P34" i="18"/>
  <c r="P30" i="18"/>
  <c r="P26" i="18"/>
  <c r="P22" i="18"/>
  <c r="P18" i="18"/>
  <c r="P14" i="18"/>
  <c r="P10" i="18"/>
  <c r="R9" i="8"/>
  <c r="E8" i="14"/>
  <c r="R8" i="14" s="1"/>
  <c r="E9" i="14"/>
  <c r="R9" i="14" s="1"/>
  <c r="E10" i="14"/>
  <c r="R10" i="14" s="1"/>
  <c r="E11" i="14"/>
  <c r="R11" i="14" s="1"/>
  <c r="E12" i="14"/>
  <c r="R12" i="14" s="1"/>
  <c r="E5" i="14"/>
  <c r="R5" i="14" s="1"/>
  <c r="E13" i="14"/>
  <c r="R13" i="14" s="1"/>
  <c r="E4" i="14"/>
  <c r="R4" i="14" s="1"/>
  <c r="E6" i="14"/>
  <c r="R6" i="14" s="1"/>
  <c r="E14" i="14"/>
  <c r="R14" i="14" s="1"/>
  <c r="E7" i="14"/>
  <c r="R7" i="14" s="1"/>
  <c r="E15" i="14"/>
  <c r="R59" i="8"/>
  <c r="R19" i="8"/>
  <c r="D9" i="14"/>
  <c r="Q9" i="14" s="1"/>
  <c r="D10" i="14"/>
  <c r="Q10" i="14" s="1"/>
  <c r="D11" i="14"/>
  <c r="Q11" i="14" s="1"/>
  <c r="D5" i="14"/>
  <c r="Q5" i="14" s="1"/>
  <c r="D4" i="14"/>
  <c r="Q4" i="14" s="1"/>
  <c r="D6" i="14"/>
  <c r="Q6" i="14" s="1"/>
  <c r="D8" i="14"/>
  <c r="Q8" i="14" s="1"/>
  <c r="D7" i="14"/>
  <c r="Q7" i="14" s="1"/>
  <c r="P82" i="8"/>
  <c r="C5" i="14"/>
  <c r="C4" i="14"/>
  <c r="C6" i="14"/>
  <c r="R55" i="8"/>
  <c r="N7" i="15"/>
  <c r="N4" i="15"/>
  <c r="R42" i="8"/>
  <c r="R75" i="8"/>
  <c r="R39" i="8"/>
  <c r="P40" i="8"/>
  <c r="P74" i="8"/>
  <c r="P66" i="8"/>
  <c r="P28" i="8"/>
  <c r="J16" i="15"/>
  <c r="R79" i="8"/>
  <c r="R63" i="8"/>
  <c r="R47" i="8"/>
  <c r="R31" i="8"/>
  <c r="R10" i="8"/>
  <c r="R76" i="8"/>
  <c r="R60" i="8"/>
  <c r="R44" i="8"/>
  <c r="R28" i="8"/>
  <c r="R52" i="8"/>
  <c r="R83" i="8"/>
  <c r="R67" i="8"/>
  <c r="R51" i="8"/>
  <c r="R35" i="8"/>
  <c r="R14" i="8"/>
  <c r="R68" i="8"/>
  <c r="R36" i="8"/>
  <c r="R82" i="8"/>
  <c r="R66" i="8"/>
  <c r="R50" i="8"/>
  <c r="R34" i="8"/>
  <c r="R11" i="8"/>
  <c r="Q41" i="8"/>
  <c r="Q73" i="8"/>
  <c r="P73" i="8"/>
  <c r="P49" i="8"/>
  <c r="P56" i="8"/>
  <c r="P79" i="8"/>
  <c r="P25" i="8"/>
  <c r="P78" i="8"/>
  <c r="P70" i="8"/>
  <c r="P62" i="8"/>
  <c r="P54" i="8"/>
  <c r="P44" i="8"/>
  <c r="P34" i="8"/>
  <c r="P24" i="8"/>
  <c r="P6" i="8"/>
  <c r="P57" i="8"/>
  <c r="P72" i="8"/>
  <c r="P36" i="8"/>
  <c r="P63" i="8"/>
  <c r="P7" i="8"/>
  <c r="P77" i="8"/>
  <c r="P69" i="8"/>
  <c r="P61" i="8"/>
  <c r="P53" i="8"/>
  <c r="P43" i="8"/>
  <c r="P21" i="8"/>
  <c r="P65" i="8"/>
  <c r="P80" i="8"/>
  <c r="P48" i="8"/>
  <c r="P71" i="8"/>
  <c r="P35" i="8"/>
  <c r="P76" i="8"/>
  <c r="P68" i="8"/>
  <c r="P60" i="8"/>
  <c r="P52" i="8"/>
  <c r="P42" i="8"/>
  <c r="P32" i="8"/>
  <c r="P20" i="8"/>
  <c r="P81" i="8"/>
  <c r="P37" i="8"/>
  <c r="P64" i="8"/>
  <c r="P45" i="8"/>
  <c r="P83" i="8"/>
  <c r="P75" i="8"/>
  <c r="P67" i="8"/>
  <c r="P59" i="8"/>
  <c r="P51" i="8"/>
  <c r="P41" i="8"/>
  <c r="P29" i="8"/>
  <c r="P19" i="8"/>
  <c r="P27" i="8"/>
  <c r="P15" i="8"/>
  <c r="P55" i="8"/>
  <c r="Q33" i="8"/>
  <c r="Q25" i="8"/>
  <c r="Q65" i="8"/>
  <c r="Q57" i="8"/>
  <c r="Q49" i="8"/>
  <c r="Q20" i="15"/>
  <c r="Q28" i="15"/>
  <c r="Q4" i="15"/>
  <c r="Q7" i="15"/>
  <c r="Q11" i="15"/>
  <c r="Q15" i="15"/>
  <c r="Q19" i="15"/>
  <c r="Q27" i="15"/>
  <c r="Q10" i="15"/>
  <c r="Q26" i="15"/>
  <c r="Q14" i="15"/>
  <c r="Q18" i="15"/>
  <c r="Q25" i="15"/>
  <c r="Q32" i="15"/>
  <c r="Q29" i="15"/>
  <c r="Q6" i="15"/>
  <c r="Q9" i="15"/>
  <c r="Q13" i="15"/>
  <c r="Q24" i="15"/>
  <c r="Q8" i="15"/>
  <c r="Q30" i="15"/>
  <c r="Q17" i="15"/>
  <c r="Q23" i="15"/>
  <c r="Q31" i="15"/>
  <c r="Q16" i="15"/>
  <c r="Q5" i="15"/>
  <c r="Q12" i="15"/>
  <c r="Q21" i="15"/>
  <c r="Q22" i="15"/>
  <c r="P4" i="15"/>
  <c r="P7" i="15"/>
  <c r="P11" i="15"/>
  <c r="P15" i="15"/>
  <c r="P19" i="15"/>
  <c r="P27" i="15"/>
  <c r="P10" i="15"/>
  <c r="P26" i="15"/>
  <c r="P14" i="15"/>
  <c r="P18" i="15"/>
  <c r="P25" i="15"/>
  <c r="P32" i="15"/>
  <c r="P6" i="15"/>
  <c r="P9" i="15"/>
  <c r="P13" i="15"/>
  <c r="P24" i="15"/>
  <c r="P20" i="15"/>
  <c r="P17" i="15"/>
  <c r="P23" i="15"/>
  <c r="P31" i="15"/>
  <c r="P5" i="15"/>
  <c r="P12" i="15"/>
  <c r="P21" i="15"/>
  <c r="P22" i="15"/>
  <c r="P28" i="15"/>
  <c r="P8" i="15"/>
  <c r="P16" i="15"/>
  <c r="P29" i="15"/>
  <c r="P30" i="15"/>
  <c r="O10" i="15"/>
  <c r="O26" i="15"/>
  <c r="O7" i="15"/>
  <c r="O11" i="15"/>
  <c r="O27" i="15"/>
  <c r="O14" i="15"/>
  <c r="O18" i="15"/>
  <c r="O25" i="15"/>
  <c r="O32" i="15"/>
  <c r="O6" i="15"/>
  <c r="O9" i="15"/>
  <c r="O13" i="15"/>
  <c r="O24" i="15"/>
  <c r="O17" i="15"/>
  <c r="O23" i="15"/>
  <c r="O31" i="15"/>
  <c r="O4" i="15"/>
  <c r="O5" i="15"/>
  <c r="O12" i="15"/>
  <c r="O21" i="15"/>
  <c r="O22" i="15"/>
  <c r="O15" i="15"/>
  <c r="O19" i="15"/>
  <c r="O8" i="15"/>
  <c r="O16" i="15"/>
  <c r="O29" i="15"/>
  <c r="O30" i="15"/>
  <c r="O20" i="15"/>
  <c r="O28" i="15"/>
  <c r="W29" i="14"/>
  <c r="X29" i="14"/>
  <c r="K29" i="15" s="1"/>
  <c r="W27" i="14"/>
  <c r="J27" i="15" s="1"/>
  <c r="X27" i="14"/>
  <c r="K27" i="15" s="1"/>
  <c r="W20" i="14"/>
  <c r="J20" i="15" s="1"/>
  <c r="X20" i="14"/>
  <c r="K20" i="15" s="1"/>
  <c r="W26" i="14"/>
  <c r="J26" i="15" s="1"/>
  <c r="X26" i="14"/>
  <c r="K26" i="15" s="1"/>
  <c r="W18" i="14"/>
  <c r="J18" i="15" s="1"/>
  <c r="X18" i="14"/>
  <c r="K18" i="15" s="1"/>
  <c r="X31" i="14"/>
  <c r="K31" i="15" s="1"/>
  <c r="W25" i="14"/>
  <c r="J25" i="15" s="1"/>
  <c r="X25" i="14"/>
  <c r="K25" i="15" s="1"/>
  <c r="W17" i="14"/>
  <c r="J17" i="15" s="1"/>
  <c r="X17" i="14"/>
  <c r="W15" i="14"/>
  <c r="J15" i="15" s="1"/>
  <c r="X15" i="14"/>
  <c r="X30" i="14"/>
  <c r="K30" i="15" s="1"/>
  <c r="W21" i="14"/>
  <c r="J21" i="15" s="1"/>
  <c r="X21" i="14"/>
  <c r="K21" i="15" s="1"/>
  <c r="W24" i="14"/>
  <c r="J24" i="15" s="1"/>
  <c r="X24" i="14"/>
  <c r="K24" i="15" s="1"/>
  <c r="W23" i="14"/>
  <c r="J23" i="15" s="1"/>
  <c r="X23" i="14"/>
  <c r="K23" i="15" s="1"/>
  <c r="W22" i="14"/>
  <c r="J22" i="15" s="1"/>
  <c r="X22" i="14"/>
  <c r="K22" i="15" s="1"/>
  <c r="W19" i="14"/>
  <c r="J19" i="15" s="1"/>
  <c r="X19" i="14"/>
  <c r="K19" i="15" s="1"/>
  <c r="W13" i="14"/>
  <c r="J13" i="15" s="1"/>
  <c r="X13" i="14"/>
  <c r="K28" i="15"/>
  <c r="W14" i="14"/>
  <c r="J14" i="15" s="1"/>
  <c r="X14" i="14"/>
  <c r="K14" i="15" s="1"/>
  <c r="O77" i="8"/>
  <c r="O24" i="8"/>
  <c r="O48" i="8"/>
  <c r="O45" i="8"/>
  <c r="O53" i="8"/>
  <c r="O21" i="8"/>
  <c r="O69" i="8"/>
  <c r="O37" i="8"/>
  <c r="O64" i="8"/>
  <c r="O32" i="8"/>
  <c r="P47" i="8"/>
  <c r="P39" i="8"/>
  <c r="P31" i="8"/>
  <c r="P14" i="8"/>
  <c r="P46" i="8"/>
  <c r="P38" i="8"/>
  <c r="P30" i="8"/>
  <c r="P22" i="8"/>
  <c r="P11" i="8"/>
  <c r="O82" i="8"/>
  <c r="O66" i="8"/>
  <c r="O50" i="8"/>
  <c r="O34" i="8"/>
  <c r="O18" i="8"/>
  <c r="O81" i="8"/>
  <c r="O65" i="8"/>
  <c r="O49" i="8"/>
  <c r="O74" i="8"/>
  <c r="O58" i="8"/>
  <c r="O42" i="8"/>
  <c r="O73" i="8"/>
  <c r="O57" i="8"/>
  <c r="O41" i="8"/>
  <c r="O25" i="8"/>
  <c r="Q80" i="8"/>
  <c r="Q72" i="8"/>
  <c r="Q64" i="8"/>
  <c r="Q56" i="8"/>
  <c r="Q48" i="8"/>
  <c r="Q40" i="8"/>
  <c r="Q32" i="8"/>
  <c r="Q24" i="8"/>
  <c r="Q79" i="8"/>
  <c r="Q71" i="8"/>
  <c r="Q63" i="8"/>
  <c r="Q55" i="8"/>
  <c r="Q47" i="8"/>
  <c r="Q39" i="8"/>
  <c r="Q31" i="8"/>
  <c r="Q22" i="8"/>
  <c r="Q12" i="8"/>
  <c r="Q78" i="8"/>
  <c r="Q70" i="8"/>
  <c r="Q62" i="8"/>
  <c r="Q54" i="8"/>
  <c r="Q46" i="8"/>
  <c r="Q38" i="8"/>
  <c r="Q30" i="8"/>
  <c r="Q21" i="8"/>
  <c r="Q11" i="8"/>
  <c r="Q77" i="8"/>
  <c r="Q69" i="8"/>
  <c r="Q61" i="8"/>
  <c r="Q53" i="8"/>
  <c r="Q45" i="8"/>
  <c r="Q37" i="8"/>
  <c r="Q29" i="8"/>
  <c r="Q10" i="8"/>
  <c r="Q76" i="8"/>
  <c r="Q68" i="8"/>
  <c r="Q60" i="8"/>
  <c r="Q52" i="8"/>
  <c r="Q44" i="8"/>
  <c r="Q36" i="8"/>
  <c r="Q28" i="8"/>
  <c r="Q19" i="8"/>
  <c r="Q9" i="8"/>
  <c r="Q83" i="8"/>
  <c r="Q75" i="8"/>
  <c r="Q67" i="8"/>
  <c r="Q59" i="8"/>
  <c r="Q51" i="8"/>
  <c r="Q43" i="8"/>
  <c r="Q35" i="8"/>
  <c r="Q27" i="8"/>
  <c r="Q7" i="8"/>
  <c r="Q82" i="8"/>
  <c r="Q74" i="8"/>
  <c r="Q66" i="8"/>
  <c r="Q58" i="8"/>
  <c r="Q50" i="8"/>
  <c r="Q42" i="8"/>
  <c r="Q34" i="8"/>
  <c r="Q26" i="8"/>
  <c r="Q15" i="8"/>
  <c r="O79" i="8"/>
  <c r="O71" i="8"/>
  <c r="O63" i="8"/>
  <c r="O55" i="8"/>
  <c r="O47" i="8"/>
  <c r="O39" i="8"/>
  <c r="O15" i="8"/>
  <c r="R81" i="8"/>
  <c r="R73" i="8"/>
  <c r="R65" i="8"/>
  <c r="R57" i="8"/>
  <c r="R49" i="8"/>
  <c r="R41" i="8"/>
  <c r="R33" i="8"/>
  <c r="R25" i="8"/>
  <c r="O78" i="8"/>
  <c r="O70" i="8"/>
  <c r="O62" i="8"/>
  <c r="O54" i="8"/>
  <c r="O46" i="8"/>
  <c r="O38" i="8"/>
  <c r="O30" i="8"/>
  <c r="O22" i="8"/>
  <c r="O14" i="8"/>
  <c r="R80" i="8"/>
  <c r="R72" i="8"/>
  <c r="R64" i="8"/>
  <c r="R56" i="8"/>
  <c r="R48" i="8"/>
  <c r="R40" i="8"/>
  <c r="R32" i="8"/>
  <c r="R24" i="8"/>
  <c r="R15" i="8"/>
  <c r="O76" i="8"/>
  <c r="O68" i="8"/>
  <c r="O60" i="8"/>
  <c r="O52" i="8"/>
  <c r="O44" i="8"/>
  <c r="O36" i="8"/>
  <c r="O28" i="8"/>
  <c r="O20" i="8"/>
  <c r="R78" i="8"/>
  <c r="R70" i="8"/>
  <c r="R62" i="8"/>
  <c r="R54" i="8"/>
  <c r="R46" i="8"/>
  <c r="R38" i="8"/>
  <c r="R30" i="8"/>
  <c r="R13" i="8"/>
  <c r="O83" i="8"/>
  <c r="O75" i="8"/>
  <c r="O67" i="8"/>
  <c r="O59" i="8"/>
  <c r="O51" i="8"/>
  <c r="O43" i="8"/>
  <c r="O35" i="8"/>
  <c r="O19" i="8"/>
  <c r="R77" i="8"/>
  <c r="R69" i="8"/>
  <c r="R61" i="8"/>
  <c r="R53" i="8"/>
  <c r="R45" i="8"/>
  <c r="R37" i="8"/>
  <c r="R29" i="8"/>
  <c r="R12" i="8"/>
  <c r="X23" i="11"/>
  <c r="X7" i="11"/>
  <c r="X4" i="11"/>
  <c r="Y4" i="11" s="1"/>
  <c r="X30" i="11"/>
  <c r="X16" i="11"/>
  <c r="X31" i="11"/>
  <c r="X29" i="11"/>
  <c r="X27" i="11"/>
  <c r="X25" i="11"/>
  <c r="X21" i="11"/>
  <c r="X19" i="11"/>
  <c r="X17" i="11"/>
  <c r="X15" i="11"/>
  <c r="X13" i="11"/>
  <c r="X11" i="11"/>
  <c r="X9" i="11"/>
  <c r="X5" i="11"/>
  <c r="X32" i="11"/>
  <c r="X28" i="11"/>
  <c r="X26" i="11"/>
  <c r="X24" i="11"/>
  <c r="X22" i="11"/>
  <c r="X20" i="11"/>
  <c r="X18" i="11"/>
  <c r="X14" i="11"/>
  <c r="X12" i="11"/>
  <c r="X10" i="11"/>
  <c r="X8" i="11"/>
  <c r="X6" i="11"/>
  <c r="F74" i="2" l="1"/>
  <c r="N74" i="2" s="1"/>
  <c r="E5" i="15"/>
  <c r="Y79" i="18"/>
  <c r="Y54" i="18"/>
  <c r="Y78" i="18"/>
  <c r="Y82" i="18"/>
  <c r="Y50" i="18"/>
  <c r="Y19" i="18"/>
  <c r="Y14" i="18"/>
  <c r="Y77" i="18"/>
  <c r="Y73" i="18"/>
  <c r="E8" i="15"/>
  <c r="Y71" i="18"/>
  <c r="Y9" i="18"/>
  <c r="Y81" i="18"/>
  <c r="Y61" i="18"/>
  <c r="Y48" i="18"/>
  <c r="Y44" i="18"/>
  <c r="Y51" i="18"/>
  <c r="Y39" i="18"/>
  <c r="Y62" i="18"/>
  <c r="Y66" i="18"/>
  <c r="Y18" i="18"/>
  <c r="Y76" i="18"/>
  <c r="Y58" i="18"/>
  <c r="Y33" i="18"/>
  <c r="Y40" i="18"/>
  <c r="Y49" i="18"/>
  <c r="Y68" i="18"/>
  <c r="Y41" i="18"/>
  <c r="Y75" i="18"/>
  <c r="Y45" i="18"/>
  <c r="Y47" i="18"/>
  <c r="R7" i="18"/>
  <c r="Y27" i="18"/>
  <c r="Y56" i="18"/>
  <c r="Y46" i="18"/>
  <c r="Y35" i="18"/>
  <c r="Y67" i="18"/>
  <c r="Y64" i="18"/>
  <c r="Y37" i="18"/>
  <c r="Y69" i="18"/>
  <c r="Y42" i="18"/>
  <c r="Y74" i="18"/>
  <c r="Y60" i="18"/>
  <c r="Y65" i="18"/>
  <c r="Q7" i="18"/>
  <c r="Y21" i="18"/>
  <c r="Y38" i="18"/>
  <c r="Y70" i="18"/>
  <c r="Y59" i="18"/>
  <c r="Y29" i="18"/>
  <c r="Y63" i="18"/>
  <c r="Y36" i="18"/>
  <c r="Y43" i="18"/>
  <c r="Y72" i="18"/>
  <c r="Y13" i="18"/>
  <c r="Y80" i="18"/>
  <c r="Y53" i="18"/>
  <c r="Y34" i="18"/>
  <c r="Y55" i="18"/>
  <c r="Y52" i="18"/>
  <c r="Y25" i="18"/>
  <c r="Y57" i="18"/>
  <c r="E9" i="15"/>
  <c r="E13" i="15"/>
  <c r="E10" i="15"/>
  <c r="X31" i="15"/>
  <c r="X4" i="15"/>
  <c r="Y4" i="15" s="1"/>
  <c r="X8" i="15"/>
  <c r="X9" i="15"/>
  <c r="X7" i="15"/>
  <c r="X5" i="15"/>
  <c r="X26" i="15"/>
  <c r="X12" i="15"/>
  <c r="X11" i="15"/>
  <c r="E12" i="15"/>
  <c r="D11" i="15"/>
  <c r="E11" i="15"/>
  <c r="D6" i="15"/>
  <c r="X29" i="15"/>
  <c r="X24" i="15"/>
  <c r="X14" i="15"/>
  <c r="X16" i="15"/>
  <c r="X13" i="15"/>
  <c r="X19" i="15"/>
  <c r="D10" i="15"/>
  <c r="D8" i="15"/>
  <c r="D9" i="15"/>
  <c r="X20" i="15"/>
  <c r="X15" i="15"/>
  <c r="X23" i="15"/>
  <c r="Y56" i="8"/>
  <c r="P4" i="14"/>
  <c r="P5" i="14"/>
  <c r="X6" i="15"/>
  <c r="X28" i="15"/>
  <c r="X32" i="15"/>
  <c r="E14" i="15"/>
  <c r="Y80" i="8"/>
  <c r="X22" i="15"/>
  <c r="X17" i="15"/>
  <c r="X25" i="15"/>
  <c r="X10" i="15"/>
  <c r="X30" i="15"/>
  <c r="X21" i="15"/>
  <c r="P6" i="14"/>
  <c r="X18" i="15"/>
  <c r="X27" i="15"/>
  <c r="Y72" i="8"/>
  <c r="K15" i="15"/>
  <c r="W12" i="14"/>
  <c r="Y59" i="8"/>
  <c r="Y44" i="8"/>
  <c r="Y79" i="8"/>
  <c r="Y67" i="8"/>
  <c r="Y52" i="8"/>
  <c r="Y37" i="8"/>
  <c r="Y65" i="8"/>
  <c r="Y77" i="8"/>
  <c r="Y28" i="8"/>
  <c r="Y76" i="8"/>
  <c r="Y36" i="8"/>
  <c r="Y66" i="8"/>
  <c r="Y22" i="8"/>
  <c r="Y34" i="8"/>
  <c r="Y42" i="8"/>
  <c r="Y50" i="8"/>
  <c r="Y69" i="8"/>
  <c r="Y48" i="8"/>
  <c r="Y19" i="8"/>
  <c r="Y35" i="8"/>
  <c r="Y73" i="8"/>
  <c r="Y55" i="8"/>
  <c r="Y81" i="8"/>
  <c r="Y63" i="8"/>
  <c r="Y43" i="8"/>
  <c r="Y41" i="8"/>
  <c r="Y64" i="8"/>
  <c r="Y49" i="8"/>
  <c r="Y47" i="8"/>
  <c r="Y61" i="8"/>
  <c r="Y51" i="8"/>
  <c r="Y40" i="8"/>
  <c r="Y71" i="8"/>
  <c r="Y58" i="8"/>
  <c r="Y74" i="8"/>
  <c r="Y82" i="8"/>
  <c r="Y57" i="8"/>
  <c r="Y75" i="8"/>
  <c r="Y45" i="8"/>
  <c r="Y60" i="8"/>
  <c r="Y68" i="8"/>
  <c r="Y83" i="8"/>
  <c r="Y46" i="8"/>
  <c r="Y39" i="8"/>
  <c r="Y53" i="8"/>
  <c r="Y78" i="8"/>
  <c r="Y62" i="8"/>
  <c r="Y70" i="8"/>
  <c r="Y15" i="8"/>
  <c r="Y54" i="8"/>
  <c r="Y38" i="8"/>
  <c r="Y5" i="11"/>
  <c r="Y6" i="11" s="1"/>
  <c r="Y7" i="11" s="1"/>
  <c r="Y8" i="11" s="1"/>
  <c r="Y9" i="11" s="1"/>
  <c r="Y10" i="11" s="1"/>
  <c r="Y11" i="11" s="1"/>
  <c r="Y12" i="11" s="1"/>
  <c r="Y13" i="11" s="1"/>
  <c r="Y14" i="11" s="1"/>
  <c r="Y15" i="11" s="1"/>
  <c r="Y16" i="11" s="1"/>
  <c r="Y17" i="11" s="1"/>
  <c r="Y18" i="11" s="1"/>
  <c r="Y19" i="11" s="1"/>
  <c r="Y20" i="11" s="1"/>
  <c r="Y21" i="11" s="1"/>
  <c r="Y22" i="11" s="1"/>
  <c r="Y23" i="11" s="1"/>
  <c r="Y24" i="11" s="1"/>
  <c r="Y25" i="11" s="1"/>
  <c r="Y26" i="11" s="1"/>
  <c r="Y27" i="11" s="1"/>
  <c r="Y28" i="11" s="1"/>
  <c r="Y29" i="11" s="1"/>
  <c r="Y30" i="11" s="1"/>
  <c r="Y31" i="11" s="1"/>
  <c r="Y32" i="11" s="1"/>
  <c r="Y33" i="11" s="1"/>
  <c r="Y34" i="11" s="1"/>
  <c r="Y35" i="11" s="1"/>
  <c r="Y36" i="11" s="1"/>
  <c r="Y37" i="11" s="1"/>
  <c r="Y38" i="11" s="1"/>
  <c r="Y39" i="11" s="1"/>
  <c r="F75" i="2" l="1"/>
  <c r="N75" i="2" s="1"/>
  <c r="Y40" i="11"/>
  <c r="Y5" i="15"/>
  <c r="Y6" i="15" s="1"/>
  <c r="Y7" i="15" s="1"/>
  <c r="Y8" i="15" s="1"/>
  <c r="Y9" i="15" s="1"/>
  <c r="Y10" i="15" s="1"/>
  <c r="Y11" i="15" s="1"/>
  <c r="Y12" i="15" s="1"/>
  <c r="Y13" i="15" s="1"/>
  <c r="Y14" i="15" s="1"/>
  <c r="Y15" i="15" s="1"/>
  <c r="Y16" i="15" s="1"/>
  <c r="Y17" i="15" s="1"/>
  <c r="Y18" i="15" s="1"/>
  <c r="Y19" i="15" s="1"/>
  <c r="Y20" i="15" s="1"/>
  <c r="Y21" i="15" s="1"/>
  <c r="Y22" i="15" s="1"/>
  <c r="Y23" i="15" s="1"/>
  <c r="Y24" i="15" s="1"/>
  <c r="Y25" i="15" s="1"/>
  <c r="Y26" i="15" s="1"/>
  <c r="Y27" i="15" s="1"/>
  <c r="Y28" i="15" s="1"/>
  <c r="Y29" i="15" s="1"/>
  <c r="Y30" i="15" s="1"/>
  <c r="Y31" i="15" s="1"/>
  <c r="Y32" i="15" s="1"/>
  <c r="C6" i="15"/>
  <c r="C5" i="15"/>
  <c r="AH6" i="2"/>
  <c r="F76" i="2" l="1"/>
  <c r="N76" i="2" s="1"/>
  <c r="AH68" i="2"/>
  <c r="C5" i="22"/>
  <c r="Y41" i="11"/>
  <c r="E5" i="11"/>
  <c r="G5" i="11"/>
  <c r="H5" i="11"/>
  <c r="J38" i="1"/>
  <c r="I38" i="1"/>
  <c r="H67" i="7"/>
  <c r="H66" i="7"/>
  <c r="G66" i="7"/>
  <c r="G65" i="7"/>
  <c r="F77" i="2" l="1"/>
  <c r="N77" i="2" s="1"/>
  <c r="Y42" i="11"/>
  <c r="L11" i="8"/>
  <c r="C61" i="1"/>
  <c r="C54" i="1"/>
  <c r="F78" i="2" l="1"/>
  <c r="N78" i="2" s="1"/>
  <c r="Y43" i="11"/>
  <c r="E42" i="7"/>
  <c r="E47" i="7"/>
  <c r="D39" i="7"/>
  <c r="C39" i="7"/>
  <c r="E39" i="7" s="1"/>
  <c r="D37" i="7"/>
  <c r="C37" i="7" s="1"/>
  <c r="E37" i="7" s="1"/>
  <c r="D35" i="7"/>
  <c r="C35" i="7" s="1"/>
  <c r="E35" i="7" s="1"/>
  <c r="D34" i="7"/>
  <c r="C34" i="7" s="1"/>
  <c r="E34" i="7" s="1"/>
  <c r="E40" i="1"/>
  <c r="D42" i="1"/>
  <c r="E42" i="1" s="1"/>
  <c r="F79" i="2" l="1"/>
  <c r="N79" i="2" s="1"/>
  <c r="Y44" i="11"/>
  <c r="E38" i="1"/>
  <c r="G39" i="1" s="1"/>
  <c r="D38" i="1"/>
  <c r="F42" i="7"/>
  <c r="C38" i="7"/>
  <c r="E38" i="7" s="1"/>
  <c r="F33" i="7" s="1"/>
  <c r="F80" i="2" l="1"/>
  <c r="N80" i="2" s="1"/>
  <c r="Y45" i="11"/>
  <c r="D50" i="1"/>
  <c r="D51" i="1" s="1"/>
  <c r="I39" i="1"/>
  <c r="F30" i="1"/>
  <c r="F29" i="1"/>
  <c r="D30" i="1"/>
  <c r="D29" i="1"/>
  <c r="B27" i="1"/>
  <c r="B26" i="1"/>
  <c r="F38" i="1" s="1"/>
  <c r="B25" i="1"/>
  <c r="B24" i="1"/>
  <c r="F81" i="2" l="1"/>
  <c r="N81" i="2" s="1"/>
  <c r="Y46" i="11"/>
  <c r="B50" i="1"/>
  <c r="J50" i="1"/>
  <c r="C40" i="1"/>
  <c r="C39" i="1"/>
  <c r="C41" i="1"/>
  <c r="C42" i="1"/>
  <c r="F38" i="5"/>
  <c r="G38" i="5" s="1"/>
  <c r="G6" i="5"/>
  <c r="H6" i="5" s="1"/>
  <c r="D6" i="5"/>
  <c r="E6" i="5" s="1"/>
  <c r="F82" i="2" l="1"/>
  <c r="N82" i="2" s="1"/>
  <c r="M37" i="3"/>
  <c r="M94" i="2"/>
  <c r="M102" i="2"/>
  <c r="M110" i="2"/>
  <c r="M88" i="2"/>
  <c r="M96" i="2"/>
  <c r="M104" i="2"/>
  <c r="M112" i="2"/>
  <c r="M89" i="2"/>
  <c r="M97" i="2"/>
  <c r="M105" i="2"/>
  <c r="M113" i="2"/>
  <c r="M91" i="2"/>
  <c r="M99" i="2"/>
  <c r="M107" i="2"/>
  <c r="M115" i="2"/>
  <c r="M82" i="2"/>
  <c r="M98" i="2"/>
  <c r="M114" i="2"/>
  <c r="M76" i="2"/>
  <c r="M108" i="2"/>
  <c r="M79" i="2"/>
  <c r="M68" i="2"/>
  <c r="M84" i="2"/>
  <c r="M100" i="2"/>
  <c r="M116" i="2"/>
  <c r="M85" i="2"/>
  <c r="M101" i="2"/>
  <c r="M117" i="2"/>
  <c r="M93" i="2"/>
  <c r="M69" i="2"/>
  <c r="M71" i="2"/>
  <c r="M87" i="2"/>
  <c r="M103" i="2"/>
  <c r="M92" i="2"/>
  <c r="M109" i="2"/>
  <c r="M95" i="2"/>
  <c r="M74" i="2"/>
  <c r="M90" i="2"/>
  <c r="M106" i="2"/>
  <c r="M77" i="2"/>
  <c r="M111" i="2"/>
  <c r="M75" i="2"/>
  <c r="M73" i="2"/>
  <c r="M72" i="2"/>
  <c r="M86" i="2"/>
  <c r="M78" i="2"/>
  <c r="M70" i="2"/>
  <c r="M81" i="2"/>
  <c r="M83" i="2"/>
  <c r="M80" i="2"/>
  <c r="Y47" i="11"/>
  <c r="F7" i="5"/>
  <c r="F8" i="5" s="1"/>
  <c r="I6" i="5"/>
  <c r="F83" i="2" l="1"/>
  <c r="N83" i="2" s="1"/>
  <c r="Y48" i="11"/>
  <c r="Z6" i="5"/>
  <c r="F9" i="5"/>
  <c r="G9" i="5" s="1"/>
  <c r="B54" i="1"/>
  <c r="G8" i="5"/>
  <c r="G7" i="5"/>
  <c r="H7" i="5" s="1"/>
  <c r="J6" i="5"/>
  <c r="K6" i="5"/>
  <c r="X6" i="5" s="1"/>
  <c r="F84" i="2" l="1"/>
  <c r="N84" i="2" s="1"/>
  <c r="Y49" i="11"/>
  <c r="Y6" i="5"/>
  <c r="H8" i="5"/>
  <c r="I8" i="5" s="1"/>
  <c r="F10" i="5"/>
  <c r="G10" i="5" s="1"/>
  <c r="P23" i="8"/>
  <c r="O17" i="8"/>
  <c r="R20" i="8"/>
  <c r="Q18" i="8"/>
  <c r="Q17" i="8"/>
  <c r="O9" i="8"/>
  <c r="Q23" i="8"/>
  <c r="R26" i="8"/>
  <c r="P13" i="8"/>
  <c r="P18" i="8"/>
  <c r="I7" i="5"/>
  <c r="J7" i="5" s="1"/>
  <c r="F85" i="2" l="1"/>
  <c r="N85" i="2" s="1"/>
  <c r="Y50" i="11"/>
  <c r="H9" i="5"/>
  <c r="F11" i="5"/>
  <c r="G11" i="5" s="1"/>
  <c r="Q165" i="8"/>
  <c r="Q166" i="8"/>
  <c r="Q164" i="8"/>
  <c r="K7" i="5"/>
  <c r="K8" i="5"/>
  <c r="J8" i="5"/>
  <c r="H10" i="5"/>
  <c r="I9" i="5"/>
  <c r="F86" i="2" l="1"/>
  <c r="N86" i="2" s="1"/>
  <c r="Y51" i="11"/>
  <c r="F12" i="5"/>
  <c r="F13" i="5" s="1"/>
  <c r="H11" i="5"/>
  <c r="I10" i="5"/>
  <c r="K9" i="5"/>
  <c r="J9" i="5"/>
  <c r="F87" i="2" l="1"/>
  <c r="N87" i="2" s="1"/>
  <c r="Y52" i="11"/>
  <c r="G12" i="5"/>
  <c r="F14" i="5"/>
  <c r="G13" i="5"/>
  <c r="H12" i="5"/>
  <c r="I11" i="5"/>
  <c r="J10" i="5"/>
  <c r="K10" i="5"/>
  <c r="F88" i="2" l="1"/>
  <c r="N88" i="2" s="1"/>
  <c r="Y53" i="11"/>
  <c r="H13" i="5"/>
  <c r="I12" i="5"/>
  <c r="F15" i="5"/>
  <c r="G14" i="5"/>
  <c r="J11" i="5"/>
  <c r="K11" i="5"/>
  <c r="F89" i="2" l="1"/>
  <c r="N89" i="2" s="1"/>
  <c r="Y54" i="11"/>
  <c r="K12" i="5"/>
  <c r="J12" i="5"/>
  <c r="F16" i="5"/>
  <c r="G15" i="5"/>
  <c r="H14" i="5"/>
  <c r="I13" i="5"/>
  <c r="F90" i="2" l="1"/>
  <c r="N90" i="2" s="1"/>
  <c r="Y55" i="11"/>
  <c r="F17" i="5"/>
  <c r="G16" i="5"/>
  <c r="H15" i="5"/>
  <c r="I14" i="5"/>
  <c r="K13" i="5"/>
  <c r="J13" i="5"/>
  <c r="F91" i="2" l="1"/>
  <c r="N91" i="2" s="1"/>
  <c r="Y56" i="11"/>
  <c r="H16" i="5"/>
  <c r="I15" i="5"/>
  <c r="F18" i="5"/>
  <c r="G17" i="5"/>
  <c r="J14" i="5"/>
  <c r="K14" i="5"/>
  <c r="F92" i="2" l="1"/>
  <c r="N92" i="2" s="1"/>
  <c r="Y57" i="11"/>
  <c r="J15" i="5"/>
  <c r="K15" i="5"/>
  <c r="F19" i="5"/>
  <c r="G18" i="5"/>
  <c r="H17" i="5"/>
  <c r="I16" i="5"/>
  <c r="F93" i="2" l="1"/>
  <c r="N93" i="2" s="1"/>
  <c r="Y58" i="11"/>
  <c r="H18" i="5"/>
  <c r="I17" i="5"/>
  <c r="F20" i="5"/>
  <c r="G19" i="5"/>
  <c r="K16" i="5"/>
  <c r="J16" i="5"/>
  <c r="F94" i="2" l="1"/>
  <c r="N94" i="2" s="1"/>
  <c r="Y59" i="11"/>
  <c r="F21" i="5"/>
  <c r="G20" i="5"/>
  <c r="K17" i="5"/>
  <c r="J17" i="5"/>
  <c r="H19" i="5"/>
  <c r="I18" i="5"/>
  <c r="F95" i="2" l="1"/>
  <c r="N95" i="2" s="1"/>
  <c r="Y60" i="11"/>
  <c r="H20" i="5"/>
  <c r="I19" i="5"/>
  <c r="F22" i="5"/>
  <c r="G21" i="5"/>
  <c r="J18" i="5"/>
  <c r="K18" i="5"/>
  <c r="F96" i="2" l="1"/>
  <c r="N96" i="2" s="1"/>
  <c r="Y61" i="11"/>
  <c r="H21" i="5"/>
  <c r="I20" i="5"/>
  <c r="F23" i="5"/>
  <c r="G22" i="5"/>
  <c r="J19" i="5"/>
  <c r="K19" i="5"/>
  <c r="F97" i="2" l="1"/>
  <c r="N97" i="2" s="1"/>
  <c r="Y62" i="11"/>
  <c r="K20" i="5"/>
  <c r="J20" i="5"/>
  <c r="H22" i="5"/>
  <c r="I21" i="5"/>
  <c r="F24" i="5"/>
  <c r="G23" i="5"/>
  <c r="F98" i="2" l="1"/>
  <c r="N98" i="2" s="1"/>
  <c r="Y63" i="11"/>
  <c r="R15" i="14"/>
  <c r="K21" i="5"/>
  <c r="J21" i="5"/>
  <c r="H23" i="5"/>
  <c r="I22" i="5"/>
  <c r="F25" i="5"/>
  <c r="G24" i="5"/>
  <c r="F99" i="2" l="1"/>
  <c r="N99" i="2" s="1"/>
  <c r="Y64" i="11"/>
  <c r="J22" i="5"/>
  <c r="K22" i="5"/>
  <c r="H24" i="5"/>
  <c r="I23" i="5"/>
  <c r="F26" i="5"/>
  <c r="G25" i="5"/>
  <c r="F100" i="2" l="1"/>
  <c r="N100" i="2" s="1"/>
  <c r="Y65" i="11"/>
  <c r="S17" i="14"/>
  <c r="H25" i="5"/>
  <c r="I24" i="5"/>
  <c r="F27" i="5"/>
  <c r="G26" i="5"/>
  <c r="J23" i="5"/>
  <c r="K23" i="5"/>
  <c r="F101" i="2" l="1"/>
  <c r="N101" i="2" s="1"/>
  <c r="Y66" i="11"/>
  <c r="S18" i="14"/>
  <c r="F18" i="15" s="1"/>
  <c r="K24" i="5"/>
  <c r="J24" i="5"/>
  <c r="F28" i="5"/>
  <c r="G27" i="5"/>
  <c r="H26" i="5"/>
  <c r="I25" i="5"/>
  <c r="F102" i="2" l="1"/>
  <c r="N102" i="2" s="1"/>
  <c r="Y67" i="11"/>
  <c r="S19" i="14"/>
  <c r="F19" i="15" s="1"/>
  <c r="F29" i="5"/>
  <c r="G28" i="5"/>
  <c r="H27" i="5"/>
  <c r="I26" i="5"/>
  <c r="K25" i="5"/>
  <c r="J25" i="5"/>
  <c r="F103" i="2" l="1"/>
  <c r="N103" i="2" s="1"/>
  <c r="Y68" i="11"/>
  <c r="F30" i="5"/>
  <c r="G29" i="5"/>
  <c r="H28" i="5"/>
  <c r="I27" i="5"/>
  <c r="J26" i="5"/>
  <c r="K26" i="5"/>
  <c r="F104" i="2" l="1"/>
  <c r="N104" i="2" s="1"/>
  <c r="Y69" i="11"/>
  <c r="G30" i="5"/>
  <c r="F31" i="5"/>
  <c r="I28" i="5"/>
  <c r="H29" i="5"/>
  <c r="J27" i="5"/>
  <c r="K27" i="5"/>
  <c r="F105" i="2" l="1"/>
  <c r="N105" i="2" s="1"/>
  <c r="Y70" i="11"/>
  <c r="K28" i="5"/>
  <c r="J28" i="5"/>
  <c r="F32" i="5"/>
  <c r="G31" i="5"/>
  <c r="H30" i="5"/>
  <c r="I29" i="5"/>
  <c r="F106" i="2" l="1"/>
  <c r="N106" i="2" s="1"/>
  <c r="Y71" i="11"/>
  <c r="F33" i="5"/>
  <c r="G32" i="5"/>
  <c r="H31" i="5"/>
  <c r="I30" i="5"/>
  <c r="K29" i="5"/>
  <c r="J29" i="5"/>
  <c r="F107" i="2" l="1"/>
  <c r="N107" i="2" s="1"/>
  <c r="Y72" i="11"/>
  <c r="J30" i="5"/>
  <c r="K30" i="5"/>
  <c r="H32" i="5"/>
  <c r="I31" i="5"/>
  <c r="F34" i="5"/>
  <c r="G33" i="5"/>
  <c r="F108" i="2" l="1"/>
  <c r="N108" i="2" s="1"/>
  <c r="Y73" i="11"/>
  <c r="H33" i="5"/>
  <c r="I32" i="5"/>
  <c r="F35" i="5"/>
  <c r="G34" i="5"/>
  <c r="K31" i="5"/>
  <c r="J31" i="5"/>
  <c r="Y74" i="11" l="1"/>
  <c r="K32" i="5"/>
  <c r="J32" i="5"/>
  <c r="H34" i="5"/>
  <c r="I33" i="5"/>
  <c r="F36" i="5"/>
  <c r="G35" i="5"/>
  <c r="Y75" i="11" l="1"/>
  <c r="F37" i="5"/>
  <c r="G36" i="5"/>
  <c r="K33" i="5"/>
  <c r="J33" i="5"/>
  <c r="H35" i="5"/>
  <c r="I34" i="5"/>
  <c r="Y76" i="11" l="1"/>
  <c r="G37" i="5"/>
  <c r="H36" i="5"/>
  <c r="I35" i="5"/>
  <c r="J34" i="5"/>
  <c r="K34" i="5"/>
  <c r="Y77" i="11" l="1"/>
  <c r="K35" i="5"/>
  <c r="J35" i="5"/>
  <c r="H37" i="5"/>
  <c r="I36" i="5"/>
  <c r="Y78" i="11" l="1"/>
  <c r="I37" i="5"/>
  <c r="H38" i="5"/>
  <c r="I38" i="5" s="1"/>
  <c r="J36" i="5"/>
  <c r="K36" i="5"/>
  <c r="Y79" i="11" l="1"/>
  <c r="K38" i="5"/>
  <c r="J38" i="5"/>
  <c r="K37" i="5"/>
  <c r="J37" i="5"/>
  <c r="Y80" i="11" l="1"/>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37" i="2"/>
  <c r="E45" i="22" l="1"/>
  <c r="M45" i="22" s="1"/>
  <c r="F45" i="22"/>
  <c r="N45" i="22" s="1"/>
  <c r="G45" i="22"/>
  <c r="O45" i="22" s="1"/>
  <c r="H45" i="22"/>
  <c r="P45" i="22" s="1"/>
  <c r="C45" i="22"/>
  <c r="K45" i="22" s="1"/>
  <c r="I45" i="22"/>
  <c r="Q45" i="22" s="1"/>
  <c r="B45" i="22"/>
  <c r="J45" i="22" s="1"/>
  <c r="D45" i="22"/>
  <c r="L45" i="22" s="1"/>
  <c r="G37" i="22"/>
  <c r="O37" i="22" s="1"/>
  <c r="H37" i="22"/>
  <c r="P37" i="22" s="1"/>
  <c r="I37" i="22"/>
  <c r="Q37" i="22" s="1"/>
  <c r="C37" i="22"/>
  <c r="K37" i="22" s="1"/>
  <c r="B37" i="22"/>
  <c r="J37" i="22" s="1"/>
  <c r="D37" i="22"/>
  <c r="L37" i="22" s="1"/>
  <c r="E37" i="22"/>
  <c r="M37" i="22" s="1"/>
  <c r="F37" i="22"/>
  <c r="N37" i="22" s="1"/>
  <c r="E67" i="22"/>
  <c r="M67" i="22" s="1"/>
  <c r="H67" i="22"/>
  <c r="P67" i="22" s="1"/>
  <c r="F67" i="22"/>
  <c r="N67" i="22" s="1"/>
  <c r="G67" i="22"/>
  <c r="O67" i="22" s="1"/>
  <c r="I67" i="22"/>
  <c r="Q67" i="22" s="1"/>
  <c r="B67" i="22"/>
  <c r="J67" i="22" s="1"/>
  <c r="C67" i="22"/>
  <c r="K67" i="22" s="1"/>
  <c r="D67" i="22"/>
  <c r="L67" i="22" s="1"/>
  <c r="E66" i="22"/>
  <c r="M66" i="22" s="1"/>
  <c r="F66" i="22"/>
  <c r="N66" i="22" s="1"/>
  <c r="H66" i="22"/>
  <c r="P66" i="22" s="1"/>
  <c r="G66" i="22"/>
  <c r="O66" i="22" s="1"/>
  <c r="I66" i="22"/>
  <c r="Q66" i="22" s="1"/>
  <c r="B66" i="22"/>
  <c r="J66" i="22" s="1"/>
  <c r="C66" i="22"/>
  <c r="K66" i="22" s="1"/>
  <c r="D66" i="22"/>
  <c r="L66" i="22" s="1"/>
  <c r="E65" i="22"/>
  <c r="M65" i="22" s="1"/>
  <c r="F65" i="22"/>
  <c r="N65" i="22" s="1"/>
  <c r="G65" i="22"/>
  <c r="O65" i="22" s="1"/>
  <c r="H65" i="22"/>
  <c r="P65" i="22" s="1"/>
  <c r="I65" i="22"/>
  <c r="Q65" i="22" s="1"/>
  <c r="B65" i="22"/>
  <c r="J65" i="22" s="1"/>
  <c r="C65" i="22"/>
  <c r="K65" i="22" s="1"/>
  <c r="D65" i="22"/>
  <c r="L65" i="22" s="1"/>
  <c r="E41" i="22"/>
  <c r="M41" i="22" s="1"/>
  <c r="F41" i="22"/>
  <c r="N41" i="22" s="1"/>
  <c r="G41" i="22"/>
  <c r="O41" i="22" s="1"/>
  <c r="H41" i="22"/>
  <c r="P41" i="22" s="1"/>
  <c r="I41" i="22"/>
  <c r="Q41" i="22" s="1"/>
  <c r="B41" i="22"/>
  <c r="J41" i="22" s="1"/>
  <c r="C41" i="22"/>
  <c r="K41" i="22" s="1"/>
  <c r="D41" i="22"/>
  <c r="L41" i="22" s="1"/>
  <c r="E61" i="22"/>
  <c r="M61" i="22" s="1"/>
  <c r="H61" i="22"/>
  <c r="P61" i="22" s="1"/>
  <c r="F61" i="22"/>
  <c r="N61" i="22" s="1"/>
  <c r="G61" i="22"/>
  <c r="O61" i="22" s="1"/>
  <c r="I61" i="22"/>
  <c r="Q61" i="22" s="1"/>
  <c r="B61" i="22"/>
  <c r="J61" i="22" s="1"/>
  <c r="C61" i="22"/>
  <c r="K61" i="22" s="1"/>
  <c r="D61" i="22"/>
  <c r="L61" i="22" s="1"/>
  <c r="E60" i="22"/>
  <c r="M60" i="22" s="1"/>
  <c r="F60" i="22"/>
  <c r="N60" i="22" s="1"/>
  <c r="H60" i="22"/>
  <c r="P60" i="22" s="1"/>
  <c r="G60" i="22"/>
  <c r="O60" i="22" s="1"/>
  <c r="I60" i="22"/>
  <c r="Q60" i="22" s="1"/>
  <c r="B60" i="22"/>
  <c r="J60" i="22" s="1"/>
  <c r="C60" i="22"/>
  <c r="K60" i="22" s="1"/>
  <c r="D60" i="22"/>
  <c r="L60" i="22" s="1"/>
  <c r="E43" i="22"/>
  <c r="M43" i="22" s="1"/>
  <c r="F43" i="22"/>
  <c r="N43" i="22" s="1"/>
  <c r="H43" i="22"/>
  <c r="P43" i="22" s="1"/>
  <c r="G43" i="22"/>
  <c r="O43" i="22" s="1"/>
  <c r="I43" i="22"/>
  <c r="Q43" i="22" s="1"/>
  <c r="C43" i="22"/>
  <c r="K43" i="22" s="1"/>
  <c r="B43" i="22"/>
  <c r="J43" i="22" s="1"/>
  <c r="D43" i="22"/>
  <c r="L43" i="22" s="1"/>
  <c r="E42" i="22"/>
  <c r="M42" i="22" s="1"/>
  <c r="C42" i="22"/>
  <c r="K42" i="22" s="1"/>
  <c r="F42" i="22"/>
  <c r="N42" i="22" s="1"/>
  <c r="G42" i="22"/>
  <c r="O42" i="22" s="1"/>
  <c r="H42" i="22"/>
  <c r="P42" i="22" s="1"/>
  <c r="I42" i="22"/>
  <c r="Q42" i="22" s="1"/>
  <c r="B42" i="22"/>
  <c r="J42" i="22" s="1"/>
  <c r="D42" i="22"/>
  <c r="L42" i="22" s="1"/>
  <c r="E64" i="22"/>
  <c r="M64" i="22" s="1"/>
  <c r="H64" i="22"/>
  <c r="P64" i="22" s="1"/>
  <c r="F64" i="22"/>
  <c r="N64" i="22" s="1"/>
  <c r="G64" i="22"/>
  <c r="O64" i="22" s="1"/>
  <c r="I64" i="22"/>
  <c r="Q64" i="22" s="1"/>
  <c r="B64" i="22"/>
  <c r="J64" i="22" s="1"/>
  <c r="C64" i="22"/>
  <c r="K64" i="22" s="1"/>
  <c r="D64" i="22"/>
  <c r="L64" i="22" s="1"/>
  <c r="E40" i="22"/>
  <c r="M40" i="22" s="1"/>
  <c r="F40" i="22"/>
  <c r="N40" i="22" s="1"/>
  <c r="G40" i="22"/>
  <c r="O40" i="22" s="1"/>
  <c r="H40" i="22"/>
  <c r="P40" i="22" s="1"/>
  <c r="I40" i="22"/>
  <c r="Q40" i="22" s="1"/>
  <c r="C40" i="22"/>
  <c r="K40" i="22" s="1"/>
  <c r="B40" i="22"/>
  <c r="J40" i="22" s="1"/>
  <c r="D40" i="22"/>
  <c r="L40" i="22" s="1"/>
  <c r="E53" i="22"/>
  <c r="M53" i="22" s="1"/>
  <c r="F53" i="22"/>
  <c r="N53" i="22" s="1"/>
  <c r="G53" i="22"/>
  <c r="O53" i="22" s="1"/>
  <c r="H53" i="22"/>
  <c r="P53" i="22" s="1"/>
  <c r="I53" i="22"/>
  <c r="Q53" i="22" s="1"/>
  <c r="B53" i="22"/>
  <c r="J53" i="22" s="1"/>
  <c r="C53" i="22"/>
  <c r="K53" i="22" s="1"/>
  <c r="D53" i="22"/>
  <c r="L53" i="22" s="1"/>
  <c r="E52" i="22"/>
  <c r="M52" i="22" s="1"/>
  <c r="H52" i="22"/>
  <c r="P52" i="22" s="1"/>
  <c r="F52" i="22"/>
  <c r="N52" i="22" s="1"/>
  <c r="G52" i="22"/>
  <c r="O52" i="22" s="1"/>
  <c r="I52" i="22"/>
  <c r="Q52" i="22" s="1"/>
  <c r="B52" i="22"/>
  <c r="J52" i="22" s="1"/>
  <c r="C52" i="22"/>
  <c r="K52" i="22" s="1"/>
  <c r="D52" i="22"/>
  <c r="L52" i="22" s="1"/>
  <c r="E51" i="22"/>
  <c r="M51" i="22" s="1"/>
  <c r="F51" i="22"/>
  <c r="N51" i="22" s="1"/>
  <c r="H51" i="22"/>
  <c r="P51" i="22" s="1"/>
  <c r="G51" i="22"/>
  <c r="O51" i="22" s="1"/>
  <c r="I51" i="22"/>
  <c r="Q51" i="22" s="1"/>
  <c r="B51" i="22"/>
  <c r="J51" i="22" s="1"/>
  <c r="C51" i="22"/>
  <c r="K51" i="22" s="1"/>
  <c r="D51" i="22"/>
  <c r="L51" i="22" s="1"/>
  <c r="E50" i="22"/>
  <c r="M50" i="22" s="1"/>
  <c r="F50" i="22"/>
  <c r="N50" i="22" s="1"/>
  <c r="G50" i="22"/>
  <c r="O50" i="22" s="1"/>
  <c r="H50" i="22"/>
  <c r="P50" i="22" s="1"/>
  <c r="I50" i="22"/>
  <c r="Q50" i="22" s="1"/>
  <c r="B50" i="22"/>
  <c r="J50" i="22" s="1"/>
  <c r="C50" i="22"/>
  <c r="K50" i="22" s="1"/>
  <c r="D50" i="22"/>
  <c r="L50" i="22" s="1"/>
  <c r="E49" i="22"/>
  <c r="M49" i="22" s="1"/>
  <c r="H49" i="22"/>
  <c r="P49" i="22" s="1"/>
  <c r="F49" i="22"/>
  <c r="N49" i="22" s="1"/>
  <c r="G49" i="22"/>
  <c r="O49" i="22" s="1"/>
  <c r="I49" i="22"/>
  <c r="Q49" i="22" s="1"/>
  <c r="B49" i="22"/>
  <c r="J49" i="22" s="1"/>
  <c r="C49" i="22"/>
  <c r="K49" i="22" s="1"/>
  <c r="D49" i="22"/>
  <c r="L49" i="22" s="1"/>
  <c r="E39" i="22"/>
  <c r="M39" i="22" s="1"/>
  <c r="C39" i="22"/>
  <c r="K39" i="22" s="1"/>
  <c r="F39" i="22"/>
  <c r="N39" i="22" s="1"/>
  <c r="G39" i="22"/>
  <c r="O39" i="22" s="1"/>
  <c r="H39" i="22"/>
  <c r="P39" i="22" s="1"/>
  <c r="I39" i="22"/>
  <c r="Q39" i="22" s="1"/>
  <c r="B39" i="22"/>
  <c r="J39" i="22" s="1"/>
  <c r="D39" i="22"/>
  <c r="L39" i="22" s="1"/>
  <c r="E44" i="22"/>
  <c r="M44" i="22" s="1"/>
  <c r="H44" i="22"/>
  <c r="P44" i="22" s="1"/>
  <c r="F44" i="22"/>
  <c r="N44" i="22" s="1"/>
  <c r="G44" i="22"/>
  <c r="O44" i="22" s="1"/>
  <c r="I44" i="22"/>
  <c r="Q44" i="22" s="1"/>
  <c r="B44" i="22"/>
  <c r="J44" i="22" s="1"/>
  <c r="C44" i="22"/>
  <c r="K44" i="22" s="1"/>
  <c r="D44" i="22"/>
  <c r="L44" i="22" s="1"/>
  <c r="E59" i="22"/>
  <c r="M59" i="22" s="1"/>
  <c r="F59" i="22"/>
  <c r="N59" i="22" s="1"/>
  <c r="G59" i="22"/>
  <c r="O59" i="22" s="1"/>
  <c r="H59" i="22"/>
  <c r="P59" i="22" s="1"/>
  <c r="I59" i="22"/>
  <c r="Q59" i="22" s="1"/>
  <c r="B59" i="22"/>
  <c r="J59" i="22" s="1"/>
  <c r="C59" i="22"/>
  <c r="K59" i="22" s="1"/>
  <c r="D59" i="22"/>
  <c r="L59" i="22" s="1"/>
  <c r="E58" i="22"/>
  <c r="M58" i="22" s="1"/>
  <c r="H58" i="22"/>
  <c r="P58" i="22" s="1"/>
  <c r="F58" i="22"/>
  <c r="N58" i="22" s="1"/>
  <c r="G58" i="22"/>
  <c r="O58" i="22" s="1"/>
  <c r="I58" i="22"/>
  <c r="Q58" i="22" s="1"/>
  <c r="B58" i="22"/>
  <c r="J58" i="22" s="1"/>
  <c r="C58" i="22"/>
  <c r="K58" i="22" s="1"/>
  <c r="D58" i="22"/>
  <c r="L58" i="22" s="1"/>
  <c r="E57" i="22"/>
  <c r="M57" i="22" s="1"/>
  <c r="F57" i="22"/>
  <c r="N57" i="22" s="1"/>
  <c r="H57" i="22"/>
  <c r="P57" i="22" s="1"/>
  <c r="G57" i="22"/>
  <c r="O57" i="22" s="1"/>
  <c r="I57" i="22"/>
  <c r="Q57" i="22" s="1"/>
  <c r="B57" i="22"/>
  <c r="J57" i="22" s="1"/>
  <c r="C57" i="22"/>
  <c r="K57" i="22" s="1"/>
  <c r="D57" i="22"/>
  <c r="L57" i="22" s="1"/>
  <c r="E56" i="22"/>
  <c r="M56" i="22" s="1"/>
  <c r="F56" i="22"/>
  <c r="N56" i="22" s="1"/>
  <c r="G56" i="22"/>
  <c r="O56" i="22" s="1"/>
  <c r="H56" i="22"/>
  <c r="P56" i="22" s="1"/>
  <c r="I56" i="22"/>
  <c r="Q56" i="22" s="1"/>
  <c r="B56" i="22"/>
  <c r="J56" i="22" s="1"/>
  <c r="C56" i="22"/>
  <c r="K56" i="22" s="1"/>
  <c r="D56" i="22"/>
  <c r="L56" i="22" s="1"/>
  <c r="E48" i="22"/>
  <c r="M48" i="22" s="1"/>
  <c r="F48" i="22"/>
  <c r="N48" i="22" s="1"/>
  <c r="H48" i="22"/>
  <c r="P48" i="22" s="1"/>
  <c r="G48" i="22"/>
  <c r="O48" i="22" s="1"/>
  <c r="I48" i="22"/>
  <c r="Q48" i="22" s="1"/>
  <c r="B48" i="22"/>
  <c r="J48" i="22" s="1"/>
  <c r="C48" i="22"/>
  <c r="K48" i="22" s="1"/>
  <c r="D48" i="22"/>
  <c r="L48" i="22" s="1"/>
  <c r="E63" i="22"/>
  <c r="M63" i="22" s="1"/>
  <c r="F63" i="22"/>
  <c r="N63" i="22" s="1"/>
  <c r="H63" i="22"/>
  <c r="P63" i="22" s="1"/>
  <c r="G63" i="22"/>
  <c r="O63" i="22" s="1"/>
  <c r="I63" i="22"/>
  <c r="Q63" i="22" s="1"/>
  <c r="B63" i="22"/>
  <c r="J63" i="22" s="1"/>
  <c r="C63" i="22"/>
  <c r="K63" i="22" s="1"/>
  <c r="D63" i="22"/>
  <c r="L63" i="22" s="1"/>
  <c r="E55" i="22"/>
  <c r="M55" i="22" s="1"/>
  <c r="H55" i="22"/>
  <c r="P55" i="22" s="1"/>
  <c r="F55" i="22"/>
  <c r="N55" i="22" s="1"/>
  <c r="G55" i="22"/>
  <c r="O55" i="22" s="1"/>
  <c r="I55" i="22"/>
  <c r="Q55" i="22" s="1"/>
  <c r="B55" i="22"/>
  <c r="J55" i="22" s="1"/>
  <c r="C55" i="22"/>
  <c r="K55" i="22" s="1"/>
  <c r="D55" i="22"/>
  <c r="L55" i="22" s="1"/>
  <c r="E47" i="22"/>
  <c r="M47" i="22" s="1"/>
  <c r="F47" i="22"/>
  <c r="N47" i="22" s="1"/>
  <c r="G47" i="22"/>
  <c r="O47" i="22" s="1"/>
  <c r="H47" i="22"/>
  <c r="P47" i="22" s="1"/>
  <c r="I47" i="22"/>
  <c r="Q47" i="22" s="1"/>
  <c r="B47" i="22"/>
  <c r="J47" i="22" s="1"/>
  <c r="C47" i="22"/>
  <c r="K47" i="22" s="1"/>
  <c r="D47" i="22"/>
  <c r="L47" i="22" s="1"/>
  <c r="E62" i="22"/>
  <c r="M62" i="22" s="1"/>
  <c r="F62" i="22"/>
  <c r="N62" i="22" s="1"/>
  <c r="G62" i="22"/>
  <c r="O62" i="22" s="1"/>
  <c r="H62" i="22"/>
  <c r="P62" i="22" s="1"/>
  <c r="I62" i="22"/>
  <c r="Q62" i="22" s="1"/>
  <c r="B62" i="22"/>
  <c r="J62" i="22" s="1"/>
  <c r="C62" i="22"/>
  <c r="K62" i="22" s="1"/>
  <c r="D62" i="22"/>
  <c r="L62" i="22" s="1"/>
  <c r="E54" i="22"/>
  <c r="M54" i="22" s="1"/>
  <c r="F54" i="22"/>
  <c r="N54" i="22" s="1"/>
  <c r="H54" i="22"/>
  <c r="P54" i="22" s="1"/>
  <c r="G54" i="22"/>
  <c r="O54" i="22" s="1"/>
  <c r="I54" i="22"/>
  <c r="Q54" i="22" s="1"/>
  <c r="B54" i="22"/>
  <c r="J54" i="22" s="1"/>
  <c r="C54" i="22"/>
  <c r="K54" i="22" s="1"/>
  <c r="D54" i="22"/>
  <c r="L54" i="22" s="1"/>
  <c r="E46" i="22"/>
  <c r="M46" i="22" s="1"/>
  <c r="H46" i="22"/>
  <c r="P46" i="22" s="1"/>
  <c r="F46" i="22"/>
  <c r="N46" i="22" s="1"/>
  <c r="G46" i="22"/>
  <c r="O46" i="22" s="1"/>
  <c r="I46" i="22"/>
  <c r="Q46" i="22" s="1"/>
  <c r="B46" i="22"/>
  <c r="J46" i="22" s="1"/>
  <c r="C46" i="22"/>
  <c r="K46" i="22" s="1"/>
  <c r="D46" i="22"/>
  <c r="L46" i="22" s="1"/>
  <c r="E38" i="22"/>
  <c r="M38" i="22" s="1"/>
  <c r="F38" i="22"/>
  <c r="N38" i="22" s="1"/>
  <c r="G38" i="22"/>
  <c r="O38" i="22" s="1"/>
  <c r="C38" i="22"/>
  <c r="K38" i="22" s="1"/>
  <c r="H38" i="22"/>
  <c r="P38" i="22" s="1"/>
  <c r="I38" i="22"/>
  <c r="Q38" i="22" s="1"/>
  <c r="B38" i="22"/>
  <c r="J38" i="22" s="1"/>
  <c r="D38" i="22"/>
  <c r="L38" i="22" s="1"/>
  <c r="Y81" i="11"/>
  <c r="AC60" i="2"/>
  <c r="AH60" i="2"/>
  <c r="AC37" i="2"/>
  <c r="AH37" i="2"/>
  <c r="AC52" i="2"/>
  <c r="AH52" i="2"/>
  <c r="AC50" i="2"/>
  <c r="AH50" i="2"/>
  <c r="AH67" i="2"/>
  <c r="AC67" i="2"/>
  <c r="AC66" i="2"/>
  <c r="AH66" i="2"/>
  <c r="AC56" i="2"/>
  <c r="AH56" i="2"/>
  <c r="AH59" i="2"/>
  <c r="AC59" i="2"/>
  <c r="AH58" i="2"/>
  <c r="AC58" i="2"/>
  <c r="AC57" i="2"/>
  <c r="AH57" i="2"/>
  <c r="AC64" i="2"/>
  <c r="AH64" i="2"/>
  <c r="AH63" i="2"/>
  <c r="AC63" i="2"/>
  <c r="AH39" i="2"/>
  <c r="AC39" i="2"/>
  <c r="AC44" i="2"/>
  <c r="AH44" i="2"/>
  <c r="AH43" i="2"/>
  <c r="AC43" i="2"/>
  <c r="AC65" i="2"/>
  <c r="AH65" i="2"/>
  <c r="AC41" i="2"/>
  <c r="AH41" i="2"/>
  <c r="AC48" i="2"/>
  <c r="AH48" i="2"/>
  <c r="AH47" i="2"/>
  <c r="AC47" i="2"/>
  <c r="AC54" i="2"/>
  <c r="AH54" i="2"/>
  <c r="AH46" i="2"/>
  <c r="AC46" i="2"/>
  <c r="AC38" i="2"/>
  <c r="AH38" i="2"/>
  <c r="AH51" i="2"/>
  <c r="AC51" i="2"/>
  <c r="AC42" i="2"/>
  <c r="AH42" i="2"/>
  <c r="AC49" i="2"/>
  <c r="AH49" i="2"/>
  <c r="AC40" i="2"/>
  <c r="AH40" i="2"/>
  <c r="AH55" i="2"/>
  <c r="AC55" i="2"/>
  <c r="AC62" i="2"/>
  <c r="AH62" i="2"/>
  <c r="AC61" i="2"/>
  <c r="AH61" i="2"/>
  <c r="AC53" i="2"/>
  <c r="AH53" i="2"/>
  <c r="AC45" i="2"/>
  <c r="AH45" i="2"/>
  <c r="F27" i="1"/>
  <c r="F26" i="1"/>
  <c r="K50" i="1" s="1"/>
  <c r="K51" i="1" s="1"/>
  <c r="K49" i="1" s="1"/>
  <c r="F25" i="1"/>
  <c r="F24" i="1"/>
  <c r="K48" i="1" s="1"/>
  <c r="D27" i="1"/>
  <c r="D26" i="1"/>
  <c r="D25" i="1"/>
  <c r="D24" i="1"/>
  <c r="C13" i="1"/>
  <c r="C19" i="1" s="1"/>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H5" i="4"/>
  <c r="G5" i="4"/>
  <c r="F5" i="4"/>
  <c r="E5" i="4"/>
  <c r="D5" i="4"/>
  <c r="C5" i="4"/>
  <c r="H5" i="3"/>
  <c r="G5" i="3"/>
  <c r="G5" i="2"/>
  <c r="H5" i="2"/>
  <c r="F5" i="2"/>
  <c r="E5" i="2"/>
  <c r="D5" i="2"/>
  <c r="C5" i="2"/>
  <c r="K47" i="1" l="1"/>
  <c r="Y82" i="11"/>
  <c r="M69" i="3"/>
  <c r="AI7" i="2"/>
  <c r="AD8" i="2"/>
  <c r="D23" i="1"/>
  <c r="E24" i="1" s="1"/>
  <c r="F31" i="1"/>
  <c r="B18" i="1"/>
  <c r="B23" i="1"/>
  <c r="C24" i="1" s="1"/>
  <c r="B19" i="1"/>
  <c r="F23" i="1"/>
  <c r="G27" i="1" s="1"/>
  <c r="C18" i="1"/>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AF9" i="2" l="1"/>
  <c r="AG9" i="2"/>
  <c r="AE8" i="2"/>
  <c r="AE9" i="2" s="1"/>
  <c r="AJ8" i="2"/>
  <c r="AJ9" i="2" s="1"/>
  <c r="AL9" i="2"/>
  <c r="AK9" i="2"/>
  <c r="E25" i="1"/>
  <c r="E27" i="1"/>
  <c r="E26" i="1"/>
  <c r="J27" i="1"/>
  <c r="L27" i="1" s="1"/>
  <c r="C25" i="1"/>
  <c r="C26" i="1"/>
  <c r="C27" i="1"/>
  <c r="I27" i="1"/>
  <c r="K27" i="1" s="1"/>
  <c r="F4" i="3" s="1"/>
  <c r="G24" i="1"/>
  <c r="I24" i="1" s="1"/>
  <c r="G26" i="1"/>
  <c r="G25" i="1"/>
  <c r="W8" i="8" l="1"/>
  <c r="J7" i="15" s="1"/>
  <c r="X8" i="8"/>
  <c r="K7" i="15" s="1"/>
  <c r="K24" i="1"/>
  <c r="C4" i="3" s="1"/>
  <c r="C3" i="3" s="1"/>
  <c r="C37" i="3" s="1"/>
  <c r="C38" i="3" s="1"/>
  <c r="C39" i="3" s="1"/>
  <c r="C40" i="3" s="1"/>
  <c r="C41" i="3" s="1"/>
  <c r="C42" i="3" s="1"/>
  <c r="C43" i="3" s="1"/>
  <c r="C44" i="3" s="1"/>
  <c r="C45" i="3" s="1"/>
  <c r="C46" i="3" s="1"/>
  <c r="C47" i="3" s="1"/>
  <c r="C48" i="3" s="1"/>
  <c r="C49" i="3" s="1"/>
  <c r="C50" i="3" s="1"/>
  <c r="C51" i="3" s="1"/>
  <c r="C52" i="3" s="1"/>
  <c r="I25" i="1"/>
  <c r="K25" i="1" s="1"/>
  <c r="D4" i="3" s="1"/>
  <c r="D3" i="3" s="1"/>
  <c r="D37" i="3" s="1"/>
  <c r="D38" i="3" s="1"/>
  <c r="D39" i="3" s="1"/>
  <c r="D40" i="3" s="1"/>
  <c r="D41" i="3" s="1"/>
  <c r="D42" i="3" s="1"/>
  <c r="D43" i="3" s="1"/>
  <c r="D44" i="3" s="1"/>
  <c r="D45" i="3" s="1"/>
  <c r="D46" i="3" s="1"/>
  <c r="D47" i="3" s="1"/>
  <c r="D48" i="3" s="1"/>
  <c r="D49" i="3" s="1"/>
  <c r="D50" i="3" s="1"/>
  <c r="D51" i="3" s="1"/>
  <c r="D52" i="3" s="1"/>
  <c r="D53" i="3" s="1"/>
  <c r="D54" i="3" s="1"/>
  <c r="D55" i="3" s="1"/>
  <c r="D56" i="3" s="1"/>
  <c r="D57" i="3" s="1"/>
  <c r="J25" i="1"/>
  <c r="L25" i="1" s="1"/>
  <c r="I26" i="1"/>
  <c r="J26" i="1"/>
  <c r="L26" i="1" s="1"/>
  <c r="J24" i="1"/>
  <c r="L24" i="1" s="1"/>
  <c r="X14" i="8" l="1"/>
  <c r="K13" i="15" s="1"/>
  <c r="X18" i="8"/>
  <c r="K17" i="15" s="1"/>
  <c r="W13" i="8"/>
  <c r="J12" i="15" s="1"/>
  <c r="W30" i="8"/>
  <c r="V8" i="8"/>
  <c r="I7" i="15" s="1"/>
  <c r="W26" i="10"/>
  <c r="J25" i="11" s="1"/>
  <c r="W30" i="10"/>
  <c r="X30" i="10"/>
  <c r="K29" i="11" s="1"/>
  <c r="W28" i="10"/>
  <c r="J27" i="11" s="1"/>
  <c r="X28" i="10"/>
  <c r="K27" i="11" s="1"/>
  <c r="W27" i="10"/>
  <c r="J26" i="11" s="1"/>
  <c r="X27" i="10"/>
  <c r="K26" i="11" s="1"/>
  <c r="X32" i="10"/>
  <c r="K31" i="11" s="1"/>
  <c r="X31" i="10"/>
  <c r="K30" i="11" s="1"/>
  <c r="T8" i="8"/>
  <c r="G7" i="15" s="1"/>
  <c r="R8" i="8"/>
  <c r="E7" i="15" s="1"/>
  <c r="W29" i="10"/>
  <c r="J28" i="11" s="1"/>
  <c r="X29" i="10"/>
  <c r="K28" i="11" s="1"/>
  <c r="S8" i="8"/>
  <c r="F7" i="15" s="1"/>
  <c r="U8" i="8"/>
  <c r="H7" i="15" s="1"/>
  <c r="L23" i="1"/>
  <c r="C48" i="1"/>
  <c r="K26" i="1"/>
  <c r="E4" i="3" s="1"/>
  <c r="O23" i="8"/>
  <c r="O10" i="8"/>
  <c r="L22" i="8"/>
  <c r="I23" i="1"/>
  <c r="J23" i="1"/>
  <c r="X7" i="18" l="1"/>
  <c r="U7" i="18"/>
  <c r="Q20" i="8"/>
  <c r="Y20" i="8" s="1"/>
  <c r="Q8" i="8"/>
  <c r="D7" i="15" s="1"/>
  <c r="P33" i="8"/>
  <c r="O31" i="8"/>
  <c r="P16" i="8"/>
  <c r="P26" i="8"/>
  <c r="P12" i="8"/>
  <c r="J29" i="11"/>
  <c r="Y30" i="8"/>
  <c r="J29" i="15"/>
  <c r="V25" i="8"/>
  <c r="I24" i="15" s="1"/>
  <c r="V10" i="8"/>
  <c r="I9" i="15" s="1"/>
  <c r="U26" i="8"/>
  <c r="T32" i="8"/>
  <c r="T33" i="8"/>
  <c r="S18" i="8"/>
  <c r="F17" i="15" s="1"/>
  <c r="S32" i="8"/>
  <c r="R16" i="8"/>
  <c r="E15" i="15" s="1"/>
  <c r="R23" i="8"/>
  <c r="Q14" i="8"/>
  <c r="Y14" i="8" s="1"/>
  <c r="Q16" i="8"/>
  <c r="P10" i="8"/>
  <c r="P17" i="8"/>
  <c r="O27" i="8"/>
  <c r="C50" i="1"/>
  <c r="C51" i="1" s="1"/>
  <c r="K23" i="1"/>
  <c r="L19" i="8"/>
  <c r="L15" i="8"/>
  <c r="E5" i="3"/>
  <c r="F5" i="3"/>
  <c r="C49" i="1" l="1"/>
  <c r="C47" i="1" s="1"/>
  <c r="P162" i="8"/>
  <c r="P165" i="8"/>
  <c r="P163" i="8"/>
  <c r="P166" i="8"/>
  <c r="P164" i="8"/>
  <c r="P161" i="8"/>
  <c r="Y26" i="8"/>
  <c r="R165" i="8"/>
  <c r="R166" i="8"/>
  <c r="Q162" i="8"/>
  <c r="Q160" i="8"/>
  <c r="Q163" i="8"/>
  <c r="Q161" i="8"/>
  <c r="Q158" i="8"/>
  <c r="Q159" i="8"/>
  <c r="Y10" i="8"/>
  <c r="P156" i="8"/>
  <c r="P155" i="8"/>
  <c r="P157" i="8"/>
  <c r="P159" i="8"/>
  <c r="P154" i="8"/>
  <c r="P158" i="8"/>
  <c r="P160" i="8"/>
  <c r="L14" i="8"/>
  <c r="P153" i="8"/>
  <c r="Q157" i="8"/>
  <c r="L20" i="8"/>
  <c r="L10" i="8" l="1"/>
  <c r="I67" i="3" l="1"/>
  <c r="L67" i="3"/>
  <c r="L37" i="3"/>
  <c r="X37" i="3" l="1"/>
  <c r="AC37" i="3"/>
  <c r="AD7" i="3" s="1"/>
  <c r="L39" i="3"/>
  <c r="L38" i="3"/>
  <c r="X38" i="3" l="1"/>
  <c r="Y38" i="3" s="1"/>
  <c r="AC38" i="3"/>
  <c r="X39" i="3"/>
  <c r="Y39" i="3" s="1"/>
  <c r="AC39" i="3"/>
  <c r="AE8" i="3"/>
  <c r="AE9" i="3" s="1"/>
  <c r="AG9" i="3"/>
  <c r="AF9" i="3"/>
  <c r="Y8" i="3"/>
  <c r="Y37" i="3"/>
  <c r="L40" i="3"/>
  <c r="Z8" i="3" l="1"/>
  <c r="Z9" i="3" s="1"/>
  <c r="Z38" i="3" s="1"/>
  <c r="AA9" i="3"/>
  <c r="AA37" i="3" s="1"/>
  <c r="AB9" i="3"/>
  <c r="AB38" i="3" s="1"/>
  <c r="AC40" i="3"/>
  <c r="X40" i="3"/>
  <c r="Y40" i="3" s="1"/>
  <c r="L41" i="3"/>
  <c r="AB39" i="3" l="1"/>
  <c r="Z37" i="3"/>
  <c r="Z39" i="3"/>
  <c r="AA38" i="3"/>
  <c r="AA39" i="3"/>
  <c r="AC41" i="3"/>
  <c r="X41" i="3"/>
  <c r="Y41" i="3" s="1"/>
  <c r="AB62" i="3"/>
  <c r="AB67" i="3"/>
  <c r="AB61" i="3"/>
  <c r="AB65" i="3"/>
  <c r="AB55" i="3"/>
  <c r="AB59" i="3"/>
  <c r="AB54" i="3"/>
  <c r="AB56" i="3"/>
  <c r="AB58" i="3"/>
  <c r="AB64" i="3"/>
  <c r="AB66" i="3"/>
  <c r="AB60" i="3"/>
  <c r="AB53" i="3"/>
  <c r="AB57" i="3"/>
  <c r="AB63" i="3"/>
  <c r="AA53" i="3"/>
  <c r="AA58" i="3"/>
  <c r="AA54" i="3"/>
  <c r="AA66" i="3"/>
  <c r="AA63" i="3"/>
  <c r="AA65" i="3"/>
  <c r="AA61" i="3"/>
  <c r="AA60" i="3"/>
  <c r="AA64" i="3"/>
  <c r="AA55" i="3"/>
  <c r="AA56" i="3"/>
  <c r="AA67" i="3"/>
  <c r="AA62" i="3"/>
  <c r="AA59" i="3"/>
  <c r="AA57" i="3"/>
  <c r="AA40" i="3"/>
  <c r="AB40" i="3"/>
  <c r="Z40" i="3"/>
  <c r="AB37" i="3"/>
  <c r="Z63" i="3"/>
  <c r="Z57" i="3"/>
  <c r="Z58" i="3"/>
  <c r="Z53" i="3"/>
  <c r="Z65" i="3"/>
  <c r="Z60" i="3"/>
  <c r="Z66" i="3"/>
  <c r="Z67" i="3"/>
  <c r="Z61" i="3"/>
  <c r="Z55" i="3"/>
  <c r="Z54" i="3"/>
  <c r="Z62" i="3"/>
  <c r="Z56" i="3"/>
  <c r="Z64" i="3"/>
  <c r="Z59" i="3"/>
  <c r="L42" i="3"/>
  <c r="X42" i="3" l="1"/>
  <c r="Y42" i="3" s="1"/>
  <c r="AC42" i="3"/>
  <c r="AB41" i="3"/>
  <c r="Z41" i="3"/>
  <c r="AA41" i="3"/>
  <c r="L43" i="3"/>
  <c r="X43" i="3" l="1"/>
  <c r="Y43" i="3" s="1"/>
  <c r="AC43" i="3"/>
  <c r="Z42" i="3"/>
  <c r="AB42" i="3"/>
  <c r="AA42" i="3"/>
  <c r="L44" i="3"/>
  <c r="C7" i="14" l="1"/>
  <c r="P7" i="14" s="1"/>
  <c r="X44" i="3"/>
  <c r="Y44" i="3" s="1"/>
  <c r="AC44" i="3"/>
  <c r="Z43" i="3"/>
  <c r="AA43" i="3"/>
  <c r="AB43" i="3"/>
  <c r="L45" i="3"/>
  <c r="X45" i="3" l="1"/>
  <c r="Y45" i="3" s="1"/>
  <c r="AC45" i="3"/>
  <c r="AA44" i="3"/>
  <c r="AB44" i="3"/>
  <c r="Z44" i="3"/>
  <c r="L46" i="3"/>
  <c r="X46" i="3" l="1"/>
  <c r="Y46" i="3" s="1"/>
  <c r="AC46" i="3"/>
  <c r="Z45" i="3"/>
  <c r="AA45" i="3"/>
  <c r="AB45" i="3"/>
  <c r="L47" i="3"/>
  <c r="X47" i="3" l="1"/>
  <c r="Y47" i="3" s="1"/>
  <c r="AC47" i="3"/>
  <c r="AB46" i="3"/>
  <c r="Z46" i="3"/>
  <c r="AA46" i="3"/>
  <c r="L48" i="3"/>
  <c r="AC48" i="3" l="1"/>
  <c r="X48" i="3"/>
  <c r="Y48" i="3" s="1"/>
  <c r="Z47" i="3"/>
  <c r="AB47" i="3"/>
  <c r="AA47" i="3"/>
  <c r="L49" i="3"/>
  <c r="AC49" i="3" l="1"/>
  <c r="X49" i="3"/>
  <c r="Y49" i="3" s="1"/>
  <c r="AB48" i="3"/>
  <c r="Z48" i="3"/>
  <c r="AA48" i="3"/>
  <c r="L50" i="3"/>
  <c r="X50" i="3" l="1"/>
  <c r="Y50" i="3" s="1"/>
  <c r="AC50" i="3"/>
  <c r="AB49" i="3"/>
  <c r="AA49" i="3"/>
  <c r="Z49" i="3"/>
  <c r="L51" i="3"/>
  <c r="AA50" i="3" l="1"/>
  <c r="Z50" i="3"/>
  <c r="AB50" i="3"/>
  <c r="X51" i="3"/>
  <c r="Y51" i="3" s="1"/>
  <c r="AC51" i="3"/>
  <c r="L52" i="3"/>
  <c r="Z51" i="3" l="1"/>
  <c r="AA51" i="3"/>
  <c r="E16" i="14" s="1"/>
  <c r="R16" i="14" s="1"/>
  <c r="AB51" i="3"/>
  <c r="X52" i="3"/>
  <c r="Y52" i="3" s="1"/>
  <c r="AC52" i="3"/>
  <c r="L53" i="3"/>
  <c r="AA52" i="3" l="1"/>
  <c r="Z52" i="3"/>
  <c r="AB52" i="3"/>
  <c r="L54" i="3"/>
  <c r="L55" i="3" l="1"/>
  <c r="L56" i="3" l="1"/>
  <c r="L57" i="3" l="1"/>
  <c r="I58" i="3" l="1"/>
  <c r="L58" i="3"/>
  <c r="I59" i="3" l="1"/>
  <c r="L59" i="3"/>
  <c r="I60" i="3" l="1"/>
  <c r="L60" i="3"/>
  <c r="I61" i="3" l="1"/>
  <c r="L61" i="3"/>
  <c r="I62" i="3" l="1"/>
  <c r="L62" i="3"/>
  <c r="I63" i="3" l="1"/>
  <c r="L63" i="3"/>
  <c r="I64" i="3" l="1"/>
  <c r="L64" i="3"/>
  <c r="I65" i="3" l="1"/>
  <c r="L65" i="3"/>
  <c r="I66" i="3" l="1"/>
  <c r="L66" i="3"/>
  <c r="L69" i="3" s="1"/>
  <c r="C5" i="3"/>
  <c r="I57" i="3"/>
  <c r="I37" i="3"/>
  <c r="I38" i="3" l="1"/>
  <c r="I39" i="3" l="1"/>
  <c r="I40" i="3" l="1"/>
  <c r="I41" i="3" l="1"/>
  <c r="I42" i="3" l="1"/>
  <c r="I43" i="3" l="1"/>
  <c r="I44" i="3" l="1"/>
  <c r="I45" i="3" l="1"/>
  <c r="I46" i="3" l="1"/>
  <c r="I47" i="3" l="1"/>
  <c r="I48" i="3" l="1"/>
  <c r="I49" i="3" l="1"/>
  <c r="I50" i="3" l="1"/>
  <c r="I51" i="3" l="1"/>
  <c r="I52" i="3" l="1"/>
  <c r="I53" i="3" l="1"/>
  <c r="I54" i="3" l="1"/>
  <c r="I55" i="3" l="1"/>
  <c r="I56" i="3" l="1"/>
  <c r="D5" i="3"/>
  <c r="J67" i="3"/>
  <c r="K67" i="3" s="1"/>
  <c r="D38" i="5"/>
  <c r="A7" i="5"/>
  <c r="A8" i="5" s="1"/>
  <c r="U38" i="5" l="1"/>
  <c r="O38" i="5"/>
  <c r="J41" i="2"/>
  <c r="K41" i="2" s="1"/>
  <c r="J57" i="2"/>
  <c r="K57" i="2" s="1"/>
  <c r="J39" i="2"/>
  <c r="K39" i="2" s="1"/>
  <c r="J37" i="3"/>
  <c r="K37" i="3" s="1"/>
  <c r="J38" i="2"/>
  <c r="K38" i="2" s="1"/>
  <c r="J46" i="2"/>
  <c r="K46" i="2" s="1"/>
  <c r="J62" i="2"/>
  <c r="K62" i="2" s="1"/>
  <c r="J43" i="2"/>
  <c r="K43" i="2" s="1"/>
  <c r="J66" i="2"/>
  <c r="K66" i="2" s="1"/>
  <c r="J65" i="2"/>
  <c r="K65" i="2" s="1"/>
  <c r="J47" i="2"/>
  <c r="K47" i="2" s="1"/>
  <c r="J37" i="2"/>
  <c r="K37" i="2" s="1"/>
  <c r="J49" i="2"/>
  <c r="K49" i="2" s="1"/>
  <c r="J67" i="2"/>
  <c r="K67" i="2" s="1"/>
  <c r="J51" i="2"/>
  <c r="K51" i="2" s="1"/>
  <c r="J55" i="2"/>
  <c r="K55" i="2" s="1"/>
  <c r="J48" i="2"/>
  <c r="K48" i="2" s="1"/>
  <c r="J60" i="2"/>
  <c r="K60" i="2" s="1"/>
  <c r="J56" i="2"/>
  <c r="K56" i="2" s="1"/>
  <c r="J40" i="2"/>
  <c r="K40" i="2" s="1"/>
  <c r="J52" i="2"/>
  <c r="K52" i="2" s="1"/>
  <c r="J64" i="2"/>
  <c r="K64" i="2" s="1"/>
  <c r="J50" i="2"/>
  <c r="K50" i="2" s="1"/>
  <c r="J58" i="2"/>
  <c r="K58" i="2" s="1"/>
  <c r="J61" i="2"/>
  <c r="K61" i="2" s="1"/>
  <c r="J53" i="2"/>
  <c r="K53" i="2" s="1"/>
  <c r="J42" i="2"/>
  <c r="K42" i="2" s="1"/>
  <c r="J45" i="2"/>
  <c r="K45" i="2" s="1"/>
  <c r="J59" i="2"/>
  <c r="K59" i="2" s="1"/>
  <c r="J44" i="2"/>
  <c r="K44" i="2" s="1"/>
  <c r="J54" i="2"/>
  <c r="K54" i="2" s="1"/>
  <c r="J63" i="2"/>
  <c r="K63" i="2" s="1"/>
  <c r="D8" i="5"/>
  <c r="O8" i="5" s="1"/>
  <c r="A9" i="5"/>
  <c r="D7" i="5"/>
  <c r="E7" i="5" l="1"/>
  <c r="O7" i="5"/>
  <c r="A10" i="5"/>
  <c r="D9" i="5"/>
  <c r="J38" i="3"/>
  <c r="K38" i="3" s="1"/>
  <c r="C34" i="12"/>
  <c r="U8" i="5"/>
  <c r="C4" i="12"/>
  <c r="B57" i="1"/>
  <c r="B56" i="1"/>
  <c r="B64" i="1" l="1"/>
  <c r="C5" i="12"/>
  <c r="O9" i="5"/>
  <c r="U9" i="5"/>
  <c r="A11" i="5"/>
  <c r="J39" i="3"/>
  <c r="K39" i="3" s="1"/>
  <c r="D10" i="5"/>
  <c r="B66" i="1"/>
  <c r="B65" i="1"/>
  <c r="Q9" i="5"/>
  <c r="V9" i="5" s="1"/>
  <c r="Q10" i="5"/>
  <c r="V10" i="5" s="1"/>
  <c r="Q13" i="5"/>
  <c r="V13" i="5" s="1"/>
  <c r="Q27" i="5"/>
  <c r="V27" i="5" s="1"/>
  <c r="Q11" i="5"/>
  <c r="V11" i="5" s="1"/>
  <c r="Q17" i="5"/>
  <c r="V17" i="5" s="1"/>
  <c r="Q18" i="5"/>
  <c r="V18" i="5" s="1"/>
  <c r="Q22" i="5"/>
  <c r="V22" i="5" s="1"/>
  <c r="Q19" i="5"/>
  <c r="V19" i="5" s="1"/>
  <c r="Q23" i="5"/>
  <c r="V23" i="5" s="1"/>
  <c r="Q28" i="5"/>
  <c r="V28" i="5" s="1"/>
  <c r="Q24" i="5"/>
  <c r="V24" i="5" s="1"/>
  <c r="Q26" i="5"/>
  <c r="V26" i="5" s="1"/>
  <c r="Q8" i="5"/>
  <c r="Q14" i="5"/>
  <c r="V14" i="5" s="1"/>
  <c r="Q21" i="5"/>
  <c r="V21" i="5" s="1"/>
  <c r="Q30" i="5"/>
  <c r="V30" i="5" s="1"/>
  <c r="Q12" i="5"/>
  <c r="V12" i="5" s="1"/>
  <c r="Q15" i="5"/>
  <c r="V15" i="5" s="1"/>
  <c r="Q20" i="5"/>
  <c r="V20" i="5" s="1"/>
  <c r="Q25" i="5"/>
  <c r="V25" i="5" s="1"/>
  <c r="Q33" i="5"/>
  <c r="V33" i="5" s="1"/>
  <c r="Q16" i="5"/>
  <c r="V16" i="5" s="1"/>
  <c r="Q29" i="5"/>
  <c r="V29" i="5" s="1"/>
  <c r="Q38" i="5"/>
  <c r="V38" i="5" s="1"/>
  <c r="Q35" i="5"/>
  <c r="V35" i="5" s="1"/>
  <c r="Q37" i="5"/>
  <c r="V37" i="5" s="1"/>
  <c r="Q31" i="5"/>
  <c r="V31" i="5" s="1"/>
  <c r="Q34" i="5"/>
  <c r="V34" i="5" s="1"/>
  <c r="Q32" i="5"/>
  <c r="V32" i="5" s="1"/>
  <c r="Q36" i="5"/>
  <c r="V36" i="5" s="1"/>
  <c r="Y7" i="5"/>
  <c r="Z7" i="5"/>
  <c r="X7" i="5"/>
  <c r="E8" i="5"/>
  <c r="AI37" i="2" l="1"/>
  <c r="Y8" i="5"/>
  <c r="X8" i="5"/>
  <c r="AD37" i="2"/>
  <c r="AD37" i="3"/>
  <c r="J70" i="1"/>
  <c r="B70" i="1"/>
  <c r="R8" i="5"/>
  <c r="V8" i="5"/>
  <c r="O10" i="5"/>
  <c r="U10" i="5" s="1"/>
  <c r="C6" i="12"/>
  <c r="Z8" i="5"/>
  <c r="E9" i="5"/>
  <c r="A12" i="5"/>
  <c r="D11" i="5"/>
  <c r="J40" i="3"/>
  <c r="K40" i="3" s="1"/>
  <c r="J69" i="1"/>
  <c r="B69" i="1"/>
  <c r="R9" i="5" l="1"/>
  <c r="AD38" i="3"/>
  <c r="AI38" i="2"/>
  <c r="A13" i="5"/>
  <c r="J41" i="3"/>
  <c r="K41" i="3" s="1"/>
  <c r="D12" i="5"/>
  <c r="AK37" i="2"/>
  <c r="AL37" i="2"/>
  <c r="C7" i="12"/>
  <c r="O11" i="5"/>
  <c r="U11" i="5"/>
  <c r="AG37" i="3"/>
  <c r="AF37" i="3"/>
  <c r="AE37" i="3"/>
  <c r="X9" i="5"/>
  <c r="Y9" i="5"/>
  <c r="Z9" i="5"/>
  <c r="AD38" i="2"/>
  <c r="E10" i="5"/>
  <c r="AG37" i="2"/>
  <c r="AR37" i="2" s="1"/>
  <c r="AU37" i="2" s="1"/>
  <c r="AF37" i="2"/>
  <c r="T9" i="5" l="1"/>
  <c r="AB9" i="5"/>
  <c r="AB8" i="5"/>
  <c r="AD8" i="5"/>
  <c r="AC8" i="5"/>
  <c r="R10" i="5"/>
  <c r="AC9" i="5"/>
  <c r="AD9" i="5"/>
  <c r="AZ37" i="2"/>
  <c r="T8" i="5"/>
  <c r="S4" i="5" s="1"/>
  <c r="BA37" i="2"/>
  <c r="BD37" i="2" s="1"/>
  <c r="AQ37" i="2"/>
  <c r="B3" i="9"/>
  <c r="X10" i="5"/>
  <c r="Y10" i="5"/>
  <c r="Z10" i="5"/>
  <c r="AD39" i="2"/>
  <c r="E11" i="5"/>
  <c r="AD39" i="3"/>
  <c r="AI39" i="2"/>
  <c r="C8" i="12"/>
  <c r="O12" i="5"/>
  <c r="U12" i="5"/>
  <c r="AG38" i="2"/>
  <c r="AR38" i="2" s="1"/>
  <c r="AU38" i="2" s="1"/>
  <c r="AF38" i="2"/>
  <c r="AQ38" i="2" s="1"/>
  <c r="AT38" i="2" s="1"/>
  <c r="AL38" i="2"/>
  <c r="BA38" i="2" s="1"/>
  <c r="AK38" i="2"/>
  <c r="AZ38" i="2" s="1"/>
  <c r="BC38" i="2" s="1"/>
  <c r="C3" i="9"/>
  <c r="A14" i="5"/>
  <c r="D13" i="5"/>
  <c r="J42" i="3"/>
  <c r="K42" i="3" s="1"/>
  <c r="AE38" i="3"/>
  <c r="AF38" i="3"/>
  <c r="AG38" i="3"/>
  <c r="R11" i="5" l="1"/>
  <c r="AC10" i="5"/>
  <c r="AY38" i="2"/>
  <c r="BB38" i="2" s="1"/>
  <c r="BD38" i="2"/>
  <c r="BC37" i="2"/>
  <c r="AY37" i="2"/>
  <c r="BB37" i="2" s="1"/>
  <c r="AP38" i="2"/>
  <c r="AS38" i="2" s="1"/>
  <c r="AE38" i="2" s="1"/>
  <c r="L4" i="9" s="1"/>
  <c r="AT37" i="2"/>
  <c r="AP37" i="2"/>
  <c r="AS37" i="2" s="1"/>
  <c r="AE37" i="2" s="1"/>
  <c r="B4" i="9"/>
  <c r="AD40" i="3"/>
  <c r="AI40" i="2"/>
  <c r="AL39" i="2"/>
  <c r="BA39" i="2" s="1"/>
  <c r="BD39" i="2" s="1"/>
  <c r="AK39" i="2"/>
  <c r="AZ39" i="2" s="1"/>
  <c r="BC39" i="2" s="1"/>
  <c r="C9" i="12"/>
  <c r="O13" i="5"/>
  <c r="U13" i="5" s="1"/>
  <c r="C4" i="9"/>
  <c r="X11" i="5"/>
  <c r="Y11" i="5"/>
  <c r="Z11" i="5"/>
  <c r="AD40" i="2"/>
  <c r="E12" i="5"/>
  <c r="A15" i="5"/>
  <c r="D14" i="5"/>
  <c r="J43" i="3"/>
  <c r="K43" i="3" s="1"/>
  <c r="AE39" i="3"/>
  <c r="AG39" i="3"/>
  <c r="AF39" i="3"/>
  <c r="AF39" i="2"/>
  <c r="AQ39" i="2" s="1"/>
  <c r="AT39" i="2" s="1"/>
  <c r="AG39" i="2"/>
  <c r="AR39" i="2" s="1"/>
  <c r="AU39" i="2" s="1"/>
  <c r="T11" i="5" l="1"/>
  <c r="AB11" i="5"/>
  <c r="AD10" i="5"/>
  <c r="T10" i="5"/>
  <c r="AB10" i="5"/>
  <c r="AY39" i="2" s="1"/>
  <c r="BB39" i="2" s="1"/>
  <c r="R12" i="5"/>
  <c r="AD11" i="5"/>
  <c r="AC11" i="5"/>
  <c r="AJ37" i="2"/>
  <c r="AJ38" i="2"/>
  <c r="AJ40" i="2"/>
  <c r="D4" i="9"/>
  <c r="AJ39" i="2"/>
  <c r="D3" i="9"/>
  <c r="L3" i="9"/>
  <c r="AP39" i="2"/>
  <c r="AS39" i="2" s="1"/>
  <c r="AE39" i="2" s="1"/>
  <c r="L5" i="9" s="1"/>
  <c r="AL40" i="2"/>
  <c r="BA40" i="2" s="1"/>
  <c r="BD40" i="2" s="1"/>
  <c r="AK40" i="2"/>
  <c r="AZ40" i="2" s="1"/>
  <c r="BC40" i="2" s="1"/>
  <c r="AG40" i="3"/>
  <c r="AE40" i="3"/>
  <c r="AF40" i="3"/>
  <c r="B5" i="14" s="1"/>
  <c r="C5" i="9"/>
  <c r="C10" i="12"/>
  <c r="O14" i="5"/>
  <c r="U14" i="5" s="1"/>
  <c r="B5" i="9"/>
  <c r="Z12" i="5"/>
  <c r="Y12" i="5"/>
  <c r="X12" i="5"/>
  <c r="AD41" i="2"/>
  <c r="E13" i="5"/>
  <c r="AD41" i="3"/>
  <c r="AI41" i="2"/>
  <c r="A16" i="5"/>
  <c r="J44" i="3"/>
  <c r="K44" i="3" s="1"/>
  <c r="D15" i="5"/>
  <c r="B4" i="14"/>
  <c r="AG40" i="2"/>
  <c r="AR40" i="2" s="1"/>
  <c r="AU40" i="2" s="1"/>
  <c r="AF40" i="2"/>
  <c r="AQ40" i="2" s="1"/>
  <c r="D5" i="9" l="1"/>
  <c r="T12" i="5"/>
  <c r="AB12" i="5"/>
  <c r="R13" i="5"/>
  <c r="AC12" i="5"/>
  <c r="AD12" i="5"/>
  <c r="AJ41" i="2"/>
  <c r="AY40" i="2"/>
  <c r="BB40" i="2" s="1"/>
  <c r="AP40" i="2"/>
  <c r="AS40" i="2" s="1"/>
  <c r="AE40" i="2" s="1"/>
  <c r="D6" i="9" s="1"/>
  <c r="AT40" i="2"/>
  <c r="L5" i="14"/>
  <c r="O5" i="14"/>
  <c r="L4" i="14"/>
  <c r="O4" i="14"/>
  <c r="Y4" i="14" s="1"/>
  <c r="AG41" i="3"/>
  <c r="AE41" i="3"/>
  <c r="AF41" i="3"/>
  <c r="B6" i="14" s="1"/>
  <c r="A17" i="5"/>
  <c r="J45" i="3"/>
  <c r="K45" i="3" s="1"/>
  <c r="D16" i="5"/>
  <c r="AL41" i="2"/>
  <c r="BA41" i="2" s="1"/>
  <c r="BD41" i="2" s="1"/>
  <c r="AK41" i="2"/>
  <c r="AZ41" i="2" s="1"/>
  <c r="BC41" i="2" s="1"/>
  <c r="AG41" i="2"/>
  <c r="AR41" i="2" s="1"/>
  <c r="AU41" i="2" s="1"/>
  <c r="AF41" i="2"/>
  <c r="AQ41" i="2" s="1"/>
  <c r="AT41" i="2" s="1"/>
  <c r="AI42" i="2"/>
  <c r="AD42" i="3"/>
  <c r="C11" i="12"/>
  <c r="O15" i="5"/>
  <c r="U15" i="5" s="1"/>
  <c r="X13" i="5"/>
  <c r="Y13" i="5"/>
  <c r="Z13" i="5"/>
  <c r="AD42" i="2"/>
  <c r="E14" i="5"/>
  <c r="B6" i="9"/>
  <c r="C6" i="9"/>
  <c r="T13" i="5" l="1"/>
  <c r="AB13" i="5"/>
  <c r="R14" i="5"/>
  <c r="AC13" i="5"/>
  <c r="AD13" i="5"/>
  <c r="AJ42" i="2"/>
  <c r="AY41" i="2"/>
  <c r="BB41" i="2" s="1"/>
  <c r="L6" i="9"/>
  <c r="AP41" i="2"/>
  <c r="AS41" i="2" s="1"/>
  <c r="AE41" i="2" s="1"/>
  <c r="L7" i="9" s="1"/>
  <c r="AD43" i="3"/>
  <c r="AI43" i="2"/>
  <c r="B7" i="9"/>
  <c r="A18" i="5"/>
  <c r="D17" i="5"/>
  <c r="J46" i="3"/>
  <c r="K46" i="3" s="1"/>
  <c r="Y5" i="14"/>
  <c r="AG42" i="3"/>
  <c r="AE42" i="3"/>
  <c r="AF42" i="3"/>
  <c r="B7" i="14" s="1"/>
  <c r="C7" i="9"/>
  <c r="AG42" i="2"/>
  <c r="AR42" i="2" s="1"/>
  <c r="AU42" i="2" s="1"/>
  <c r="AF42" i="2"/>
  <c r="AQ42" i="2" s="1"/>
  <c r="AT42" i="2" s="1"/>
  <c r="AL42" i="2"/>
  <c r="BA42" i="2" s="1"/>
  <c r="BD42" i="2" s="1"/>
  <c r="AK42" i="2"/>
  <c r="AZ42" i="2" s="1"/>
  <c r="BC42" i="2" s="1"/>
  <c r="L6" i="14"/>
  <c r="O6" i="14"/>
  <c r="Z14" i="5"/>
  <c r="X14" i="5"/>
  <c r="Y14" i="5"/>
  <c r="E15" i="5"/>
  <c r="AD43" i="2"/>
  <c r="O16" i="5"/>
  <c r="U16" i="5"/>
  <c r="C12" i="12"/>
  <c r="R15" i="5" l="1"/>
  <c r="AD14" i="5"/>
  <c r="D7" i="9"/>
  <c r="AJ43" i="2"/>
  <c r="AY42" i="2"/>
  <c r="BB42" i="2" s="1"/>
  <c r="AP42" i="2"/>
  <c r="AS42" i="2" s="1"/>
  <c r="AE42" i="2" s="1"/>
  <c r="D8" i="9" s="1"/>
  <c r="AL43" i="2"/>
  <c r="BA43" i="2" s="1"/>
  <c r="BD43" i="2" s="1"/>
  <c r="AK43" i="2"/>
  <c r="AZ43" i="2" s="1"/>
  <c r="BC43" i="2" s="1"/>
  <c r="O17" i="5"/>
  <c r="U17" i="5" s="1"/>
  <c r="C13" i="12"/>
  <c r="AE43" i="3"/>
  <c r="AG43" i="3"/>
  <c r="AF43" i="3"/>
  <c r="A19" i="5"/>
  <c r="J47" i="3"/>
  <c r="K47" i="3" s="1"/>
  <c r="D18" i="5"/>
  <c r="AG43" i="2"/>
  <c r="AR43" i="2" s="1"/>
  <c r="AU43" i="2" s="1"/>
  <c r="AF43" i="2"/>
  <c r="AQ43" i="2" s="1"/>
  <c r="AT43" i="2" s="1"/>
  <c r="AD44" i="3"/>
  <c r="AI44" i="2"/>
  <c r="Y15" i="5"/>
  <c r="Z15" i="5"/>
  <c r="X15" i="5"/>
  <c r="E16" i="5"/>
  <c r="AD44" i="2"/>
  <c r="L7" i="14"/>
  <c r="O7" i="14"/>
  <c r="B8" i="9"/>
  <c r="Y6" i="14"/>
  <c r="C8" i="9"/>
  <c r="T14" i="5" l="1"/>
  <c r="AB14" i="5"/>
  <c r="AC14" i="5"/>
  <c r="AY43" i="2" s="1"/>
  <c r="BB43" i="2" s="1"/>
  <c r="T15" i="5"/>
  <c r="AB15" i="5"/>
  <c r="R16" i="5"/>
  <c r="AC15" i="5"/>
  <c r="AD15" i="5"/>
  <c r="B8" i="14"/>
  <c r="O8" i="14" s="1"/>
  <c r="C8" i="14"/>
  <c r="P8" i="14" s="1"/>
  <c r="L8" i="9"/>
  <c r="AJ44" i="2"/>
  <c r="AP43" i="2"/>
  <c r="AS43" i="2" s="1"/>
  <c r="AE43" i="2" s="1"/>
  <c r="D9" i="9" s="1"/>
  <c r="X16" i="5"/>
  <c r="Y16" i="5"/>
  <c r="Z16" i="5"/>
  <c r="AD45" i="2"/>
  <c r="E17" i="5"/>
  <c r="AL44" i="2"/>
  <c r="BA44" i="2" s="1"/>
  <c r="BD44" i="2" s="1"/>
  <c r="AK44" i="2"/>
  <c r="AZ44" i="2" s="1"/>
  <c r="BC44" i="2" s="1"/>
  <c r="B9" i="9"/>
  <c r="C9" i="9"/>
  <c r="O18" i="5"/>
  <c r="U18" i="5"/>
  <c r="C14" i="12"/>
  <c r="A20" i="5"/>
  <c r="J48" i="3"/>
  <c r="K48" i="3" s="1"/>
  <c r="D19" i="5"/>
  <c r="AG44" i="3"/>
  <c r="AE44" i="3"/>
  <c r="AF44" i="3"/>
  <c r="Y7" i="14"/>
  <c r="AG44" i="2"/>
  <c r="AR44" i="2" s="1"/>
  <c r="AU44" i="2" s="1"/>
  <c r="AF44" i="2"/>
  <c r="AQ44" i="2" s="1"/>
  <c r="AD45" i="3"/>
  <c r="AI45" i="2"/>
  <c r="AJ45" i="2" s="1"/>
  <c r="T16" i="5" l="1"/>
  <c r="AB16" i="5"/>
  <c r="R17" i="5"/>
  <c r="AC16" i="5"/>
  <c r="AD16" i="5"/>
  <c r="L8" i="14"/>
  <c r="B9" i="14"/>
  <c r="C9" i="14"/>
  <c r="P9" i="14" s="1"/>
  <c r="C9" i="15" s="1"/>
  <c r="AY44" i="2"/>
  <c r="BB44" i="2" s="1"/>
  <c r="L9" i="9"/>
  <c r="AP44" i="2"/>
  <c r="AS44" i="2" s="1"/>
  <c r="AE44" i="2" s="1"/>
  <c r="L10" i="9" s="1"/>
  <c r="AT44" i="2"/>
  <c r="AD46" i="3"/>
  <c r="AI46" i="2"/>
  <c r="AJ46" i="2" s="1"/>
  <c r="AL45" i="2"/>
  <c r="BA45" i="2" s="1"/>
  <c r="BD45" i="2" s="1"/>
  <c r="AK45" i="2"/>
  <c r="AZ45" i="2" s="1"/>
  <c r="Y8" i="14"/>
  <c r="B8" i="15"/>
  <c r="AG45" i="3"/>
  <c r="AE45" i="3"/>
  <c r="AF45" i="3"/>
  <c r="B10" i="9"/>
  <c r="C10" i="9"/>
  <c r="C15" i="12"/>
  <c r="O19" i="5"/>
  <c r="U19" i="5" s="1"/>
  <c r="Z17" i="5"/>
  <c r="Y17" i="5"/>
  <c r="X17" i="5"/>
  <c r="E18" i="5"/>
  <c r="AD46" i="2"/>
  <c r="AG45" i="2"/>
  <c r="AR45" i="2" s="1"/>
  <c r="AU45" i="2" s="1"/>
  <c r="AF45" i="2"/>
  <c r="AQ45" i="2" s="1"/>
  <c r="AT45" i="2" s="1"/>
  <c r="A21" i="5"/>
  <c r="J49" i="3"/>
  <c r="K49" i="3" s="1"/>
  <c r="D20" i="5"/>
  <c r="R18" i="5" l="1"/>
  <c r="AC17" i="5"/>
  <c r="AD17" i="5"/>
  <c r="T17" i="5"/>
  <c r="AB17" i="5"/>
  <c r="L9" i="14"/>
  <c r="O9" i="14"/>
  <c r="Y9" i="14" s="1"/>
  <c r="B10" i="14"/>
  <c r="O10" i="14" s="1"/>
  <c r="C10" i="14"/>
  <c r="P10" i="14" s="1"/>
  <c r="C10" i="15" s="1"/>
  <c r="AY45" i="2"/>
  <c r="BB45" i="2" s="1"/>
  <c r="BC45" i="2"/>
  <c r="D10" i="9"/>
  <c r="AP45" i="2"/>
  <c r="AS45" i="2" s="1"/>
  <c r="AE45" i="2" s="1"/>
  <c r="L11" i="9" s="1"/>
  <c r="AL46" i="2"/>
  <c r="BA46" i="2" s="1"/>
  <c r="AK46" i="2"/>
  <c r="AZ46" i="2" s="1"/>
  <c r="BC46" i="2" s="1"/>
  <c r="AE46" i="3"/>
  <c r="AG46" i="3"/>
  <c r="AF46" i="3"/>
  <c r="AG46" i="2"/>
  <c r="AR46" i="2" s="1"/>
  <c r="AU46" i="2" s="1"/>
  <c r="AF46" i="2"/>
  <c r="AQ46" i="2" s="1"/>
  <c r="AT46" i="2" s="1"/>
  <c r="C16" i="12"/>
  <c r="O20" i="5"/>
  <c r="U20" i="5" s="1"/>
  <c r="A22" i="5"/>
  <c r="J50" i="3"/>
  <c r="K50" i="3" s="1"/>
  <c r="D21" i="5"/>
  <c r="B11" i="9"/>
  <c r="Z18" i="5"/>
  <c r="X18" i="5"/>
  <c r="Y18" i="5"/>
  <c r="AD47" i="2"/>
  <c r="E19" i="5"/>
  <c r="C11" i="9"/>
  <c r="AD47" i="3"/>
  <c r="AI47" i="2"/>
  <c r="B9" i="15" l="1"/>
  <c r="L9" i="15" s="1"/>
  <c r="T18" i="5"/>
  <c r="AB18" i="5"/>
  <c r="R19" i="5"/>
  <c r="AC18" i="5"/>
  <c r="AD18" i="5"/>
  <c r="L10" i="14"/>
  <c r="B11" i="14"/>
  <c r="O11" i="14" s="1"/>
  <c r="C11" i="14"/>
  <c r="P11" i="14" s="1"/>
  <c r="C11" i="15" s="1"/>
  <c r="AY46" i="2"/>
  <c r="BB46" i="2" s="1"/>
  <c r="BD46" i="2"/>
  <c r="AJ47" i="2"/>
  <c r="D11" i="9"/>
  <c r="AP46" i="2"/>
  <c r="AS46" i="2" s="1"/>
  <c r="AE46" i="2" s="1"/>
  <c r="AG47" i="2"/>
  <c r="AR47" i="2" s="1"/>
  <c r="AU47" i="2" s="1"/>
  <c r="AF47" i="2"/>
  <c r="AQ47" i="2" s="1"/>
  <c r="AT47" i="2" s="1"/>
  <c r="Y10" i="14"/>
  <c r="AI48" i="2"/>
  <c r="AJ48" i="2" s="1"/>
  <c r="AD48" i="3"/>
  <c r="O21" i="5"/>
  <c r="C17" i="12"/>
  <c r="U21" i="5"/>
  <c r="B12" i="9"/>
  <c r="Z19" i="5"/>
  <c r="X19" i="5"/>
  <c r="Y19" i="5"/>
  <c r="AD48" i="2"/>
  <c r="E20" i="5"/>
  <c r="AL47" i="2"/>
  <c r="BA47" i="2" s="1"/>
  <c r="BD47" i="2" s="1"/>
  <c r="AK47" i="2"/>
  <c r="AZ47" i="2" s="1"/>
  <c r="BC47" i="2" s="1"/>
  <c r="AG47" i="3"/>
  <c r="AE47" i="3"/>
  <c r="AF47" i="3"/>
  <c r="A23" i="5"/>
  <c r="J51" i="3"/>
  <c r="K51" i="3" s="1"/>
  <c r="D22" i="5"/>
  <c r="C12" i="9"/>
  <c r="R20" i="5" l="1"/>
  <c r="L11" i="14"/>
  <c r="C12" i="14"/>
  <c r="P12" i="14" s="1"/>
  <c r="C12" i="15" s="1"/>
  <c r="D12" i="14"/>
  <c r="Q12" i="14" s="1"/>
  <c r="AY47" i="2"/>
  <c r="BB47" i="2" s="1"/>
  <c r="L12" i="9"/>
  <c r="D12" i="9"/>
  <c r="AP47" i="2"/>
  <c r="AS47" i="2" s="1"/>
  <c r="AE47" i="2" s="1"/>
  <c r="L13" i="9" s="1"/>
  <c r="AL48" i="2"/>
  <c r="BA48" i="2" s="1"/>
  <c r="AK48" i="2"/>
  <c r="AZ48" i="2" s="1"/>
  <c r="BC48" i="2" s="1"/>
  <c r="C18" i="12"/>
  <c r="O22" i="5"/>
  <c r="U22" i="5"/>
  <c r="AE48" i="3"/>
  <c r="AG48" i="3"/>
  <c r="AF48" i="3"/>
  <c r="A24" i="5"/>
  <c r="J52" i="3"/>
  <c r="K52" i="3" s="1"/>
  <c r="D23" i="5"/>
  <c r="B13" i="9"/>
  <c r="AG48" i="2"/>
  <c r="AR48" i="2" s="1"/>
  <c r="AU48" i="2" s="1"/>
  <c r="AF48" i="2"/>
  <c r="AQ48" i="2" s="1"/>
  <c r="Y11" i="14"/>
  <c r="B12" i="14"/>
  <c r="Y20" i="5"/>
  <c r="X20" i="5"/>
  <c r="Z20" i="5"/>
  <c r="AD49" i="2"/>
  <c r="E21" i="5"/>
  <c r="AD49" i="3"/>
  <c r="AI49" i="2"/>
  <c r="C13" i="9"/>
  <c r="T19" i="5" l="1"/>
  <c r="AB19" i="5"/>
  <c r="AC19" i="5"/>
  <c r="AD19" i="5"/>
  <c r="T20" i="5"/>
  <c r="AB20" i="5"/>
  <c r="R21" i="5"/>
  <c r="AC20" i="5"/>
  <c r="AD20" i="5"/>
  <c r="B13" i="14"/>
  <c r="O13" i="14" s="1"/>
  <c r="D13" i="14"/>
  <c r="Q13" i="14" s="1"/>
  <c r="D13" i="15" s="1"/>
  <c r="C13" i="14"/>
  <c r="P13" i="14" s="1"/>
  <c r="C13" i="15" s="1"/>
  <c r="D13" i="9"/>
  <c r="AJ49" i="2"/>
  <c r="AY48" i="2"/>
  <c r="BB48" i="2" s="1"/>
  <c r="BD48" i="2"/>
  <c r="AP48" i="2"/>
  <c r="AS48" i="2" s="1"/>
  <c r="AE48" i="2" s="1"/>
  <c r="AT48" i="2"/>
  <c r="B14" i="9"/>
  <c r="A25" i="5"/>
  <c r="D24" i="5"/>
  <c r="J53" i="3"/>
  <c r="K53" i="3" s="1"/>
  <c r="AF49" i="2"/>
  <c r="AQ49" i="2" s="1"/>
  <c r="AT49" i="2" s="1"/>
  <c r="AG49" i="2"/>
  <c r="AR49" i="2" s="1"/>
  <c r="AU49" i="2" s="1"/>
  <c r="C14" i="9"/>
  <c r="AG49" i="3"/>
  <c r="AE49" i="3"/>
  <c r="AF49" i="3"/>
  <c r="L12" i="14"/>
  <c r="O12" i="14"/>
  <c r="AD50" i="3"/>
  <c r="AI50" i="2"/>
  <c r="AL49" i="2"/>
  <c r="BA49" i="2" s="1"/>
  <c r="BD49" i="2" s="1"/>
  <c r="AK49" i="2"/>
  <c r="AZ49" i="2" s="1"/>
  <c r="BC49" i="2" s="1"/>
  <c r="X21" i="5"/>
  <c r="Y21" i="5"/>
  <c r="Z21" i="5"/>
  <c r="AD50" i="2"/>
  <c r="E22" i="5"/>
  <c r="O23" i="5"/>
  <c r="U23" i="5" s="1"/>
  <c r="C19" i="12"/>
  <c r="R22" i="5" l="1"/>
  <c r="AC21" i="5"/>
  <c r="AD21" i="5"/>
  <c r="T21" i="5"/>
  <c r="AB21" i="5"/>
  <c r="L13" i="14"/>
  <c r="D14" i="14"/>
  <c r="Q14" i="14" s="1"/>
  <c r="D14" i="15" s="1"/>
  <c r="C14" i="14"/>
  <c r="P14" i="14" s="1"/>
  <c r="C14" i="15" s="1"/>
  <c r="AJ50" i="2"/>
  <c r="AY49" i="2"/>
  <c r="BB49" i="2" s="1"/>
  <c r="L14" i="9"/>
  <c r="D14" i="9"/>
  <c r="AP49" i="2"/>
  <c r="AS49" i="2" s="1"/>
  <c r="AE49" i="2" s="1"/>
  <c r="L15" i="9" s="1"/>
  <c r="X22" i="5"/>
  <c r="Y22" i="5"/>
  <c r="Z22" i="5"/>
  <c r="AD51" i="2"/>
  <c r="E23" i="5"/>
  <c r="O24" i="5"/>
  <c r="U24" i="5" s="1"/>
  <c r="C20" i="12"/>
  <c r="Y12" i="14"/>
  <c r="AL50" i="2"/>
  <c r="BA50" i="2" s="1"/>
  <c r="BD50" i="2" s="1"/>
  <c r="AK50" i="2"/>
  <c r="AZ50" i="2" s="1"/>
  <c r="BC50" i="2" s="1"/>
  <c r="AE50" i="3"/>
  <c r="AG50" i="3"/>
  <c r="AF50" i="3"/>
  <c r="B14" i="14"/>
  <c r="A26" i="5"/>
  <c r="J54" i="3"/>
  <c r="K54" i="3" s="1"/>
  <c r="D25" i="5"/>
  <c r="AD51" i="3"/>
  <c r="AI51" i="2"/>
  <c r="AG50" i="2"/>
  <c r="AR50" i="2" s="1"/>
  <c r="AU50" i="2" s="1"/>
  <c r="AF50" i="2"/>
  <c r="AQ50" i="2" s="1"/>
  <c r="AT50" i="2" s="1"/>
  <c r="Y13" i="14"/>
  <c r="B13" i="15"/>
  <c r="L13" i="15" s="1"/>
  <c r="C15" i="9"/>
  <c r="B15" i="9"/>
  <c r="T22" i="5" l="1"/>
  <c r="AB22" i="5"/>
  <c r="R23" i="5"/>
  <c r="AC22" i="5"/>
  <c r="AD22" i="5"/>
  <c r="B15" i="14"/>
  <c r="O15" i="14" s="1"/>
  <c r="C15" i="14"/>
  <c r="P15" i="14" s="1"/>
  <c r="C15" i="15" s="1"/>
  <c r="D15" i="14"/>
  <c r="Q15" i="14" s="1"/>
  <c r="D15" i="15" s="1"/>
  <c r="AJ51" i="2"/>
  <c r="AY50" i="2"/>
  <c r="BB50" i="2" s="1"/>
  <c r="D15" i="9"/>
  <c r="AP50" i="2"/>
  <c r="AS50" i="2" s="1"/>
  <c r="AE50" i="2" s="1"/>
  <c r="L16" i="9" s="1"/>
  <c r="AD52" i="3"/>
  <c r="AI52" i="2"/>
  <c r="AJ52" i="2" s="1"/>
  <c r="Y23" i="5"/>
  <c r="Z23" i="5"/>
  <c r="X23" i="5"/>
  <c r="AD52" i="2"/>
  <c r="E24" i="5"/>
  <c r="AG51" i="2"/>
  <c r="AR51" i="2" s="1"/>
  <c r="AU51" i="2" s="1"/>
  <c r="AF51" i="2"/>
  <c r="AQ51" i="2" s="1"/>
  <c r="AT51" i="2" s="1"/>
  <c r="O14" i="14"/>
  <c r="L14" i="14"/>
  <c r="O25" i="5"/>
  <c r="U25" i="5" s="1"/>
  <c r="C21" i="12"/>
  <c r="AG51" i="3"/>
  <c r="AE51" i="3"/>
  <c r="AF51" i="3"/>
  <c r="B16" i="9"/>
  <c r="C16" i="9"/>
  <c r="A27" i="5"/>
  <c r="J55" i="3"/>
  <c r="K55" i="3" s="1"/>
  <c r="D26" i="5"/>
  <c r="AL51" i="2"/>
  <c r="BA51" i="2" s="1"/>
  <c r="BD51" i="2" s="1"/>
  <c r="AK51" i="2"/>
  <c r="AZ51" i="2" s="1"/>
  <c r="BC51" i="2" s="1"/>
  <c r="T23" i="5" l="1"/>
  <c r="AB23" i="5"/>
  <c r="R24" i="5"/>
  <c r="AC23" i="5"/>
  <c r="AD23" i="5"/>
  <c r="B16" i="14"/>
  <c r="O16" i="14" s="1"/>
  <c r="D16" i="14"/>
  <c r="Q16" i="14" s="1"/>
  <c r="D16" i="15" s="1"/>
  <c r="C16" i="14"/>
  <c r="P16" i="14" s="1"/>
  <c r="C16" i="15" s="1"/>
  <c r="L15" i="14"/>
  <c r="D16" i="9"/>
  <c r="AY51" i="2"/>
  <c r="BB51" i="2" s="1"/>
  <c r="AP51" i="2"/>
  <c r="AS51" i="2" s="1"/>
  <c r="AE51" i="2" s="1"/>
  <c r="D17" i="9" s="1"/>
  <c r="C22" i="12"/>
  <c r="O26" i="5"/>
  <c r="U26" i="5" s="1"/>
  <c r="C17" i="9"/>
  <c r="AL52" i="2"/>
  <c r="BA52" i="2" s="1"/>
  <c r="AK52" i="2"/>
  <c r="AZ52" i="2" s="1"/>
  <c r="BC52" i="2" s="1"/>
  <c r="A28" i="5"/>
  <c r="J56" i="3"/>
  <c r="K56" i="3" s="1"/>
  <c r="D27" i="5"/>
  <c r="X24" i="5"/>
  <c r="Y24" i="5"/>
  <c r="Z24" i="5"/>
  <c r="AD53" i="2"/>
  <c r="E25" i="5"/>
  <c r="AD53" i="3"/>
  <c r="AI53" i="2"/>
  <c r="AJ53" i="2" s="1"/>
  <c r="AG52" i="2"/>
  <c r="AR52" i="2" s="1"/>
  <c r="AU52" i="2" s="1"/>
  <c r="AF52" i="2"/>
  <c r="AQ52" i="2" s="1"/>
  <c r="AE52" i="3"/>
  <c r="AG52" i="3"/>
  <c r="AF52" i="3"/>
  <c r="Y15" i="14"/>
  <c r="B17" i="9"/>
  <c r="Y14" i="14"/>
  <c r="B14" i="15"/>
  <c r="L14" i="15" s="1"/>
  <c r="R25" i="5" l="1"/>
  <c r="AC24" i="5"/>
  <c r="AD24" i="5"/>
  <c r="T24" i="5"/>
  <c r="AB24" i="5"/>
  <c r="L16" i="14"/>
  <c r="D17" i="14"/>
  <c r="Q17" i="14" s="1"/>
  <c r="D17" i="15" s="1"/>
  <c r="C17" i="14"/>
  <c r="P17" i="14" s="1"/>
  <c r="C17" i="15" s="1"/>
  <c r="E17" i="14"/>
  <c r="R17" i="14" s="1"/>
  <c r="L17" i="9"/>
  <c r="AY52" i="2"/>
  <c r="BB52" i="2" s="1"/>
  <c r="BD52" i="2"/>
  <c r="AP52" i="2"/>
  <c r="AS52" i="2" s="1"/>
  <c r="AE52" i="2" s="1"/>
  <c r="D18" i="9" s="1"/>
  <c r="AT52" i="2"/>
  <c r="B17" i="14"/>
  <c r="Y16" i="14"/>
  <c r="B16" i="15"/>
  <c r="AF53" i="3"/>
  <c r="AG53" i="3"/>
  <c r="AE53" i="3"/>
  <c r="Y25" i="5"/>
  <c r="Z25" i="5"/>
  <c r="X25" i="5"/>
  <c r="AD54" i="2"/>
  <c r="E26" i="5"/>
  <c r="O27" i="5"/>
  <c r="U27" i="5" s="1"/>
  <c r="C23" i="12"/>
  <c r="AL53" i="2"/>
  <c r="BA53" i="2" s="1"/>
  <c r="BD53" i="2" s="1"/>
  <c r="AK53" i="2"/>
  <c r="AZ53" i="2" s="1"/>
  <c r="AG53" i="2"/>
  <c r="AR53" i="2" s="1"/>
  <c r="AU53" i="2" s="1"/>
  <c r="AF53" i="2"/>
  <c r="AQ53" i="2" s="1"/>
  <c r="AT53" i="2" s="1"/>
  <c r="B18" i="9"/>
  <c r="A29" i="5"/>
  <c r="J57" i="3"/>
  <c r="K57" i="3" s="1"/>
  <c r="D28" i="5"/>
  <c r="C18" i="9"/>
  <c r="AD54" i="3"/>
  <c r="AI54" i="2"/>
  <c r="T25" i="5" l="1"/>
  <c r="AB25" i="5"/>
  <c r="R26" i="5"/>
  <c r="AD25" i="5"/>
  <c r="AC25" i="5"/>
  <c r="B18" i="14"/>
  <c r="O18" i="14" s="1"/>
  <c r="C18" i="14"/>
  <c r="P18" i="14" s="1"/>
  <c r="C18" i="15" s="1"/>
  <c r="E18" i="14"/>
  <c r="R18" i="14" s="1"/>
  <c r="E18" i="15" s="1"/>
  <c r="D18" i="14"/>
  <c r="Q18" i="14" s="1"/>
  <c r="D18" i="15" s="1"/>
  <c r="AY53" i="2"/>
  <c r="BB53" i="2" s="1"/>
  <c r="BC53" i="2"/>
  <c r="AJ54" i="2"/>
  <c r="L18" i="9"/>
  <c r="AP53" i="2"/>
  <c r="AS53" i="2" s="1"/>
  <c r="AE53" i="2" s="1"/>
  <c r="D19" i="9" s="1"/>
  <c r="B19" i="9"/>
  <c r="L17" i="14"/>
  <c r="O17" i="14"/>
  <c r="A30" i="5"/>
  <c r="J58" i="3"/>
  <c r="K58" i="3" s="1"/>
  <c r="D29" i="5"/>
  <c r="C19" i="9"/>
  <c r="X26" i="5"/>
  <c r="Y26" i="5"/>
  <c r="Z26" i="5"/>
  <c r="AD55" i="2"/>
  <c r="E27" i="5"/>
  <c r="AL54" i="2"/>
  <c r="BA54" i="2" s="1"/>
  <c r="BD54" i="2" s="1"/>
  <c r="AK54" i="2"/>
  <c r="AZ54" i="2" s="1"/>
  <c r="BC54" i="2" s="1"/>
  <c r="C24" i="12"/>
  <c r="O28" i="5"/>
  <c r="U28" i="5" s="1"/>
  <c r="AG54" i="2"/>
  <c r="AR54" i="2" s="1"/>
  <c r="AU54" i="2" s="1"/>
  <c r="AF54" i="2"/>
  <c r="AQ54" i="2" s="1"/>
  <c r="AT54" i="2" s="1"/>
  <c r="AD55" i="3"/>
  <c r="AI55" i="2"/>
  <c r="AE54" i="3"/>
  <c r="AG54" i="3"/>
  <c r="AF54" i="3"/>
  <c r="R27" i="5" l="1"/>
  <c r="AC26" i="5"/>
  <c r="AD26" i="5"/>
  <c r="T26" i="5"/>
  <c r="AB26" i="5"/>
  <c r="L18" i="14"/>
  <c r="E19" i="14"/>
  <c r="R19" i="14" s="1"/>
  <c r="E19" i="15" s="1"/>
  <c r="D19" i="14"/>
  <c r="Q19" i="14" s="1"/>
  <c r="D19" i="15" s="1"/>
  <c r="C19" i="14"/>
  <c r="P19" i="14" s="1"/>
  <c r="C19" i="15" s="1"/>
  <c r="AJ55" i="2"/>
  <c r="L19" i="9"/>
  <c r="AY54" i="2"/>
  <c r="BB54" i="2" s="1"/>
  <c r="AP54" i="2"/>
  <c r="AS54" i="2" s="1"/>
  <c r="AE54" i="2" s="1"/>
  <c r="L20" i="9" s="1"/>
  <c r="AD56" i="3"/>
  <c r="AI56" i="2"/>
  <c r="AJ56" i="2" s="1"/>
  <c r="AE55" i="3"/>
  <c r="AG55" i="3"/>
  <c r="AF55" i="3"/>
  <c r="AL55" i="2"/>
  <c r="BA55" i="2" s="1"/>
  <c r="BD55" i="2" s="1"/>
  <c r="AK55" i="2"/>
  <c r="AZ55" i="2" s="1"/>
  <c r="BC55" i="2" s="1"/>
  <c r="Y17" i="14"/>
  <c r="B17" i="15"/>
  <c r="O29" i="5"/>
  <c r="C25" i="12"/>
  <c r="U29" i="5"/>
  <c r="A31" i="5"/>
  <c r="J59" i="3"/>
  <c r="K59" i="3" s="1"/>
  <c r="D30" i="5"/>
  <c r="B20" i="9"/>
  <c r="B19" i="14"/>
  <c r="X27" i="5"/>
  <c r="Y27" i="5"/>
  <c r="Z27" i="5"/>
  <c r="AD56" i="2"/>
  <c r="E28" i="5"/>
  <c r="Y18" i="14"/>
  <c r="B18" i="15"/>
  <c r="L18" i="15" s="1"/>
  <c r="C20" i="9"/>
  <c r="AG55" i="2"/>
  <c r="AR55" i="2" s="1"/>
  <c r="AU55" i="2" s="1"/>
  <c r="AF55" i="2"/>
  <c r="AQ55" i="2" s="1"/>
  <c r="AT55" i="2" s="1"/>
  <c r="T27" i="5" l="1"/>
  <c r="AB27" i="5"/>
  <c r="R28" i="5"/>
  <c r="AD27" i="5"/>
  <c r="AC27" i="5"/>
  <c r="B20" i="14"/>
  <c r="O20" i="14" s="1"/>
  <c r="F20" i="14"/>
  <c r="S20" i="14" s="1"/>
  <c r="C20" i="14"/>
  <c r="P20" i="14" s="1"/>
  <c r="C20" i="15" s="1"/>
  <c r="E20" i="14"/>
  <c r="R20" i="14" s="1"/>
  <c r="D20" i="14"/>
  <c r="Q20" i="14" s="1"/>
  <c r="D20" i="15" s="1"/>
  <c r="D20" i="9"/>
  <c r="AY55" i="2"/>
  <c r="BB55" i="2" s="1"/>
  <c r="AP55" i="2"/>
  <c r="AS55" i="2" s="1"/>
  <c r="AE55" i="2" s="1"/>
  <c r="D21" i="9" s="1"/>
  <c r="AD57" i="3"/>
  <c r="AI57" i="2"/>
  <c r="A32" i="5"/>
  <c r="D31" i="5"/>
  <c r="J60" i="3"/>
  <c r="K60" i="3" s="1"/>
  <c r="AL56" i="2"/>
  <c r="BA56" i="2" s="1"/>
  <c r="AK56" i="2"/>
  <c r="AZ56" i="2" s="1"/>
  <c r="BC56" i="2" s="1"/>
  <c r="AE56" i="3"/>
  <c r="AG56" i="3"/>
  <c r="AF56" i="3"/>
  <c r="Z28" i="5"/>
  <c r="X28" i="5"/>
  <c r="Y28" i="5"/>
  <c r="AD57" i="2"/>
  <c r="E29" i="5"/>
  <c r="L19" i="14"/>
  <c r="O19" i="14"/>
  <c r="C21" i="9"/>
  <c r="AG56" i="2"/>
  <c r="AR56" i="2" s="1"/>
  <c r="AU56" i="2" s="1"/>
  <c r="AF56" i="2"/>
  <c r="B21" i="9"/>
  <c r="O30" i="5"/>
  <c r="U30" i="5" s="1"/>
  <c r="C26" i="12"/>
  <c r="T28" i="5" l="1"/>
  <c r="AB28" i="5"/>
  <c r="R29" i="5"/>
  <c r="AC28" i="5"/>
  <c r="AD28" i="5"/>
  <c r="L20" i="14"/>
  <c r="L21" i="9"/>
  <c r="B21" i="14"/>
  <c r="O21" i="14" s="1"/>
  <c r="F21" i="14"/>
  <c r="S21" i="14" s="1"/>
  <c r="F21" i="15" s="1"/>
  <c r="D21" i="14"/>
  <c r="Q21" i="14" s="1"/>
  <c r="D21" i="15" s="1"/>
  <c r="E21" i="14"/>
  <c r="R21" i="14" s="1"/>
  <c r="E21" i="15" s="1"/>
  <c r="C21" i="14"/>
  <c r="P21" i="14" s="1"/>
  <c r="C21" i="15" s="1"/>
  <c r="AJ57" i="2"/>
  <c r="AY56" i="2"/>
  <c r="BB56" i="2" s="1"/>
  <c r="BD56" i="2"/>
  <c r="AW37" i="2"/>
  <c r="AX37" i="2"/>
  <c r="AQ56" i="2"/>
  <c r="AN37" i="2"/>
  <c r="F3" i="9" s="1"/>
  <c r="G3" i="9" s="1"/>
  <c r="AL57" i="2"/>
  <c r="BA57" i="2" s="1"/>
  <c r="BD57" i="2" s="1"/>
  <c r="AK57" i="2"/>
  <c r="AZ57" i="2" s="1"/>
  <c r="BC57" i="2" s="1"/>
  <c r="Y19" i="14"/>
  <c r="B19" i="15"/>
  <c r="L19" i="15" s="1"/>
  <c r="AD58" i="3"/>
  <c r="AI58" i="2"/>
  <c r="Z29" i="5"/>
  <c r="X29" i="5"/>
  <c r="Y29" i="5"/>
  <c r="AD58" i="2"/>
  <c r="E30" i="5"/>
  <c r="AG57" i="2"/>
  <c r="AR57" i="2" s="1"/>
  <c r="AU57" i="2" s="1"/>
  <c r="AF57" i="2"/>
  <c r="AQ57" i="2" s="1"/>
  <c r="AT57" i="2" s="1"/>
  <c r="C27" i="12"/>
  <c r="O31" i="5"/>
  <c r="U31" i="5" s="1"/>
  <c r="AF57" i="3"/>
  <c r="AE57" i="3"/>
  <c r="AG57" i="3"/>
  <c r="A33" i="5"/>
  <c r="D32" i="5"/>
  <c r="J61" i="3"/>
  <c r="K61" i="3" s="1"/>
  <c r="B22" i="9"/>
  <c r="C22" i="9"/>
  <c r="AO37" i="2"/>
  <c r="I3" i="9" s="1"/>
  <c r="J3" i="9" s="1"/>
  <c r="Y20" i="14"/>
  <c r="B20" i="15"/>
  <c r="R30" i="5" l="1"/>
  <c r="AC29" i="5"/>
  <c r="AD29" i="5"/>
  <c r="T29" i="5"/>
  <c r="AB29" i="5"/>
  <c r="L21" i="14"/>
  <c r="B22" i="14"/>
  <c r="O22" i="14" s="1"/>
  <c r="G22" i="14"/>
  <c r="T22" i="14" s="1"/>
  <c r="D22" i="14"/>
  <c r="Q22" i="14" s="1"/>
  <c r="D22" i="15" s="1"/>
  <c r="C22" i="14"/>
  <c r="P22" i="14" s="1"/>
  <c r="C22" i="15" s="1"/>
  <c r="F22" i="14"/>
  <c r="S22" i="14" s="1"/>
  <c r="E22" i="14"/>
  <c r="R22" i="14" s="1"/>
  <c r="E22" i="15" s="1"/>
  <c r="AJ58" i="2"/>
  <c r="AY57" i="2"/>
  <c r="BB57" i="2" s="1"/>
  <c r="AW38" i="2"/>
  <c r="AX38" i="2"/>
  <c r="AP56" i="2"/>
  <c r="AS56" i="2" s="1"/>
  <c r="AE56" i="2" s="1"/>
  <c r="AT56" i="2"/>
  <c r="AP57" i="2"/>
  <c r="AS57" i="2" s="1"/>
  <c r="AE57" i="2" s="1"/>
  <c r="AL58" i="2"/>
  <c r="BA58" i="2" s="1"/>
  <c r="BD58" i="2" s="1"/>
  <c r="AK58" i="2"/>
  <c r="AZ58" i="2" s="1"/>
  <c r="BC58" i="2" s="1"/>
  <c r="AG58" i="3"/>
  <c r="AE58" i="3"/>
  <c r="AF58" i="3"/>
  <c r="O32" i="5"/>
  <c r="U32" i="5" s="1"/>
  <c r="C28" i="12"/>
  <c r="X30" i="5"/>
  <c r="Y30" i="5"/>
  <c r="Z30" i="5"/>
  <c r="AD59" i="2"/>
  <c r="E31" i="5"/>
  <c r="AD59" i="3"/>
  <c r="AI59" i="2"/>
  <c r="AG58" i="2"/>
  <c r="AR58" i="2" s="1"/>
  <c r="AU58" i="2" s="1"/>
  <c r="AF58" i="2"/>
  <c r="AQ58" i="2" s="1"/>
  <c r="AT58" i="2" s="1"/>
  <c r="C23" i="9"/>
  <c r="AO38" i="2"/>
  <c r="I4" i="9" s="1"/>
  <c r="J4" i="9" s="1"/>
  <c r="B21" i="15"/>
  <c r="L21" i="15" s="1"/>
  <c r="Y21" i="14"/>
  <c r="B23" i="9"/>
  <c r="AN38" i="2"/>
  <c r="F4" i="9" s="1"/>
  <c r="G4" i="9" s="1"/>
  <c r="A34" i="5"/>
  <c r="J62" i="3"/>
  <c r="K62" i="3" s="1"/>
  <c r="D33" i="5"/>
  <c r="T30" i="5" l="1"/>
  <c r="AB30" i="5"/>
  <c r="R31" i="5"/>
  <c r="AC30" i="5"/>
  <c r="AD30" i="5"/>
  <c r="L22" i="14"/>
  <c r="B23" i="14"/>
  <c r="G23" i="14"/>
  <c r="T23" i="14" s="1"/>
  <c r="C23" i="14"/>
  <c r="P23" i="14" s="1"/>
  <c r="C23" i="15" s="1"/>
  <c r="D23" i="14"/>
  <c r="Q23" i="14" s="1"/>
  <c r="D23" i="15" s="1"/>
  <c r="F23" i="14"/>
  <c r="S23" i="14" s="1"/>
  <c r="E23" i="14"/>
  <c r="R23" i="14" s="1"/>
  <c r="E23" i="15" s="1"/>
  <c r="AJ59" i="2"/>
  <c r="AY58" i="2"/>
  <c r="BB58" i="2" s="1"/>
  <c r="AW39" i="2"/>
  <c r="AX39" i="2"/>
  <c r="D22" i="9"/>
  <c r="L22" i="9"/>
  <c r="D23" i="9"/>
  <c r="AP58" i="2"/>
  <c r="AS58" i="2" s="1"/>
  <c r="AE58" i="2" s="1"/>
  <c r="D24" i="9" s="1"/>
  <c r="L23" i="9"/>
  <c r="AD60" i="3"/>
  <c r="AI60" i="2"/>
  <c r="O33" i="5"/>
  <c r="U33" i="5" s="1"/>
  <c r="C29" i="12"/>
  <c r="AE59" i="3"/>
  <c r="AG59" i="3"/>
  <c r="AF59" i="3"/>
  <c r="B22" i="15"/>
  <c r="Y22" i="14"/>
  <c r="A35" i="5"/>
  <c r="D34" i="5"/>
  <c r="J63" i="3"/>
  <c r="K63" i="3" s="1"/>
  <c r="B24" i="9"/>
  <c r="AN39" i="2"/>
  <c r="F5" i="9" s="1"/>
  <c r="G5" i="9" s="1"/>
  <c r="AL59" i="2"/>
  <c r="BA59" i="2" s="1"/>
  <c r="BD59" i="2" s="1"/>
  <c r="AK59" i="2"/>
  <c r="AZ59" i="2" s="1"/>
  <c r="BC59" i="2" s="1"/>
  <c r="Z31" i="5"/>
  <c r="X31" i="5"/>
  <c r="Y31" i="5"/>
  <c r="AD60" i="2"/>
  <c r="E32" i="5"/>
  <c r="C24" i="9"/>
  <c r="AO39" i="2"/>
  <c r="I5" i="9" s="1"/>
  <c r="J5" i="9" s="1"/>
  <c r="AG59" i="2"/>
  <c r="AR59" i="2" s="1"/>
  <c r="AU59" i="2" s="1"/>
  <c r="AF59" i="2"/>
  <c r="AQ59" i="2" s="1"/>
  <c r="AT59" i="2" s="1"/>
  <c r="T31" i="5" l="1"/>
  <c r="AB31" i="5"/>
  <c r="R32" i="5"/>
  <c r="AC31" i="5"/>
  <c r="AD31" i="5"/>
  <c r="L23" i="14"/>
  <c r="O23" i="14"/>
  <c r="B23" i="15" s="1"/>
  <c r="B24" i="14"/>
  <c r="O24" i="14" s="1"/>
  <c r="H24" i="14"/>
  <c r="U24" i="14" s="1"/>
  <c r="G24" i="14"/>
  <c r="T24" i="14" s="1"/>
  <c r="C24" i="14"/>
  <c r="P24" i="14" s="1"/>
  <c r="C24" i="15" s="1"/>
  <c r="E24" i="14"/>
  <c r="R24" i="14" s="1"/>
  <c r="E24" i="15" s="1"/>
  <c r="F24" i="14"/>
  <c r="S24" i="14" s="1"/>
  <c r="F24" i="15" s="1"/>
  <c r="D24" i="14"/>
  <c r="Q24" i="14" s="1"/>
  <c r="D24" i="15" s="1"/>
  <c r="C6" i="21"/>
  <c r="B8" i="10"/>
  <c r="B9" i="10"/>
  <c r="B10" i="10"/>
  <c r="B11" i="10"/>
  <c r="B6" i="10"/>
  <c r="B5" i="10"/>
  <c r="B7" i="10"/>
  <c r="B14" i="10"/>
  <c r="B22" i="10"/>
  <c r="B15" i="10"/>
  <c r="B16" i="10"/>
  <c r="B24" i="10"/>
  <c r="B17" i="10"/>
  <c r="B25" i="10"/>
  <c r="O25" i="10" s="1"/>
  <c r="B18" i="10"/>
  <c r="B19" i="10"/>
  <c r="B12" i="10"/>
  <c r="B20" i="10"/>
  <c r="B23" i="10"/>
  <c r="B13" i="10"/>
  <c r="B21" i="10"/>
  <c r="AJ60" i="2"/>
  <c r="AY59" i="2"/>
  <c r="BB59" i="2" s="1"/>
  <c r="AW40" i="2"/>
  <c r="AX40" i="2"/>
  <c r="L24" i="9"/>
  <c r="AP59" i="2"/>
  <c r="AS59" i="2" s="1"/>
  <c r="AE59" i="2" s="1"/>
  <c r="D25" i="9" s="1"/>
  <c r="AD61" i="3"/>
  <c r="AI61" i="2"/>
  <c r="AJ61" i="2" s="1"/>
  <c r="C30" i="12"/>
  <c r="O34" i="5"/>
  <c r="U34" i="5" s="1"/>
  <c r="AL60" i="2"/>
  <c r="BA60" i="2" s="1"/>
  <c r="BD60" i="2" s="1"/>
  <c r="AK60" i="2"/>
  <c r="AZ60" i="2" s="1"/>
  <c r="BC60" i="2" s="1"/>
  <c r="C25" i="9"/>
  <c r="AO40" i="2"/>
  <c r="I6" i="9" s="1"/>
  <c r="J6" i="9" s="1"/>
  <c r="A36" i="5"/>
  <c r="J64" i="3"/>
  <c r="K64" i="3" s="1"/>
  <c r="D35" i="5"/>
  <c r="AG60" i="3"/>
  <c r="AE60" i="3"/>
  <c r="AF60" i="3"/>
  <c r="B25" i="9"/>
  <c r="AN40" i="2"/>
  <c r="F6" i="9" s="1"/>
  <c r="G6" i="9" s="1"/>
  <c r="X32" i="5"/>
  <c r="Y32" i="5"/>
  <c r="Z32" i="5"/>
  <c r="AD61" i="2"/>
  <c r="E33" i="5"/>
  <c r="AG60" i="2"/>
  <c r="AR60" i="2" s="1"/>
  <c r="AU60" i="2" s="1"/>
  <c r="AF60" i="2"/>
  <c r="AQ60" i="2" s="1"/>
  <c r="Y23" i="14" l="1"/>
  <c r="T32" i="5"/>
  <c r="AB32" i="5"/>
  <c r="R33" i="5"/>
  <c r="AC32" i="5"/>
  <c r="AD32" i="5"/>
  <c r="B25" i="14"/>
  <c r="O25" i="14" s="1"/>
  <c r="H25" i="14"/>
  <c r="U25" i="14" s="1"/>
  <c r="H25" i="15" s="1"/>
  <c r="D25" i="14"/>
  <c r="Q25" i="14" s="1"/>
  <c r="D25" i="15" s="1"/>
  <c r="G25" i="14"/>
  <c r="T25" i="14" s="1"/>
  <c r="G25" i="15" s="1"/>
  <c r="C25" i="14"/>
  <c r="P25" i="14" s="1"/>
  <c r="C25" i="15" s="1"/>
  <c r="F25" i="14"/>
  <c r="S25" i="14" s="1"/>
  <c r="F25" i="15" s="1"/>
  <c r="E25" i="14"/>
  <c r="R25" i="14" s="1"/>
  <c r="E25" i="15" s="1"/>
  <c r="L24" i="14"/>
  <c r="O13" i="10"/>
  <c r="O15" i="10"/>
  <c r="O10" i="10"/>
  <c r="O14" i="10"/>
  <c r="O24" i="10"/>
  <c r="O12" i="10"/>
  <c r="O19" i="10"/>
  <c r="O5" i="10"/>
  <c r="O17" i="10"/>
  <c r="O20" i="10"/>
  <c r="O23" i="10"/>
  <c r="O22" i="10"/>
  <c r="B21" i="11" s="1"/>
  <c r="O7" i="10"/>
  <c r="O16" i="10"/>
  <c r="O9" i="10"/>
  <c r="O18" i="10"/>
  <c r="O21" i="10"/>
  <c r="O11" i="10"/>
  <c r="O6" i="10"/>
  <c r="O8" i="10"/>
  <c r="AY60" i="2"/>
  <c r="BB60" i="2" s="1"/>
  <c r="AW41" i="2"/>
  <c r="AX41" i="2"/>
  <c r="L25" i="9"/>
  <c r="AP60" i="2"/>
  <c r="AS60" i="2" s="1"/>
  <c r="AE60" i="2" s="1"/>
  <c r="L26" i="9" s="1"/>
  <c r="AT60" i="2"/>
  <c r="AF61" i="3"/>
  <c r="AE61" i="3"/>
  <c r="AG61" i="3"/>
  <c r="Z33" i="5"/>
  <c r="X33" i="5"/>
  <c r="Y33" i="5"/>
  <c r="AD62" i="2"/>
  <c r="E34" i="5"/>
  <c r="A37" i="5"/>
  <c r="J65" i="3"/>
  <c r="K65" i="3" s="1"/>
  <c r="D36" i="5"/>
  <c r="Y24" i="14"/>
  <c r="B24" i="15"/>
  <c r="B26" i="9"/>
  <c r="AN41" i="2"/>
  <c r="F7" i="9" s="1"/>
  <c r="G7" i="9" s="1"/>
  <c r="AG61" i="2"/>
  <c r="AR61" i="2" s="1"/>
  <c r="AU61" i="2" s="1"/>
  <c r="AF61" i="2"/>
  <c r="AQ61" i="2" s="1"/>
  <c r="AT61" i="2" s="1"/>
  <c r="C26" i="9"/>
  <c r="AO41" i="2"/>
  <c r="I7" i="9" s="1"/>
  <c r="J7" i="9" s="1"/>
  <c r="AD62" i="3"/>
  <c r="AI62" i="2"/>
  <c r="AJ62" i="2" s="1"/>
  <c r="O35" i="5"/>
  <c r="U35" i="5" s="1"/>
  <c r="C31" i="12"/>
  <c r="AL61" i="2"/>
  <c r="BA61" i="2" s="1"/>
  <c r="BD61" i="2" s="1"/>
  <c r="AK61" i="2"/>
  <c r="AZ61" i="2" s="1"/>
  <c r="R34" i="5" l="1"/>
  <c r="AC33" i="5"/>
  <c r="AD33" i="5"/>
  <c r="T33" i="5"/>
  <c r="AB33" i="5"/>
  <c r="L25" i="14"/>
  <c r="B26" i="14"/>
  <c r="O26" i="14" s="1"/>
  <c r="I26" i="14"/>
  <c r="V26" i="14" s="1"/>
  <c r="H26" i="14"/>
  <c r="U26" i="14" s="1"/>
  <c r="H26" i="15" s="1"/>
  <c r="G26" i="14"/>
  <c r="T26" i="14" s="1"/>
  <c r="D26" i="14"/>
  <c r="Q26" i="14" s="1"/>
  <c r="D26" i="15" s="1"/>
  <c r="C26" i="14"/>
  <c r="P26" i="14" s="1"/>
  <c r="C26" i="15" s="1"/>
  <c r="F26" i="14"/>
  <c r="S26" i="14" s="1"/>
  <c r="F26" i="15" s="1"/>
  <c r="E26" i="14"/>
  <c r="R26" i="14" s="1"/>
  <c r="E26" i="15" s="1"/>
  <c r="B13" i="11"/>
  <c r="B8" i="11"/>
  <c r="B22" i="11"/>
  <c r="B18" i="11"/>
  <c r="B9" i="11"/>
  <c r="B10" i="11"/>
  <c r="B19" i="11"/>
  <c r="B14" i="11"/>
  <c r="B20" i="11"/>
  <c r="B6" i="11"/>
  <c r="B16" i="11"/>
  <c r="B23" i="11"/>
  <c r="B17" i="11"/>
  <c r="AY61" i="2"/>
  <c r="BB61" i="2" s="1"/>
  <c r="BC61" i="2"/>
  <c r="AW42" i="2"/>
  <c r="AX42" i="2"/>
  <c r="AP61" i="2"/>
  <c r="AS61" i="2" s="1"/>
  <c r="AE61" i="2" s="1"/>
  <c r="D27" i="9" s="1"/>
  <c r="D26" i="9"/>
  <c r="C27" i="9"/>
  <c r="AO42" i="2"/>
  <c r="I8" i="9" s="1"/>
  <c r="J8" i="9" s="1"/>
  <c r="O36" i="5"/>
  <c r="U36" i="5" s="1"/>
  <c r="C32" i="12"/>
  <c r="D37" i="5"/>
  <c r="J66" i="3"/>
  <c r="K66" i="3" s="1"/>
  <c r="B27" i="9"/>
  <c r="AN42" i="2"/>
  <c r="F8" i="9" s="1"/>
  <c r="G8" i="9" s="1"/>
  <c r="X34" i="5"/>
  <c r="Y34" i="5"/>
  <c r="Z34" i="5"/>
  <c r="AD63" i="2"/>
  <c r="E35" i="5"/>
  <c r="AD63" i="3"/>
  <c r="AI63" i="2"/>
  <c r="AG62" i="2"/>
  <c r="AR62" i="2" s="1"/>
  <c r="AU62" i="2" s="1"/>
  <c r="AF62" i="2"/>
  <c r="AQ62" i="2" s="1"/>
  <c r="AT62" i="2" s="1"/>
  <c r="Y25" i="14"/>
  <c r="B25" i="15"/>
  <c r="L25" i="15" s="1"/>
  <c r="AL62" i="2"/>
  <c r="BA62" i="2" s="1"/>
  <c r="AK62" i="2"/>
  <c r="AZ62" i="2" s="1"/>
  <c r="BC62" i="2" s="1"/>
  <c r="AF62" i="3"/>
  <c r="AG62" i="3"/>
  <c r="AE62" i="3"/>
  <c r="T34" i="5" l="1"/>
  <c r="AB34" i="5"/>
  <c r="R35" i="5"/>
  <c r="AD34" i="5"/>
  <c r="AC34" i="5"/>
  <c r="L26" i="14"/>
  <c r="B27" i="14"/>
  <c r="O27" i="14" s="1"/>
  <c r="H27" i="14"/>
  <c r="U27" i="14" s="1"/>
  <c r="H27" i="15" s="1"/>
  <c r="I27" i="14"/>
  <c r="V27" i="14" s="1"/>
  <c r="I27" i="15" s="1"/>
  <c r="G27" i="14"/>
  <c r="T27" i="14" s="1"/>
  <c r="G27" i="15" s="1"/>
  <c r="C27" i="14"/>
  <c r="P27" i="14" s="1"/>
  <c r="C27" i="15" s="1"/>
  <c r="F27" i="14"/>
  <c r="S27" i="14" s="1"/>
  <c r="F27" i="15" s="1"/>
  <c r="E27" i="14"/>
  <c r="R27" i="14" s="1"/>
  <c r="E27" i="15" s="1"/>
  <c r="D27" i="14"/>
  <c r="Q27" i="14" s="1"/>
  <c r="D27" i="15" s="1"/>
  <c r="AY62" i="2"/>
  <c r="BB62" i="2" s="1"/>
  <c r="BD62" i="2"/>
  <c r="AJ63" i="2"/>
  <c r="AX43" i="2"/>
  <c r="AW43" i="2"/>
  <c r="L27" i="9"/>
  <c r="AP62" i="2"/>
  <c r="AS62" i="2" s="1"/>
  <c r="AE62" i="2" s="1"/>
  <c r="D28" i="9" s="1"/>
  <c r="AD64" i="3"/>
  <c r="AI64" i="2"/>
  <c r="AJ64" i="2" s="1"/>
  <c r="C33" i="12"/>
  <c r="O37" i="5"/>
  <c r="U37" i="5" s="1"/>
  <c r="C57" i="1"/>
  <c r="C56" i="1"/>
  <c r="C64" i="1" s="1"/>
  <c r="AL63" i="2"/>
  <c r="BA63" i="2" s="1"/>
  <c r="BD63" i="2" s="1"/>
  <c r="AK63" i="2"/>
  <c r="AZ63" i="2" s="1"/>
  <c r="BC63" i="2" s="1"/>
  <c r="AE63" i="3"/>
  <c r="AG63" i="3"/>
  <c r="AF63" i="3"/>
  <c r="B28" i="9"/>
  <c r="AN43" i="2"/>
  <c r="X35" i="5"/>
  <c r="Y35" i="5"/>
  <c r="Z35" i="5"/>
  <c r="AD64" i="2"/>
  <c r="E36" i="5"/>
  <c r="C28" i="9"/>
  <c r="AO43" i="2"/>
  <c r="I9" i="9" s="1"/>
  <c r="J9" i="9" s="1"/>
  <c r="AG63" i="2"/>
  <c r="AR63" i="2" s="1"/>
  <c r="AU63" i="2" s="1"/>
  <c r="AF63" i="2"/>
  <c r="AQ63" i="2" s="1"/>
  <c r="AT63" i="2" s="1"/>
  <c r="B26" i="15"/>
  <c r="Y26" i="14"/>
  <c r="T35" i="5" l="1"/>
  <c r="AB35" i="5"/>
  <c r="R36" i="5"/>
  <c r="AD35" i="5"/>
  <c r="AC35" i="5"/>
  <c r="B28" i="14"/>
  <c r="O28" i="14" s="1"/>
  <c r="I28" i="14"/>
  <c r="V28" i="14" s="1"/>
  <c r="I28" i="15" s="1"/>
  <c r="H28" i="14"/>
  <c r="U28" i="14" s="1"/>
  <c r="C28" i="14"/>
  <c r="P28" i="14" s="1"/>
  <c r="C28" i="15" s="1"/>
  <c r="F28" i="14"/>
  <c r="S28" i="14" s="1"/>
  <c r="F28" i="15" s="1"/>
  <c r="E28" i="14"/>
  <c r="R28" i="14" s="1"/>
  <c r="E28" i="15" s="1"/>
  <c r="D28" i="14"/>
  <c r="Q28" i="14" s="1"/>
  <c r="D28" i="15" s="1"/>
  <c r="G28" i="14"/>
  <c r="T28" i="14" s="1"/>
  <c r="G28" i="15" s="1"/>
  <c r="L27" i="14"/>
  <c r="F9" i="9"/>
  <c r="G9" i="9" s="1"/>
  <c r="L28" i="9"/>
  <c r="AY63" i="2"/>
  <c r="BB63" i="2" s="1"/>
  <c r="AX44" i="2"/>
  <c r="AW44" i="2"/>
  <c r="AP63" i="2"/>
  <c r="AS63" i="2" s="1"/>
  <c r="AE63" i="2" s="1"/>
  <c r="AL64" i="2"/>
  <c r="BA64" i="2" s="1"/>
  <c r="AK64" i="2"/>
  <c r="AZ64" i="2" s="1"/>
  <c r="BC64" i="2" s="1"/>
  <c r="AD65" i="3"/>
  <c r="AI65" i="2"/>
  <c r="C66" i="1"/>
  <c r="C65" i="1"/>
  <c r="AG64" i="2"/>
  <c r="AR64" i="2" s="1"/>
  <c r="AU64" i="2" s="1"/>
  <c r="AF64" i="2"/>
  <c r="AQ64" i="2" s="1"/>
  <c r="AE64" i="3"/>
  <c r="AG64" i="3"/>
  <c r="AF64" i="3"/>
  <c r="B29" i="9"/>
  <c r="AN44" i="2"/>
  <c r="F10" i="9" s="1"/>
  <c r="B27" i="15"/>
  <c r="L27" i="15" s="1"/>
  <c r="Y27" i="14"/>
  <c r="C29" i="9"/>
  <c r="AO44" i="2"/>
  <c r="I10" i="9" s="1"/>
  <c r="J10" i="9" s="1"/>
  <c r="Z36" i="5"/>
  <c r="Y36" i="5"/>
  <c r="X36" i="5"/>
  <c r="AD65" i="2"/>
  <c r="E37" i="5"/>
  <c r="G10" i="9" l="1"/>
  <c r="R37" i="5"/>
  <c r="AC36" i="5"/>
  <c r="AD36" i="5"/>
  <c r="T36" i="5"/>
  <c r="AB36" i="5"/>
  <c r="C6" i="10"/>
  <c r="C5" i="10"/>
  <c r="C7" i="10"/>
  <c r="C8" i="10"/>
  <c r="B29" i="14"/>
  <c r="O29" i="14" s="1"/>
  <c r="H29" i="14"/>
  <c r="U29" i="14" s="1"/>
  <c r="H29" i="15" s="1"/>
  <c r="I29" i="14"/>
  <c r="V29" i="14" s="1"/>
  <c r="I29" i="15" s="1"/>
  <c r="C29" i="14"/>
  <c r="P29" i="14" s="1"/>
  <c r="C29" i="15" s="1"/>
  <c r="G29" i="14"/>
  <c r="T29" i="14" s="1"/>
  <c r="G29" i="15" s="1"/>
  <c r="E29" i="14"/>
  <c r="R29" i="14" s="1"/>
  <c r="E29" i="15" s="1"/>
  <c r="F29" i="14"/>
  <c r="S29" i="14" s="1"/>
  <c r="F29" i="15" s="1"/>
  <c r="D29" i="14"/>
  <c r="Q29" i="14" s="1"/>
  <c r="D29" i="15" s="1"/>
  <c r="L28" i="14"/>
  <c r="D6" i="21"/>
  <c r="C12" i="10"/>
  <c r="C20" i="10"/>
  <c r="C13" i="10"/>
  <c r="C21" i="10"/>
  <c r="C14" i="10"/>
  <c r="C22" i="10"/>
  <c r="C19" i="10"/>
  <c r="C15" i="10"/>
  <c r="C23" i="10"/>
  <c r="C16" i="10"/>
  <c r="C24" i="10"/>
  <c r="C9" i="10"/>
  <c r="C17" i="10"/>
  <c r="C25" i="10"/>
  <c r="C10" i="10"/>
  <c r="C18" i="10"/>
  <c r="C11" i="10"/>
  <c r="AJ65" i="2"/>
  <c r="D29" i="9"/>
  <c r="AY64" i="2"/>
  <c r="BB64" i="2" s="1"/>
  <c r="BD64" i="2"/>
  <c r="AW45" i="2"/>
  <c r="AX45" i="2"/>
  <c r="AP64" i="2"/>
  <c r="AS64" i="2" s="1"/>
  <c r="AE64" i="2" s="1"/>
  <c r="AT64" i="2"/>
  <c r="L29" i="9"/>
  <c r="Y28" i="14"/>
  <c r="B28" i="15"/>
  <c r="C70" i="1"/>
  <c r="O7" i="3"/>
  <c r="P7" i="2"/>
  <c r="K70" i="1"/>
  <c r="AG65" i="2"/>
  <c r="AR65" i="2" s="1"/>
  <c r="AU65" i="2" s="1"/>
  <c r="AF65" i="2"/>
  <c r="AQ65" i="2" s="1"/>
  <c r="AT65" i="2" s="1"/>
  <c r="AD66" i="3"/>
  <c r="AI66" i="2"/>
  <c r="C69" i="1"/>
  <c r="K69" i="1"/>
  <c r="N7" i="3"/>
  <c r="O7" i="2"/>
  <c r="X37" i="5"/>
  <c r="Y37" i="5"/>
  <c r="Z37" i="5"/>
  <c r="AD66" i="2"/>
  <c r="E38" i="5"/>
  <c r="B30" i="9"/>
  <c r="AN45" i="2"/>
  <c r="F11" i="9" s="1"/>
  <c r="AL65" i="2"/>
  <c r="BA65" i="2" s="1"/>
  <c r="BD65" i="2" s="1"/>
  <c r="AK65" i="2"/>
  <c r="AZ65" i="2" s="1"/>
  <c r="BC65" i="2" s="1"/>
  <c r="C30" i="9"/>
  <c r="AO45" i="2"/>
  <c r="I11" i="9" s="1"/>
  <c r="J11" i="9" s="1"/>
  <c r="AE65" i="3"/>
  <c r="AG65" i="3"/>
  <c r="AF65" i="3"/>
  <c r="R46" i="2" l="1"/>
  <c r="R59" i="2"/>
  <c r="R52" i="2"/>
  <c r="R43" i="2"/>
  <c r="R49" i="2"/>
  <c r="R60" i="2"/>
  <c r="R41" i="2"/>
  <c r="R58" i="2"/>
  <c r="R62" i="2"/>
  <c r="R38" i="2"/>
  <c r="R51" i="2"/>
  <c r="R65" i="2"/>
  <c r="R57" i="2"/>
  <c r="R54" i="2"/>
  <c r="R67" i="2"/>
  <c r="R44" i="2"/>
  <c r="R42" i="2"/>
  <c r="R40" i="2"/>
  <c r="R45" i="2"/>
  <c r="R39" i="2"/>
  <c r="R50" i="2"/>
  <c r="R53" i="2"/>
  <c r="R66" i="2"/>
  <c r="R61" i="2"/>
  <c r="R56" i="2"/>
  <c r="R47" i="2"/>
  <c r="R63" i="2"/>
  <c r="R37" i="2"/>
  <c r="R64" i="2"/>
  <c r="R55" i="2"/>
  <c r="R48" i="2"/>
  <c r="T43" i="2"/>
  <c r="T54" i="2"/>
  <c r="T65" i="2"/>
  <c r="T49" i="2"/>
  <c r="T42" i="2"/>
  <c r="T44" i="2"/>
  <c r="T51" i="2"/>
  <c r="T46" i="2"/>
  <c r="T57" i="2"/>
  <c r="T67" i="2"/>
  <c r="T38" i="2"/>
  <c r="T62" i="2"/>
  <c r="T63" i="2"/>
  <c r="T59" i="2"/>
  <c r="T52" i="2"/>
  <c r="T39" i="2"/>
  <c r="T60" i="2"/>
  <c r="T41" i="2"/>
  <c r="T53" i="2"/>
  <c r="T56" i="2"/>
  <c r="T40" i="2"/>
  <c r="T66" i="2"/>
  <c r="T45" i="2"/>
  <c r="T48" i="2"/>
  <c r="T55" i="2"/>
  <c r="T64" i="2"/>
  <c r="T61" i="2"/>
  <c r="T58" i="2"/>
  <c r="T37" i="2"/>
  <c r="T50" i="2"/>
  <c r="T47" i="2"/>
  <c r="G11" i="9"/>
  <c r="T37" i="5"/>
  <c r="AB37" i="5"/>
  <c r="R38" i="5"/>
  <c r="AC37" i="5"/>
  <c r="AD37" i="5"/>
  <c r="P92" i="2"/>
  <c r="S92" i="2" s="1"/>
  <c r="P68" i="2"/>
  <c r="S68" i="2" s="1"/>
  <c r="P106" i="2"/>
  <c r="S106" i="2" s="1"/>
  <c r="P76" i="2"/>
  <c r="S76" i="2" s="1"/>
  <c r="P105" i="2"/>
  <c r="S105" i="2" s="1"/>
  <c r="P116" i="2"/>
  <c r="S116" i="2" s="1"/>
  <c r="P82" i="2"/>
  <c r="S82" i="2" s="1"/>
  <c r="P115" i="2"/>
  <c r="S115" i="2" s="1"/>
  <c r="P99" i="2"/>
  <c r="S99" i="2" s="1"/>
  <c r="P112" i="2"/>
  <c r="S112" i="2" s="1"/>
  <c r="P72" i="2"/>
  <c r="S72" i="2" s="1"/>
  <c r="P91" i="2"/>
  <c r="S91" i="2" s="1"/>
  <c r="P81" i="2"/>
  <c r="S81" i="2" s="1"/>
  <c r="P70" i="2"/>
  <c r="S70" i="2" s="1"/>
  <c r="P95" i="2"/>
  <c r="S95" i="2" s="1"/>
  <c r="P107" i="2"/>
  <c r="S107" i="2" s="1"/>
  <c r="P78" i="2"/>
  <c r="S78" i="2" s="1"/>
  <c r="P96" i="2"/>
  <c r="S96" i="2" s="1"/>
  <c r="P88" i="2"/>
  <c r="S88" i="2" s="1"/>
  <c r="P83" i="2"/>
  <c r="S83" i="2" s="1"/>
  <c r="P75" i="2"/>
  <c r="S75" i="2" s="1"/>
  <c r="P77" i="2"/>
  <c r="S77" i="2" s="1"/>
  <c r="P84" i="2"/>
  <c r="S84" i="2" s="1"/>
  <c r="P74" i="2"/>
  <c r="S74" i="2" s="1"/>
  <c r="P102" i="2"/>
  <c r="S102" i="2" s="1"/>
  <c r="P86" i="2"/>
  <c r="S86" i="2" s="1"/>
  <c r="P117" i="2"/>
  <c r="S117" i="2" s="1"/>
  <c r="P109" i="2"/>
  <c r="S109" i="2" s="1"/>
  <c r="P111" i="2"/>
  <c r="S111" i="2" s="1"/>
  <c r="P97" i="2"/>
  <c r="S97" i="2" s="1"/>
  <c r="P87" i="2"/>
  <c r="S87" i="2" s="1"/>
  <c r="P80" i="2"/>
  <c r="S80" i="2" s="1"/>
  <c r="P103" i="2"/>
  <c r="S103" i="2" s="1"/>
  <c r="P100" i="2"/>
  <c r="S100" i="2" s="1"/>
  <c r="P113" i="2"/>
  <c r="S113" i="2" s="1"/>
  <c r="P104" i="2"/>
  <c r="S104" i="2" s="1"/>
  <c r="P110" i="2"/>
  <c r="S110" i="2" s="1"/>
  <c r="P69" i="2"/>
  <c r="S69" i="2" s="1"/>
  <c r="P98" i="2"/>
  <c r="S98" i="2" s="1"/>
  <c r="P90" i="2"/>
  <c r="S90" i="2" s="1"/>
  <c r="P114" i="2"/>
  <c r="S114" i="2" s="1"/>
  <c r="P79" i="2"/>
  <c r="S79" i="2" s="1"/>
  <c r="P71" i="2"/>
  <c r="S71" i="2" s="1"/>
  <c r="P93" i="2"/>
  <c r="S93" i="2" s="1"/>
  <c r="P108" i="2"/>
  <c r="S108" i="2" s="1"/>
  <c r="P85" i="2"/>
  <c r="S85" i="2" s="1"/>
  <c r="P101" i="2"/>
  <c r="S101" i="2" s="1"/>
  <c r="P94" i="2"/>
  <c r="S94" i="2" s="1"/>
  <c r="P73" i="2"/>
  <c r="S73" i="2" s="1"/>
  <c r="P89" i="2"/>
  <c r="S89" i="2" s="1"/>
  <c r="L29" i="14"/>
  <c r="B30" i="14"/>
  <c r="O30" i="14" s="1"/>
  <c r="J30" i="14"/>
  <c r="W30" i="14" s="1"/>
  <c r="I30" i="14"/>
  <c r="V30" i="14" s="1"/>
  <c r="F30" i="14"/>
  <c r="S30" i="14" s="1"/>
  <c r="F30" i="15" s="1"/>
  <c r="H30" i="14"/>
  <c r="U30" i="14" s="1"/>
  <c r="C30" i="14"/>
  <c r="P30" i="14" s="1"/>
  <c r="C30" i="15" s="1"/>
  <c r="E30" i="14"/>
  <c r="R30" i="14" s="1"/>
  <c r="E30" i="15" s="1"/>
  <c r="G30" i="14"/>
  <c r="T30" i="14" s="1"/>
  <c r="G30" i="15" s="1"/>
  <c r="D30" i="14"/>
  <c r="Q30" i="14" s="1"/>
  <c r="D30" i="15" s="1"/>
  <c r="O115" i="2"/>
  <c r="Q115" i="2" s="1"/>
  <c r="O99" i="2"/>
  <c r="Q99" i="2" s="1"/>
  <c r="O112" i="2"/>
  <c r="Q112" i="2" s="1"/>
  <c r="O72" i="2"/>
  <c r="Q72" i="2" s="1"/>
  <c r="O91" i="2"/>
  <c r="Q91" i="2" s="1"/>
  <c r="O81" i="2"/>
  <c r="Q81" i="2" s="1"/>
  <c r="O92" i="2"/>
  <c r="Q92" i="2" s="1"/>
  <c r="O68" i="2"/>
  <c r="Q68" i="2" s="1"/>
  <c r="O106" i="2"/>
  <c r="Q106" i="2" s="1"/>
  <c r="O76" i="2"/>
  <c r="Q76" i="2" s="1"/>
  <c r="O105" i="2"/>
  <c r="Q105" i="2" s="1"/>
  <c r="O116" i="2"/>
  <c r="Q116" i="2" s="1"/>
  <c r="O82" i="2"/>
  <c r="Q82" i="2" s="1"/>
  <c r="O83" i="2"/>
  <c r="Q83" i="2" s="1"/>
  <c r="O70" i="2"/>
  <c r="Q70" i="2" s="1"/>
  <c r="O69" i="2"/>
  <c r="Q69" i="2" s="1"/>
  <c r="O95" i="2"/>
  <c r="Q95" i="2" s="1"/>
  <c r="O73" i="2"/>
  <c r="Q73" i="2" s="1"/>
  <c r="O113" i="2"/>
  <c r="Q113" i="2" s="1"/>
  <c r="O98" i="2"/>
  <c r="Q98" i="2" s="1"/>
  <c r="O77" i="2"/>
  <c r="Q77" i="2" s="1"/>
  <c r="O89" i="2"/>
  <c r="Q89" i="2" s="1"/>
  <c r="O71" i="2"/>
  <c r="Q71" i="2" s="1"/>
  <c r="O108" i="2"/>
  <c r="Q108" i="2" s="1"/>
  <c r="O100" i="2"/>
  <c r="Q100" i="2" s="1"/>
  <c r="O78" i="2"/>
  <c r="Q78" i="2" s="1"/>
  <c r="O88" i="2"/>
  <c r="Q88" i="2" s="1"/>
  <c r="O104" i="2"/>
  <c r="Q104" i="2" s="1"/>
  <c r="O80" i="2"/>
  <c r="Q80" i="2" s="1"/>
  <c r="O110" i="2"/>
  <c r="Q110" i="2" s="1"/>
  <c r="O109" i="2"/>
  <c r="Q109" i="2" s="1"/>
  <c r="O111" i="2"/>
  <c r="Q111" i="2" s="1"/>
  <c r="O97" i="2"/>
  <c r="Q97" i="2" s="1"/>
  <c r="O87" i="2"/>
  <c r="Q87" i="2" s="1"/>
  <c r="O90" i="2"/>
  <c r="Q90" i="2" s="1"/>
  <c r="O93" i="2"/>
  <c r="Q93" i="2" s="1"/>
  <c r="O101" i="2"/>
  <c r="Q101" i="2" s="1"/>
  <c r="O96" i="2"/>
  <c r="Q96" i="2" s="1"/>
  <c r="O84" i="2"/>
  <c r="Q84" i="2" s="1"/>
  <c r="O74" i="2"/>
  <c r="Q74" i="2" s="1"/>
  <c r="O102" i="2"/>
  <c r="Q102" i="2" s="1"/>
  <c r="O86" i="2"/>
  <c r="Q86" i="2" s="1"/>
  <c r="O117" i="2"/>
  <c r="Q117" i="2" s="1"/>
  <c r="O114" i="2"/>
  <c r="Q114" i="2" s="1"/>
  <c r="O103" i="2"/>
  <c r="Q103" i="2" s="1"/>
  <c r="O75" i="2"/>
  <c r="Q75" i="2" s="1"/>
  <c r="O79" i="2"/>
  <c r="Q79" i="2" s="1"/>
  <c r="O85" i="2"/>
  <c r="Q85" i="2" s="1"/>
  <c r="O94" i="2"/>
  <c r="Q94" i="2" s="1"/>
  <c r="O107" i="2"/>
  <c r="Q107" i="2" s="1"/>
  <c r="P15" i="10"/>
  <c r="P20" i="10"/>
  <c r="P24" i="10"/>
  <c r="P17" i="10"/>
  <c r="P9" i="10"/>
  <c r="P13" i="10"/>
  <c r="P14" i="10"/>
  <c r="P21" i="10"/>
  <c r="P11" i="10"/>
  <c r="P18" i="10"/>
  <c r="P23" i="10"/>
  <c r="P25" i="10"/>
  <c r="P10" i="10"/>
  <c r="P19" i="10"/>
  <c r="P22" i="10"/>
  <c r="P12" i="10"/>
  <c r="P16" i="10"/>
  <c r="AJ66" i="2"/>
  <c r="AY65" i="2"/>
  <c r="BB65" i="2" s="1"/>
  <c r="AW46" i="2"/>
  <c r="D30" i="9"/>
  <c r="AX46" i="2"/>
  <c r="AP65" i="2"/>
  <c r="AS65" i="2" s="1"/>
  <c r="AE65" i="2" s="1"/>
  <c r="L30" i="9"/>
  <c r="AL66" i="2"/>
  <c r="BA66" i="2" s="1"/>
  <c r="BD66" i="2" s="1"/>
  <c r="AK66" i="2"/>
  <c r="AZ66" i="2" s="1"/>
  <c r="BC66" i="2" s="1"/>
  <c r="O46" i="3"/>
  <c r="Q46" i="3" s="1"/>
  <c r="O50" i="3"/>
  <c r="Q50" i="3" s="1"/>
  <c r="O64" i="3"/>
  <c r="Q64" i="3" s="1"/>
  <c r="O57" i="3"/>
  <c r="Q57" i="3" s="1"/>
  <c r="O61" i="3"/>
  <c r="Q61" i="3" s="1"/>
  <c r="O58" i="3"/>
  <c r="Q58" i="3" s="1"/>
  <c r="O67" i="3"/>
  <c r="Q67" i="3" s="1"/>
  <c r="O40" i="3"/>
  <c r="Q40" i="3" s="1"/>
  <c r="O60" i="3"/>
  <c r="Q60" i="3" s="1"/>
  <c r="O56" i="3"/>
  <c r="Q56" i="3" s="1"/>
  <c r="O59" i="3"/>
  <c r="Q59" i="3" s="1"/>
  <c r="O45" i="3"/>
  <c r="Q45" i="3" s="1"/>
  <c r="O54" i="3"/>
  <c r="Q54" i="3" s="1"/>
  <c r="O44" i="3"/>
  <c r="Q44" i="3" s="1"/>
  <c r="O66" i="3"/>
  <c r="Q66" i="3" s="1"/>
  <c r="O43" i="3"/>
  <c r="Q43" i="3" s="1"/>
  <c r="O63" i="3"/>
  <c r="Q63" i="3" s="1"/>
  <c r="O51" i="3"/>
  <c r="Q51" i="3" s="1"/>
  <c r="O62" i="3"/>
  <c r="Q62" i="3" s="1"/>
  <c r="O37" i="3"/>
  <c r="O41" i="3"/>
  <c r="Q41" i="3" s="1"/>
  <c r="O65" i="3"/>
  <c r="Q65" i="3" s="1"/>
  <c r="O55" i="3"/>
  <c r="Q55" i="3" s="1"/>
  <c r="O42" i="3"/>
  <c r="Q42" i="3" s="1"/>
  <c r="O39" i="3"/>
  <c r="Q39" i="3" s="1"/>
  <c r="O38" i="3"/>
  <c r="Q38" i="3" s="1"/>
  <c r="O52" i="3"/>
  <c r="Q52" i="3" s="1"/>
  <c r="O53" i="3"/>
  <c r="Q53" i="3" s="1"/>
  <c r="O49" i="3"/>
  <c r="Q49" i="3" s="1"/>
  <c r="O47" i="3"/>
  <c r="Q47" i="3" s="1"/>
  <c r="O48" i="3"/>
  <c r="Q48" i="3" s="1"/>
  <c r="O63" i="2"/>
  <c r="Q63" i="2" s="1"/>
  <c r="O44" i="2"/>
  <c r="Q44" i="2" s="1"/>
  <c r="O43" i="2"/>
  <c r="Q43" i="2" s="1"/>
  <c r="O37" i="2"/>
  <c r="Q37" i="2" s="1"/>
  <c r="O49" i="2"/>
  <c r="Q49" i="2" s="1"/>
  <c r="O64" i="2"/>
  <c r="Q64" i="2" s="1"/>
  <c r="O61" i="2"/>
  <c r="Q61" i="2" s="1"/>
  <c r="O38" i="2"/>
  <c r="Q38" i="2" s="1"/>
  <c r="O53" i="2"/>
  <c r="Q53" i="2" s="1"/>
  <c r="O48" i="2"/>
  <c r="Q48" i="2" s="1"/>
  <c r="O62" i="2"/>
  <c r="Q62" i="2" s="1"/>
  <c r="O46" i="2"/>
  <c r="Q46" i="2" s="1"/>
  <c r="O56" i="2"/>
  <c r="Q56" i="2" s="1"/>
  <c r="O58" i="2"/>
  <c r="Q58" i="2" s="1"/>
  <c r="O40" i="2"/>
  <c r="Q40" i="2" s="1"/>
  <c r="O50" i="2"/>
  <c r="Q50" i="2" s="1"/>
  <c r="O60" i="2"/>
  <c r="Q60" i="2" s="1"/>
  <c r="O54" i="2"/>
  <c r="Q54" i="2" s="1"/>
  <c r="O52" i="2"/>
  <c r="Q52" i="2" s="1"/>
  <c r="O41" i="2"/>
  <c r="Q41" i="2" s="1"/>
  <c r="O45" i="2"/>
  <c r="Q45" i="2" s="1"/>
  <c r="O51" i="2"/>
  <c r="Q51" i="2" s="1"/>
  <c r="O65" i="2"/>
  <c r="Q65" i="2" s="1"/>
  <c r="O66" i="2"/>
  <c r="Q66" i="2" s="1"/>
  <c r="O39" i="2"/>
  <c r="Q39" i="2" s="1"/>
  <c r="O67" i="2"/>
  <c r="Q67" i="2" s="1"/>
  <c r="O55" i="2"/>
  <c r="Q55" i="2" s="1"/>
  <c r="O47" i="2"/>
  <c r="Q47" i="2" s="1"/>
  <c r="O59" i="2"/>
  <c r="Q59" i="2" s="1"/>
  <c r="O42" i="2"/>
  <c r="Q42" i="2" s="1"/>
  <c r="O57" i="2"/>
  <c r="Q57" i="2" s="1"/>
  <c r="AG66" i="3"/>
  <c r="AE66" i="3"/>
  <c r="AF66" i="3"/>
  <c r="N54" i="3"/>
  <c r="N40" i="3"/>
  <c r="N46" i="3"/>
  <c r="N64" i="3"/>
  <c r="N62" i="3"/>
  <c r="N60" i="3"/>
  <c r="N43" i="3"/>
  <c r="N41" i="3"/>
  <c r="N51" i="3"/>
  <c r="N38" i="3"/>
  <c r="N37" i="3"/>
  <c r="N49" i="3"/>
  <c r="N58" i="3"/>
  <c r="N45" i="3"/>
  <c r="N53" i="3"/>
  <c r="N56" i="3"/>
  <c r="N50" i="3"/>
  <c r="N63" i="3"/>
  <c r="N44" i="3"/>
  <c r="N48" i="3"/>
  <c r="N61" i="3"/>
  <c r="N52" i="3"/>
  <c r="N59" i="3"/>
  <c r="N65" i="3"/>
  <c r="N67" i="3"/>
  <c r="N66" i="3"/>
  <c r="N55" i="3"/>
  <c r="N42" i="3"/>
  <c r="N47" i="3"/>
  <c r="N57" i="3"/>
  <c r="N39" i="3"/>
  <c r="B31" i="9"/>
  <c r="AN46" i="2"/>
  <c r="F12" i="9" s="1"/>
  <c r="Y38" i="5"/>
  <c r="Z38" i="5"/>
  <c r="X38" i="5"/>
  <c r="AD67" i="2"/>
  <c r="L31" i="9"/>
  <c r="Y29" i="14"/>
  <c r="B29" i="15"/>
  <c r="L29" i="15" s="1"/>
  <c r="AG66" i="2"/>
  <c r="AR66" i="2" s="1"/>
  <c r="AU66" i="2" s="1"/>
  <c r="AF66" i="2"/>
  <c r="AQ66" i="2" s="1"/>
  <c r="AT66" i="2" s="1"/>
  <c r="C31" i="9"/>
  <c r="AO46" i="2"/>
  <c r="I12" i="9" s="1"/>
  <c r="J12" i="9" s="1"/>
  <c r="AD67" i="3"/>
  <c r="AI67" i="2"/>
  <c r="P41" i="2"/>
  <c r="S41" i="2" s="1"/>
  <c r="P67" i="2"/>
  <c r="S67" i="2" s="1"/>
  <c r="P47" i="2"/>
  <c r="S47" i="2" s="1"/>
  <c r="P60" i="2"/>
  <c r="S60" i="2" s="1"/>
  <c r="P56" i="2"/>
  <c r="S56" i="2" s="1"/>
  <c r="P43" i="2"/>
  <c r="S43" i="2" s="1"/>
  <c r="P61" i="2"/>
  <c r="S61" i="2" s="1"/>
  <c r="P39" i="2"/>
  <c r="S39" i="2" s="1"/>
  <c r="P44" i="2"/>
  <c r="S44" i="2" s="1"/>
  <c r="P55" i="2"/>
  <c r="S55" i="2" s="1"/>
  <c r="P62" i="2"/>
  <c r="S62" i="2" s="1"/>
  <c r="P40" i="2"/>
  <c r="S40" i="2" s="1"/>
  <c r="P64" i="2"/>
  <c r="S64" i="2" s="1"/>
  <c r="P66" i="2"/>
  <c r="S66" i="2" s="1"/>
  <c r="P46" i="2"/>
  <c r="S46" i="2" s="1"/>
  <c r="P49" i="2"/>
  <c r="S49" i="2" s="1"/>
  <c r="P50" i="2"/>
  <c r="S50" i="2" s="1"/>
  <c r="P53" i="2"/>
  <c r="S53" i="2" s="1"/>
  <c r="P45" i="2"/>
  <c r="S45" i="2" s="1"/>
  <c r="P57" i="2"/>
  <c r="S57" i="2" s="1"/>
  <c r="P48" i="2"/>
  <c r="S48" i="2" s="1"/>
  <c r="P63" i="2"/>
  <c r="S63" i="2" s="1"/>
  <c r="P37" i="2"/>
  <c r="S37" i="2" s="1"/>
  <c r="P38" i="2"/>
  <c r="S38" i="2" s="1"/>
  <c r="P54" i="2"/>
  <c r="S54" i="2" s="1"/>
  <c r="P52" i="2"/>
  <c r="S52" i="2" s="1"/>
  <c r="P59" i="2"/>
  <c r="S59" i="2" s="1"/>
  <c r="P42" i="2"/>
  <c r="S42" i="2" s="1"/>
  <c r="P65" i="2"/>
  <c r="S65" i="2" s="1"/>
  <c r="P51" i="2"/>
  <c r="S51" i="2" s="1"/>
  <c r="P58" i="2"/>
  <c r="S58" i="2" s="1"/>
  <c r="G12" i="9" l="1"/>
  <c r="R39" i="5"/>
  <c r="AC38" i="5"/>
  <c r="AD38" i="5"/>
  <c r="T38" i="5"/>
  <c r="AB38" i="5"/>
  <c r="X43" i="2"/>
  <c r="W43" i="2"/>
  <c r="Z43" i="2" s="1"/>
  <c r="U53" i="2"/>
  <c r="V53" i="2"/>
  <c r="Y53" i="2" s="1"/>
  <c r="V93" i="2"/>
  <c r="Y93" i="2" s="1"/>
  <c r="U93" i="2"/>
  <c r="U98" i="2"/>
  <c r="V98" i="2"/>
  <c r="Y98" i="2" s="1"/>
  <c r="V116" i="2"/>
  <c r="Y116" i="2" s="1"/>
  <c r="U116" i="2"/>
  <c r="W94" i="2"/>
  <c r="Z94" i="2" s="1"/>
  <c r="X94" i="2"/>
  <c r="W107" i="2"/>
  <c r="Z107" i="2" s="1"/>
  <c r="X107" i="2"/>
  <c r="W115" i="2"/>
  <c r="Z115" i="2" s="1"/>
  <c r="X115" i="2"/>
  <c r="X65" i="2"/>
  <c r="W65" i="2"/>
  <c r="Z65" i="2" s="1"/>
  <c r="X48" i="2"/>
  <c r="W48" i="2"/>
  <c r="X64" i="2"/>
  <c r="W64" i="2"/>
  <c r="Z64" i="2" s="1"/>
  <c r="X56" i="2"/>
  <c r="W56" i="2"/>
  <c r="Z56" i="2" s="1"/>
  <c r="L30" i="14"/>
  <c r="U66" i="2"/>
  <c r="V66" i="2"/>
  <c r="Y66" i="2" s="1"/>
  <c r="U50" i="2"/>
  <c r="V50" i="2"/>
  <c r="Y50" i="2" s="1"/>
  <c r="U38" i="2"/>
  <c r="V38" i="2"/>
  <c r="Y38" i="2" s="1"/>
  <c r="V117" i="2"/>
  <c r="Y117" i="2" s="1"/>
  <c r="U117" i="2"/>
  <c r="U90" i="2"/>
  <c r="V90" i="2"/>
  <c r="Y90" i="2" s="1"/>
  <c r="V88" i="2"/>
  <c r="Y88" i="2" s="1"/>
  <c r="U88" i="2"/>
  <c r="V113" i="2"/>
  <c r="Y113" i="2" s="1"/>
  <c r="U113" i="2"/>
  <c r="V105" i="2"/>
  <c r="U105" i="2"/>
  <c r="U112" i="2"/>
  <c r="V112" i="2"/>
  <c r="Y112" i="2" s="1"/>
  <c r="X101" i="2"/>
  <c r="W101" i="2"/>
  <c r="Z101" i="2" s="1"/>
  <c r="X98" i="2"/>
  <c r="W98" i="2"/>
  <c r="Z98" i="2" s="1"/>
  <c r="X87" i="2"/>
  <c r="W87" i="2"/>
  <c r="Z87" i="2" s="1"/>
  <c r="W84" i="2"/>
  <c r="Z84" i="2" s="1"/>
  <c r="X84" i="2"/>
  <c r="X95" i="2"/>
  <c r="W95" i="2"/>
  <c r="Z95" i="2" s="1"/>
  <c r="X82" i="2"/>
  <c r="W82" i="2"/>
  <c r="Z82" i="2" s="1"/>
  <c r="X66" i="2"/>
  <c r="W66" i="2"/>
  <c r="Z66" i="2" s="1"/>
  <c r="U87" i="2"/>
  <c r="V87" i="2"/>
  <c r="V78" i="2"/>
  <c r="Y78" i="2" s="1"/>
  <c r="U78" i="2"/>
  <c r="V73" i="2"/>
  <c r="U73" i="2"/>
  <c r="V76" i="2"/>
  <c r="Y76" i="2" s="1"/>
  <c r="U76" i="2"/>
  <c r="V99" i="2"/>
  <c r="U99" i="2"/>
  <c r="X85" i="2"/>
  <c r="W85" i="2"/>
  <c r="Z85" i="2" s="1"/>
  <c r="X69" i="2"/>
  <c r="W69" i="2"/>
  <c r="Z69" i="2" s="1"/>
  <c r="X97" i="2"/>
  <c r="W97" i="2"/>
  <c r="Z97" i="2" s="1"/>
  <c r="X77" i="2"/>
  <c r="W77" i="2"/>
  <c r="Z77" i="2" s="1"/>
  <c r="W70" i="2"/>
  <c r="Z70" i="2" s="1"/>
  <c r="X70" i="2"/>
  <c r="W116" i="2"/>
  <c r="Z116" i="2" s="1"/>
  <c r="X116" i="2"/>
  <c r="U60" i="2"/>
  <c r="V60" i="2"/>
  <c r="Y60" i="2" s="1"/>
  <c r="X74" i="2"/>
  <c r="W74" i="2"/>
  <c r="Z74" i="2" s="1"/>
  <c r="U65" i="2"/>
  <c r="V65" i="2"/>
  <c r="Y65" i="2" s="1"/>
  <c r="X45" i="2"/>
  <c r="W45" i="2"/>
  <c r="Z45" i="2" s="1"/>
  <c r="X47" i="2"/>
  <c r="W47" i="2"/>
  <c r="Z47" i="2" s="1"/>
  <c r="U42" i="2"/>
  <c r="V42" i="2"/>
  <c r="Y42" i="2" s="1"/>
  <c r="U51" i="2"/>
  <c r="V51" i="2"/>
  <c r="Y51" i="2" s="1"/>
  <c r="U58" i="2"/>
  <c r="V58" i="2"/>
  <c r="Y58" i="2" s="1"/>
  <c r="U64" i="2"/>
  <c r="V64" i="2"/>
  <c r="Y64" i="2" s="1"/>
  <c r="V94" i="2"/>
  <c r="Y94" i="2" s="1"/>
  <c r="U94" i="2"/>
  <c r="V102" i="2"/>
  <c r="Y102" i="2" s="1"/>
  <c r="U102" i="2"/>
  <c r="V97" i="2"/>
  <c r="U97" i="2"/>
  <c r="V100" i="2"/>
  <c r="Y100" i="2" s="1"/>
  <c r="U100" i="2"/>
  <c r="U95" i="2"/>
  <c r="V95" i="2"/>
  <c r="U106" i="2"/>
  <c r="V106" i="2"/>
  <c r="Y106" i="2" s="1"/>
  <c r="V115" i="2"/>
  <c r="Y115" i="2" s="1"/>
  <c r="U115" i="2"/>
  <c r="X108" i="2"/>
  <c r="W108" i="2"/>
  <c r="Z108" i="2" s="1"/>
  <c r="W110" i="2"/>
  <c r="Z110" i="2" s="1"/>
  <c r="X110" i="2"/>
  <c r="X111" i="2"/>
  <c r="W111" i="2"/>
  <c r="Z111" i="2" s="1"/>
  <c r="W75" i="2"/>
  <c r="Z75" i="2" s="1"/>
  <c r="X75" i="2"/>
  <c r="X81" i="2"/>
  <c r="W81" i="2"/>
  <c r="Z81" i="2" s="1"/>
  <c r="X105" i="2"/>
  <c r="W105" i="2"/>
  <c r="Z105" i="2" s="1"/>
  <c r="X63" i="2"/>
  <c r="W63" i="2"/>
  <c r="X57" i="2"/>
  <c r="W57" i="2"/>
  <c r="U40" i="2"/>
  <c r="V40" i="2"/>
  <c r="Y40" i="2" s="1"/>
  <c r="X59" i="2"/>
  <c r="W59" i="2"/>
  <c r="Z59" i="2" s="1"/>
  <c r="X62" i="2"/>
  <c r="W62" i="2"/>
  <c r="X52" i="2"/>
  <c r="W52" i="2"/>
  <c r="Z52" i="2" s="1"/>
  <c r="X53" i="2"/>
  <c r="W53" i="2"/>
  <c r="Z53" i="2" s="1"/>
  <c r="X55" i="2"/>
  <c r="W55" i="2"/>
  <c r="Z55" i="2" s="1"/>
  <c r="X67" i="2"/>
  <c r="W67" i="2"/>
  <c r="U59" i="2"/>
  <c r="V59" i="2"/>
  <c r="U45" i="2"/>
  <c r="V45" i="2"/>
  <c r="Y45" i="2" s="1"/>
  <c r="U56" i="2"/>
  <c r="V56" i="2"/>
  <c r="Y56" i="2" s="1"/>
  <c r="U49" i="2"/>
  <c r="V49" i="2"/>
  <c r="Y49" i="2" s="1"/>
  <c r="V85" i="2"/>
  <c r="U85" i="2"/>
  <c r="U74" i="2"/>
  <c r="V74" i="2"/>
  <c r="Y74" i="2" s="1"/>
  <c r="U111" i="2"/>
  <c r="V111" i="2"/>
  <c r="Y111" i="2" s="1"/>
  <c r="V108" i="2"/>
  <c r="Y108" i="2" s="1"/>
  <c r="U108" i="2"/>
  <c r="V69" i="2"/>
  <c r="U69" i="2"/>
  <c r="V68" i="2"/>
  <c r="Y68" i="2" s="1"/>
  <c r="U68" i="2"/>
  <c r="X93" i="2"/>
  <c r="W93" i="2"/>
  <c r="Z93" i="2" s="1"/>
  <c r="X104" i="2"/>
  <c r="W104" i="2"/>
  <c r="Z104" i="2" s="1"/>
  <c r="X109" i="2"/>
  <c r="W109" i="2"/>
  <c r="Z109" i="2" s="1"/>
  <c r="W83" i="2"/>
  <c r="Z83" i="2" s="1"/>
  <c r="X83" i="2"/>
  <c r="W91" i="2"/>
  <c r="Z91" i="2" s="1"/>
  <c r="X91" i="2"/>
  <c r="X76" i="2"/>
  <c r="W76" i="2"/>
  <c r="Z76" i="2" s="1"/>
  <c r="X51" i="2"/>
  <c r="W51" i="2"/>
  <c r="Z51" i="2" s="1"/>
  <c r="V104" i="2"/>
  <c r="Y104" i="2" s="1"/>
  <c r="U104" i="2"/>
  <c r="V72" i="2"/>
  <c r="U72" i="2"/>
  <c r="X42" i="2"/>
  <c r="W42" i="2"/>
  <c r="U61" i="2"/>
  <c r="V61" i="2"/>
  <c r="Y61" i="2" s="1"/>
  <c r="V86" i="2"/>
  <c r="Y86" i="2" s="1"/>
  <c r="U86" i="2"/>
  <c r="X54" i="2"/>
  <c r="W54" i="2"/>
  <c r="Z54" i="2" s="1"/>
  <c r="X50" i="2"/>
  <c r="W50" i="2"/>
  <c r="X44" i="2"/>
  <c r="W44" i="2"/>
  <c r="Z44" i="2" s="1"/>
  <c r="X41" i="2"/>
  <c r="W41" i="2"/>
  <c r="Z41" i="2" s="1"/>
  <c r="U47" i="2"/>
  <c r="V47" i="2"/>
  <c r="Y47" i="2" s="1"/>
  <c r="U41" i="2"/>
  <c r="V41" i="2"/>
  <c r="Y41" i="2" s="1"/>
  <c r="U46" i="2"/>
  <c r="V46" i="2"/>
  <c r="Y46" i="2" s="1"/>
  <c r="U37" i="2"/>
  <c r="V37" i="2"/>
  <c r="U79" i="2"/>
  <c r="V79" i="2"/>
  <c r="V84" i="2"/>
  <c r="Y84" i="2" s="1"/>
  <c r="U84" i="2"/>
  <c r="V109" i="2"/>
  <c r="Y109" i="2" s="1"/>
  <c r="U109" i="2"/>
  <c r="U71" i="2"/>
  <c r="V71" i="2"/>
  <c r="Y71" i="2" s="1"/>
  <c r="V70" i="2"/>
  <c r="Y70" i="2" s="1"/>
  <c r="U70" i="2"/>
  <c r="V92" i="2"/>
  <c r="U92" i="2"/>
  <c r="X71" i="2"/>
  <c r="W71" i="2"/>
  <c r="Z71" i="2" s="1"/>
  <c r="X113" i="2"/>
  <c r="W113" i="2"/>
  <c r="Z113" i="2" s="1"/>
  <c r="X117" i="2"/>
  <c r="W117" i="2"/>
  <c r="Z117" i="2" s="1"/>
  <c r="X88" i="2"/>
  <c r="W88" i="2"/>
  <c r="Z88" i="2" s="1"/>
  <c r="X72" i="2"/>
  <c r="W72" i="2"/>
  <c r="Z72" i="2" s="1"/>
  <c r="X106" i="2"/>
  <c r="W106" i="2"/>
  <c r="Z106" i="2" s="1"/>
  <c r="U63" i="2"/>
  <c r="V63" i="2"/>
  <c r="U114" i="2"/>
  <c r="V114" i="2"/>
  <c r="Y114" i="2" s="1"/>
  <c r="X90" i="2"/>
  <c r="W90" i="2"/>
  <c r="Z90" i="2" s="1"/>
  <c r="X60" i="2"/>
  <c r="W60" i="2"/>
  <c r="Z60" i="2" s="1"/>
  <c r="U57" i="2"/>
  <c r="V57" i="2"/>
  <c r="Y57" i="2" s="1"/>
  <c r="V107" i="2"/>
  <c r="U107" i="2"/>
  <c r="X38" i="2"/>
  <c r="W38" i="2"/>
  <c r="Z38" i="2" s="1"/>
  <c r="X49" i="2"/>
  <c r="W49" i="2"/>
  <c r="Z49" i="2" s="1"/>
  <c r="X39" i="2"/>
  <c r="W39" i="2"/>
  <c r="Z39" i="2" s="1"/>
  <c r="U55" i="2"/>
  <c r="V55" i="2"/>
  <c r="Y55" i="2" s="1"/>
  <c r="U52" i="2"/>
  <c r="V52" i="2"/>
  <c r="Y52" i="2" s="1"/>
  <c r="U62" i="2"/>
  <c r="V62" i="2"/>
  <c r="Y62" i="2" s="1"/>
  <c r="U43" i="2"/>
  <c r="V43" i="2"/>
  <c r="Y43" i="2" s="1"/>
  <c r="V75" i="2"/>
  <c r="U75" i="2"/>
  <c r="U96" i="2"/>
  <c r="V96" i="2"/>
  <c r="Y96" i="2" s="1"/>
  <c r="V110" i="2"/>
  <c r="Y110" i="2" s="1"/>
  <c r="U110" i="2"/>
  <c r="V89" i="2"/>
  <c r="U89" i="2"/>
  <c r="V83" i="2"/>
  <c r="U83" i="2"/>
  <c r="V81" i="2"/>
  <c r="U81" i="2"/>
  <c r="X89" i="2"/>
  <c r="W89" i="2"/>
  <c r="Z89" i="2" s="1"/>
  <c r="X79" i="2"/>
  <c r="W79" i="2"/>
  <c r="Z79" i="2" s="1"/>
  <c r="W100" i="2"/>
  <c r="Z100" i="2" s="1"/>
  <c r="X100" i="2"/>
  <c r="W86" i="2"/>
  <c r="Z86" i="2" s="1"/>
  <c r="X86" i="2"/>
  <c r="X96" i="2"/>
  <c r="W96" i="2"/>
  <c r="Z96" i="2" s="1"/>
  <c r="X112" i="2"/>
  <c r="W112" i="2"/>
  <c r="Z112" i="2" s="1"/>
  <c r="W68" i="2"/>
  <c r="Z68" i="2" s="1"/>
  <c r="X68" i="2"/>
  <c r="U39" i="2"/>
  <c r="V39" i="2"/>
  <c r="Y39" i="2" s="1"/>
  <c r="X80" i="2"/>
  <c r="W80" i="2"/>
  <c r="Z80" i="2" s="1"/>
  <c r="X40" i="2"/>
  <c r="W40" i="2"/>
  <c r="Z40" i="2" s="1"/>
  <c r="X58" i="2"/>
  <c r="W58" i="2"/>
  <c r="X37" i="2"/>
  <c r="W37" i="2"/>
  <c r="Z37" i="2" s="1"/>
  <c r="X46" i="2"/>
  <c r="W46" i="2"/>
  <c r="Z46" i="2" s="1"/>
  <c r="X61" i="2"/>
  <c r="W61" i="2"/>
  <c r="Z61" i="2" s="1"/>
  <c r="B31" i="14"/>
  <c r="O31" i="14" s="1"/>
  <c r="J31" i="14"/>
  <c r="W31" i="14" s="1"/>
  <c r="E31" i="14"/>
  <c r="R31" i="14" s="1"/>
  <c r="E31" i="15" s="1"/>
  <c r="I31" i="14"/>
  <c r="V31" i="14" s="1"/>
  <c r="F31" i="14"/>
  <c r="S31" i="14" s="1"/>
  <c r="F31" i="15" s="1"/>
  <c r="D31" i="14"/>
  <c r="Q31" i="14" s="1"/>
  <c r="D31" i="15" s="1"/>
  <c r="G31" i="14"/>
  <c r="T31" i="14" s="1"/>
  <c r="G31" i="15" s="1"/>
  <c r="C31" i="14"/>
  <c r="P31" i="14" s="1"/>
  <c r="C31" i="15" s="1"/>
  <c r="H31" i="14"/>
  <c r="U31" i="14" s="1"/>
  <c r="H31" i="15" s="1"/>
  <c r="U67" i="2"/>
  <c r="V67" i="2"/>
  <c r="U54" i="2"/>
  <c r="V54" i="2"/>
  <c r="Y54" i="2" s="1"/>
  <c r="U48" i="2"/>
  <c r="V48" i="2"/>
  <c r="Y48" i="2" s="1"/>
  <c r="U44" i="2"/>
  <c r="V44" i="2"/>
  <c r="Y44" i="2" s="1"/>
  <c r="U103" i="2"/>
  <c r="V103" i="2"/>
  <c r="Y103" i="2" s="1"/>
  <c r="V101" i="2"/>
  <c r="U101" i="2"/>
  <c r="U80" i="2"/>
  <c r="V80" i="2"/>
  <c r="Y80" i="2" s="1"/>
  <c r="V77" i="2"/>
  <c r="U77" i="2"/>
  <c r="U82" i="2"/>
  <c r="V82" i="2"/>
  <c r="V91" i="2"/>
  <c r="U91" i="2"/>
  <c r="X73" i="2"/>
  <c r="W73" i="2"/>
  <c r="Z73" i="2" s="1"/>
  <c r="X114" i="2"/>
  <c r="W114" i="2"/>
  <c r="Z114" i="2" s="1"/>
  <c r="X103" i="2"/>
  <c r="W103" i="2"/>
  <c r="Z103" i="2" s="1"/>
  <c r="W102" i="2"/>
  <c r="Z102" i="2" s="1"/>
  <c r="X102" i="2"/>
  <c r="W78" i="2"/>
  <c r="Z78" i="2" s="1"/>
  <c r="X78" i="2"/>
  <c r="W99" i="2"/>
  <c r="Z99" i="2" s="1"/>
  <c r="X99" i="2"/>
  <c r="X92" i="2"/>
  <c r="W92" i="2"/>
  <c r="Z92" i="2" s="1"/>
  <c r="B41" i="18"/>
  <c r="B71" i="18"/>
  <c r="C11" i="11"/>
  <c r="C24" i="11"/>
  <c r="C20" i="11"/>
  <c r="C16" i="11"/>
  <c r="C21" i="11"/>
  <c r="C22" i="11"/>
  <c r="C13" i="11"/>
  <c r="C23" i="11"/>
  <c r="C18" i="11"/>
  <c r="C17" i="11"/>
  <c r="C12" i="11"/>
  <c r="C19" i="11"/>
  <c r="C15" i="11"/>
  <c r="C9" i="11"/>
  <c r="C10" i="11"/>
  <c r="C14" i="11"/>
  <c r="AJ67" i="2"/>
  <c r="AY66" i="2"/>
  <c r="BB66" i="2" s="1"/>
  <c r="AW47" i="2"/>
  <c r="AX47" i="2"/>
  <c r="D31" i="9"/>
  <c r="AP66" i="2"/>
  <c r="AS66" i="2" s="1"/>
  <c r="AE66" i="2" s="1"/>
  <c r="L32" i="9" s="1"/>
  <c r="S49" i="3"/>
  <c r="U49" i="3" s="1"/>
  <c r="AK49" i="3"/>
  <c r="S61" i="3"/>
  <c r="U61" i="3" s="1"/>
  <c r="AK61" i="3"/>
  <c r="Z57" i="2"/>
  <c r="S53" i="3"/>
  <c r="U53" i="3" s="1"/>
  <c r="AK53" i="3"/>
  <c r="S45" i="3"/>
  <c r="U45" i="3" s="1"/>
  <c r="AK45" i="3"/>
  <c r="S57" i="3"/>
  <c r="U57" i="3" s="1"/>
  <c r="AK57" i="3"/>
  <c r="Z48" i="2"/>
  <c r="S41" i="3"/>
  <c r="U41" i="3" s="1"/>
  <c r="AK41" i="3"/>
  <c r="S54" i="3"/>
  <c r="U54" i="3" s="1"/>
  <c r="AK54" i="3"/>
  <c r="Z42" i="2"/>
  <c r="Z62" i="2"/>
  <c r="S52" i="3"/>
  <c r="U52" i="3" s="1"/>
  <c r="AK52" i="3"/>
  <c r="S62" i="3"/>
  <c r="U62" i="3" s="1"/>
  <c r="AK62" i="3"/>
  <c r="S59" i="3"/>
  <c r="U59" i="3" s="1"/>
  <c r="AK59" i="3"/>
  <c r="S64" i="3"/>
  <c r="U64" i="3" s="1"/>
  <c r="AK64" i="3"/>
  <c r="S51" i="3"/>
  <c r="U51" i="3" s="1"/>
  <c r="AK51" i="3"/>
  <c r="S63" i="3"/>
  <c r="U63" i="3" s="1"/>
  <c r="AK63" i="3"/>
  <c r="S42" i="3"/>
  <c r="U42" i="3" s="1"/>
  <c r="AK42" i="3"/>
  <c r="S43" i="3"/>
  <c r="U43" i="3" s="1"/>
  <c r="AK43" i="3"/>
  <c r="S40" i="3"/>
  <c r="U40" i="3" s="1"/>
  <c r="AK40" i="3"/>
  <c r="S38" i="3"/>
  <c r="U38" i="3" s="1"/>
  <c r="AK38" i="3"/>
  <c r="S56" i="3"/>
  <c r="U56" i="3" s="1"/>
  <c r="AK56" i="3"/>
  <c r="S50" i="3"/>
  <c r="U50" i="3" s="1"/>
  <c r="AK50" i="3"/>
  <c r="Z50" i="2"/>
  <c r="S46" i="3"/>
  <c r="U46" i="3" s="1"/>
  <c r="AK46" i="3"/>
  <c r="Z58" i="2"/>
  <c r="S48" i="3"/>
  <c r="U48" i="3" s="1"/>
  <c r="AK48" i="3"/>
  <c r="S55" i="3"/>
  <c r="U55" i="3" s="1"/>
  <c r="AK55" i="3"/>
  <c r="S66" i="3"/>
  <c r="U66" i="3" s="1"/>
  <c r="AK66" i="3"/>
  <c r="S67" i="3"/>
  <c r="U67" i="3" s="1"/>
  <c r="AK67" i="3"/>
  <c r="Z67" i="2"/>
  <c r="S39" i="3"/>
  <c r="U39" i="3" s="1"/>
  <c r="AK39" i="3"/>
  <c r="S60" i="3"/>
  <c r="U60" i="3" s="1"/>
  <c r="AK60" i="3"/>
  <c r="Z63" i="2"/>
  <c r="S47" i="3"/>
  <c r="U47" i="3" s="1"/>
  <c r="AK47" i="3"/>
  <c r="S65" i="3"/>
  <c r="U65" i="3" s="1"/>
  <c r="AK65" i="3"/>
  <c r="S44" i="3"/>
  <c r="U44" i="3" s="1"/>
  <c r="AK44" i="3"/>
  <c r="S58" i="3"/>
  <c r="U58" i="3" s="1"/>
  <c r="AK58" i="3"/>
  <c r="B30" i="12"/>
  <c r="D30" i="12" s="1"/>
  <c r="P63" i="3"/>
  <c r="B34" i="12"/>
  <c r="D34" i="12" s="1"/>
  <c r="P67" i="3"/>
  <c r="AJ67" i="3" s="1"/>
  <c r="B17" i="12"/>
  <c r="D17" i="12" s="1"/>
  <c r="P50" i="3"/>
  <c r="B18" i="12"/>
  <c r="D18" i="12" s="1"/>
  <c r="P51" i="3"/>
  <c r="B21" i="12"/>
  <c r="D21" i="12" s="1"/>
  <c r="P54" i="3"/>
  <c r="B5" i="12"/>
  <c r="D5" i="12" s="1"/>
  <c r="P38" i="3"/>
  <c r="P56" i="3"/>
  <c r="B23" i="12"/>
  <c r="D23" i="12" s="1"/>
  <c r="P41" i="3"/>
  <c r="B8" i="12"/>
  <c r="D8" i="12" s="1"/>
  <c r="B30" i="15"/>
  <c r="Y30" i="14"/>
  <c r="B32" i="9"/>
  <c r="AN47" i="2"/>
  <c r="B6" i="12"/>
  <c r="D6" i="12" s="1"/>
  <c r="P39" i="3"/>
  <c r="AJ39" i="3" s="1"/>
  <c r="B26" i="12"/>
  <c r="D26" i="12" s="1"/>
  <c r="P59" i="3"/>
  <c r="AJ59" i="3" s="1"/>
  <c r="P53" i="3"/>
  <c r="B20" i="12"/>
  <c r="D20" i="12" s="1"/>
  <c r="B10" i="12"/>
  <c r="D10" i="12" s="1"/>
  <c r="P43" i="3"/>
  <c r="B24" i="12"/>
  <c r="D24" i="12" s="1"/>
  <c r="P57" i="3"/>
  <c r="AJ57" i="3" s="1"/>
  <c r="B19" i="12"/>
  <c r="D19" i="12" s="1"/>
  <c r="P52" i="3"/>
  <c r="P45" i="3"/>
  <c r="B12" i="12"/>
  <c r="D12" i="12" s="1"/>
  <c r="P60" i="3"/>
  <c r="B27" i="12"/>
  <c r="D27" i="12" s="1"/>
  <c r="AE67" i="3"/>
  <c r="AG67" i="3"/>
  <c r="AF67" i="3"/>
  <c r="B33" i="12"/>
  <c r="D33" i="12" s="1"/>
  <c r="P66" i="3"/>
  <c r="AJ66" i="3" s="1"/>
  <c r="C32" i="9"/>
  <c r="AO47" i="2"/>
  <c r="I13" i="9" s="1"/>
  <c r="J13" i="9" s="1"/>
  <c r="AG67" i="2"/>
  <c r="AF67" i="2"/>
  <c r="AQ67" i="2" s="1"/>
  <c r="AT67" i="2" s="1"/>
  <c r="B14" i="12"/>
  <c r="D14" i="12" s="1"/>
  <c r="P47" i="3"/>
  <c r="AJ47" i="3" s="1"/>
  <c r="B28" i="12"/>
  <c r="D28" i="12" s="1"/>
  <c r="P61" i="3"/>
  <c r="P58" i="3"/>
  <c r="B25" i="12"/>
  <c r="D25" i="12" s="1"/>
  <c r="P62" i="3"/>
  <c r="B29" i="12"/>
  <c r="D29" i="12" s="1"/>
  <c r="B9" i="12"/>
  <c r="D9" i="12" s="1"/>
  <c r="P42" i="3"/>
  <c r="AJ42" i="3" s="1"/>
  <c r="B15" i="12"/>
  <c r="D15" i="12" s="1"/>
  <c r="P48" i="3"/>
  <c r="B16" i="12"/>
  <c r="D16" i="12" s="1"/>
  <c r="P49" i="3"/>
  <c r="B31" i="12"/>
  <c r="D31" i="12" s="1"/>
  <c r="P64" i="3"/>
  <c r="B7" i="12"/>
  <c r="D7" i="12" s="1"/>
  <c r="P40" i="3"/>
  <c r="B32" i="12"/>
  <c r="D32" i="12" s="1"/>
  <c r="P65" i="3"/>
  <c r="AJ65" i="3" s="1"/>
  <c r="AL67" i="2"/>
  <c r="AX66" i="2" s="1"/>
  <c r="AK67" i="2"/>
  <c r="AZ67" i="2" s="1"/>
  <c r="BC67" i="2" s="1"/>
  <c r="B22" i="12"/>
  <c r="D22" i="12" s="1"/>
  <c r="P55" i="3"/>
  <c r="AJ55" i="3" s="1"/>
  <c r="B11" i="12"/>
  <c r="D11" i="12" s="1"/>
  <c r="P44" i="3"/>
  <c r="B4" i="12"/>
  <c r="D4" i="12" s="1"/>
  <c r="N69" i="3"/>
  <c r="P37" i="3"/>
  <c r="P46" i="3"/>
  <c r="B13" i="12"/>
  <c r="D13" i="12" s="1"/>
  <c r="Q37" i="3"/>
  <c r="O69" i="3"/>
  <c r="Y37" i="2" l="1"/>
  <c r="V34" i="2"/>
  <c r="R35" i="2" s="1"/>
  <c r="AA8" i="8"/>
  <c r="B8" i="8"/>
  <c r="B7" i="11" s="1"/>
  <c r="C29" i="8"/>
  <c r="L29" i="8" s="1"/>
  <c r="Y63" i="2"/>
  <c r="Y59" i="2"/>
  <c r="D33" i="8"/>
  <c r="Y67" i="2"/>
  <c r="B33" i="8"/>
  <c r="AC33" i="8"/>
  <c r="C7" i="21"/>
  <c r="AA13" i="8"/>
  <c r="B13" i="8"/>
  <c r="B12" i="11" s="1"/>
  <c r="R40" i="5"/>
  <c r="T39" i="5"/>
  <c r="Y91" i="2"/>
  <c r="I57" i="8"/>
  <c r="L57" i="8" s="1"/>
  <c r="Y101" i="2"/>
  <c r="I67" i="8"/>
  <c r="Y105" i="2"/>
  <c r="J71" i="8"/>
  <c r="Y82" i="2"/>
  <c r="E48" i="8"/>
  <c r="Y81" i="2"/>
  <c r="I47" i="8"/>
  <c r="L47" i="8" s="1"/>
  <c r="Y69" i="2"/>
  <c r="Y85" i="2"/>
  <c r="J51" i="8"/>
  <c r="F51" i="8"/>
  <c r="Y97" i="2"/>
  <c r="K63" i="8"/>
  <c r="G63" i="8"/>
  <c r="Y73" i="2"/>
  <c r="C39" i="8"/>
  <c r="L39" i="8" s="1"/>
  <c r="J31" i="8"/>
  <c r="L31" i="8" s="1"/>
  <c r="K7" i="21"/>
  <c r="K8" i="21" s="1"/>
  <c r="Y83" i="2"/>
  <c r="C49" i="8"/>
  <c r="L49" i="8" s="1"/>
  <c r="Y75" i="2"/>
  <c r="F41" i="8"/>
  <c r="L41" i="8" s="1"/>
  <c r="Y107" i="2"/>
  <c r="K73" i="8"/>
  <c r="Y92" i="2"/>
  <c r="E58" i="8"/>
  <c r="J7" i="21"/>
  <c r="J8" i="21" s="1"/>
  <c r="I27" i="8"/>
  <c r="L27" i="8" s="1"/>
  <c r="Y77" i="2"/>
  <c r="D43" i="8"/>
  <c r="G43" i="8"/>
  <c r="Y79" i="2"/>
  <c r="H45" i="8"/>
  <c r="Y95" i="2"/>
  <c r="J61" i="8"/>
  <c r="F61" i="8"/>
  <c r="Y87" i="2"/>
  <c r="D53" i="8"/>
  <c r="K53" i="8"/>
  <c r="G53" i="8"/>
  <c r="G23" i="8"/>
  <c r="H7" i="21"/>
  <c r="H8" i="21" s="1"/>
  <c r="Y89" i="2"/>
  <c r="H55" i="8"/>
  <c r="L55" i="8" s="1"/>
  <c r="D7" i="21"/>
  <c r="D8" i="21" s="1"/>
  <c r="C9" i="8"/>
  <c r="E7" i="21"/>
  <c r="E8" i="21" s="1"/>
  <c r="D13" i="8"/>
  <c r="Y72" i="2"/>
  <c r="E38" i="8"/>
  <c r="Y99" i="2"/>
  <c r="H65" i="8"/>
  <c r="G7" i="21"/>
  <c r="G8" i="21" s="1"/>
  <c r="F21" i="8"/>
  <c r="AA5" i="8"/>
  <c r="B5" i="8"/>
  <c r="L5" i="8" s="1"/>
  <c r="AA16" i="8"/>
  <c r="B16" i="8"/>
  <c r="I56" i="11"/>
  <c r="L31" i="14"/>
  <c r="I32" i="14"/>
  <c r="V32" i="14" s="1"/>
  <c r="J32" i="14"/>
  <c r="W32" i="14" s="1"/>
  <c r="E32" i="14"/>
  <c r="R32" i="14" s="1"/>
  <c r="E32" i="15" s="1"/>
  <c r="H32" i="14"/>
  <c r="U32" i="14" s="1"/>
  <c r="H32" i="15" s="1"/>
  <c r="D32" i="14"/>
  <c r="Q32" i="14" s="1"/>
  <c r="D32" i="15" s="1"/>
  <c r="F32" i="14"/>
  <c r="S32" i="14" s="1"/>
  <c r="F32" i="15" s="1"/>
  <c r="G32" i="14"/>
  <c r="T32" i="14" s="1"/>
  <c r="G32" i="15" s="1"/>
  <c r="K32" i="14"/>
  <c r="X32" i="14" s="1"/>
  <c r="C32" i="14"/>
  <c r="P32" i="14" s="1"/>
  <c r="C32" i="15" s="1"/>
  <c r="W21" i="6"/>
  <c r="T21" i="6"/>
  <c r="Z21" i="6"/>
  <c r="R21" i="6"/>
  <c r="X21" i="6"/>
  <c r="U21" i="6"/>
  <c r="S21" i="6"/>
  <c r="V21" i="6"/>
  <c r="Y21" i="6"/>
  <c r="L24" i="8"/>
  <c r="L17" i="8"/>
  <c r="B62" i="18"/>
  <c r="C62" i="18" s="1"/>
  <c r="D62" i="18" s="1"/>
  <c r="E62" i="18" s="1"/>
  <c r="F62" i="18" s="1"/>
  <c r="G62" i="18" s="1"/>
  <c r="H62" i="18" s="1"/>
  <c r="H58" i="18"/>
  <c r="L12" i="8"/>
  <c r="B159" i="18"/>
  <c r="B161" i="18"/>
  <c r="B163" i="18"/>
  <c r="B165" i="18"/>
  <c r="B160" i="18"/>
  <c r="B162" i="18"/>
  <c r="B164" i="18"/>
  <c r="C71" i="18"/>
  <c r="D71" i="18" s="1"/>
  <c r="E71" i="18" s="1"/>
  <c r="F71" i="18" s="1"/>
  <c r="G71" i="18" s="1"/>
  <c r="H71" i="18" s="1"/>
  <c r="I71" i="18" s="1"/>
  <c r="J71" i="18" s="1"/>
  <c r="K71" i="18" s="1"/>
  <c r="C41" i="18"/>
  <c r="D41" i="18" s="1"/>
  <c r="E41" i="18" s="1"/>
  <c r="F41" i="18" s="1"/>
  <c r="G41" i="18" s="1"/>
  <c r="H41" i="18" s="1"/>
  <c r="I41" i="18" s="1"/>
  <c r="J41" i="18" s="1"/>
  <c r="K41" i="18" s="1"/>
  <c r="F13" i="9"/>
  <c r="G13" i="9" s="1"/>
  <c r="I4" i="11"/>
  <c r="H4" i="11"/>
  <c r="G4" i="11"/>
  <c r="F4" i="11"/>
  <c r="E4" i="11"/>
  <c r="AX61" i="2"/>
  <c r="BA67" i="2"/>
  <c r="BD67" i="2" s="1"/>
  <c r="AX63" i="2"/>
  <c r="AW67" i="2"/>
  <c r="AW49" i="2"/>
  <c r="AW48" i="2"/>
  <c r="AW51" i="2"/>
  <c r="AW50" i="2"/>
  <c r="AW52" i="2"/>
  <c r="AW53" i="2"/>
  <c r="AW55" i="2"/>
  <c r="AW56" i="2"/>
  <c r="AW57" i="2"/>
  <c r="AW54" i="2"/>
  <c r="AW59" i="2"/>
  <c r="AW58" i="2"/>
  <c r="AW60" i="2"/>
  <c r="AW61" i="2"/>
  <c r="AW62" i="2"/>
  <c r="AW64" i="2"/>
  <c r="AW66" i="2"/>
  <c r="D32" i="9"/>
  <c r="AW65" i="2"/>
  <c r="AX67" i="2"/>
  <c r="AX48" i="2"/>
  <c r="AX50" i="2"/>
  <c r="AX49" i="2"/>
  <c r="AX52" i="2"/>
  <c r="AX55" i="2"/>
  <c r="AX51" i="2"/>
  <c r="AX53" i="2"/>
  <c r="AX56" i="2"/>
  <c r="AX54" i="2"/>
  <c r="AX58" i="2"/>
  <c r="AX59" i="2"/>
  <c r="AX57" i="2"/>
  <c r="AX60" i="2"/>
  <c r="AX62" i="2"/>
  <c r="AX65" i="2"/>
  <c r="AW63" i="2"/>
  <c r="AX64" i="2"/>
  <c r="AN63" i="2"/>
  <c r="AO64" i="2"/>
  <c r="I30" i="9" s="1"/>
  <c r="AR67" i="2"/>
  <c r="AU67" i="2" s="1"/>
  <c r="AN61" i="2"/>
  <c r="F27" i="9" s="1"/>
  <c r="AN64" i="2"/>
  <c r="F30" i="9" s="1"/>
  <c r="AN66" i="2"/>
  <c r="F32" i="9" s="1"/>
  <c r="R38" i="3"/>
  <c r="T38" i="3" s="1"/>
  <c r="AJ38" i="3"/>
  <c r="R62" i="3"/>
  <c r="T62" i="3" s="1"/>
  <c r="AJ62" i="3"/>
  <c r="R52" i="3"/>
  <c r="T52" i="3" s="1"/>
  <c r="AJ52" i="3"/>
  <c r="R37" i="3"/>
  <c r="T37" i="3" s="1"/>
  <c r="AJ37" i="3"/>
  <c r="R64" i="3"/>
  <c r="T64" i="3" s="1"/>
  <c r="AJ64" i="3"/>
  <c r="R53" i="3"/>
  <c r="T53" i="3" s="1"/>
  <c r="AJ53" i="3"/>
  <c r="S37" i="3"/>
  <c r="U37" i="3" s="1"/>
  <c r="AK37" i="3"/>
  <c r="R58" i="3"/>
  <c r="T58" i="3" s="1"/>
  <c r="AJ58" i="3"/>
  <c r="R56" i="3"/>
  <c r="T56" i="3" s="1"/>
  <c r="AJ56" i="3"/>
  <c r="R44" i="3"/>
  <c r="T44" i="3" s="1"/>
  <c r="AJ44" i="3"/>
  <c r="R49" i="3"/>
  <c r="T49" i="3" s="1"/>
  <c r="AJ49" i="3"/>
  <c r="R61" i="3"/>
  <c r="T61" i="3" s="1"/>
  <c r="AJ61" i="3"/>
  <c r="R43" i="3"/>
  <c r="T43" i="3" s="1"/>
  <c r="AJ43" i="3"/>
  <c r="R54" i="3"/>
  <c r="T54" i="3" s="1"/>
  <c r="AJ54" i="3"/>
  <c r="R41" i="3"/>
  <c r="T41" i="3" s="1"/>
  <c r="AJ41" i="3"/>
  <c r="R63" i="3"/>
  <c r="T63" i="3" s="1"/>
  <c r="AJ63" i="3"/>
  <c r="R45" i="3"/>
  <c r="T45" i="3" s="1"/>
  <c r="AJ45" i="3"/>
  <c r="R50" i="3"/>
  <c r="T50" i="3" s="1"/>
  <c r="AJ50" i="3"/>
  <c r="R46" i="3"/>
  <c r="T46" i="3" s="1"/>
  <c r="AJ46" i="3"/>
  <c r="R40" i="3"/>
  <c r="T40" i="3" s="1"/>
  <c r="AJ40" i="3"/>
  <c r="R48" i="3"/>
  <c r="T48" i="3" s="1"/>
  <c r="AJ48" i="3"/>
  <c r="R60" i="3"/>
  <c r="T60" i="3" s="1"/>
  <c r="AJ60" i="3"/>
  <c r="R51" i="3"/>
  <c r="T51" i="3" s="1"/>
  <c r="AJ51" i="3"/>
  <c r="G54" i="18"/>
  <c r="W11" i="6"/>
  <c r="R65" i="3"/>
  <c r="AO62" i="2"/>
  <c r="I28" i="9" s="1"/>
  <c r="Y31" i="14"/>
  <c r="B31" i="15"/>
  <c r="T11" i="6"/>
  <c r="R55" i="3"/>
  <c r="S11" i="6"/>
  <c r="R47" i="3"/>
  <c r="H60" i="18"/>
  <c r="U11" i="6"/>
  <c r="R57" i="3"/>
  <c r="V11" i="6"/>
  <c r="R59" i="3"/>
  <c r="X11" i="6"/>
  <c r="R66" i="3"/>
  <c r="B32" i="14"/>
  <c r="Q21" i="6"/>
  <c r="R11" i="6"/>
  <c r="R42" i="3"/>
  <c r="C33" i="9"/>
  <c r="AO67" i="2"/>
  <c r="I33" i="9" s="1"/>
  <c r="AO48" i="2"/>
  <c r="I14" i="9" s="1"/>
  <c r="J14" i="9" s="1"/>
  <c r="AO49" i="2"/>
  <c r="I15" i="9" s="1"/>
  <c r="AO51" i="2"/>
  <c r="I17" i="9" s="1"/>
  <c r="AO53" i="2"/>
  <c r="I19" i="9" s="1"/>
  <c r="AO54" i="2"/>
  <c r="I20" i="9" s="1"/>
  <c r="AO50" i="2"/>
  <c r="I16" i="9" s="1"/>
  <c r="AO55" i="2"/>
  <c r="I21" i="9" s="1"/>
  <c r="AO52" i="2"/>
  <c r="I18" i="9" s="1"/>
  <c r="AO56" i="2"/>
  <c r="I22" i="9" s="1"/>
  <c r="AO59" i="2"/>
  <c r="I25" i="9" s="1"/>
  <c r="AO57" i="2"/>
  <c r="I23" i="9" s="1"/>
  <c r="AO58" i="2"/>
  <c r="I24" i="9" s="1"/>
  <c r="AO61" i="2"/>
  <c r="I27" i="9" s="1"/>
  <c r="AO63" i="2"/>
  <c r="I29" i="9" s="1"/>
  <c r="AO60" i="2"/>
  <c r="I26" i="9" s="1"/>
  <c r="AO65" i="2"/>
  <c r="I31" i="9" s="1"/>
  <c r="B33" i="9"/>
  <c r="AN67" i="2"/>
  <c r="AN48" i="2"/>
  <c r="F14" i="9" s="1"/>
  <c r="AN50" i="2"/>
  <c r="F16" i="9" s="1"/>
  <c r="AN49" i="2"/>
  <c r="F15" i="9" s="1"/>
  <c r="AN51" i="2"/>
  <c r="AN54" i="2"/>
  <c r="F20" i="9" s="1"/>
  <c r="AN53" i="2"/>
  <c r="F19" i="9" s="1"/>
  <c r="AN52" i="2"/>
  <c r="F18" i="9" s="1"/>
  <c r="AN56" i="2"/>
  <c r="F22" i="9" s="1"/>
  <c r="AN55" i="2"/>
  <c r="F21" i="9" s="1"/>
  <c r="AN58" i="2"/>
  <c r="AN57" i="2"/>
  <c r="F23" i="9" s="1"/>
  <c r="AN59" i="2"/>
  <c r="F25" i="9" s="1"/>
  <c r="AN62" i="2"/>
  <c r="F28" i="9" s="1"/>
  <c r="AN65" i="2"/>
  <c r="AO66" i="2"/>
  <c r="I32" i="9" s="1"/>
  <c r="AN60" i="2"/>
  <c r="F26" i="9" s="1"/>
  <c r="Q11" i="6"/>
  <c r="R39" i="3"/>
  <c r="Z11" i="6"/>
  <c r="Y11" i="6"/>
  <c r="R67" i="3"/>
  <c r="U35" i="2" l="1"/>
  <c r="V35" i="2"/>
  <c r="AG48" i="8"/>
  <c r="B48" i="8"/>
  <c r="L48" i="8" s="1"/>
  <c r="AC25" i="8"/>
  <c r="AC28" i="8"/>
  <c r="B28" i="8"/>
  <c r="L28" i="8" s="1"/>
  <c r="B38" i="8"/>
  <c r="L38" i="8" s="1"/>
  <c r="AE38" i="8"/>
  <c r="B25" i="8"/>
  <c r="B53" i="8"/>
  <c r="L53" i="8" s="1"/>
  <c r="AG53" i="8"/>
  <c r="AE43" i="8"/>
  <c r="B43" i="8"/>
  <c r="L43" i="8" s="1"/>
  <c r="D16" i="6"/>
  <c r="K16" i="6"/>
  <c r="K18" i="6" s="1"/>
  <c r="L51" i="8"/>
  <c r="R41" i="5"/>
  <c r="T40" i="5"/>
  <c r="H16" i="6"/>
  <c r="H17" i="6" s="1"/>
  <c r="F140" i="18" s="1"/>
  <c r="E16" i="6"/>
  <c r="E17" i="6" s="1"/>
  <c r="C145" i="18" s="1"/>
  <c r="L71" i="8"/>
  <c r="J70" i="11"/>
  <c r="AE35" i="8"/>
  <c r="B35" i="8"/>
  <c r="L35" i="8" s="1"/>
  <c r="L61" i="8"/>
  <c r="F60" i="11"/>
  <c r="B24" i="11"/>
  <c r="L63" i="8"/>
  <c r="G62" i="11"/>
  <c r="L73" i="8"/>
  <c r="K72" i="11"/>
  <c r="H25" i="8"/>
  <c r="J16" i="6"/>
  <c r="J18" i="6" s="1"/>
  <c r="I7" i="21"/>
  <c r="I8" i="21" s="1"/>
  <c r="L67" i="8"/>
  <c r="I66" i="11"/>
  <c r="E18" i="8"/>
  <c r="E3" i="8" s="1"/>
  <c r="G16" i="6"/>
  <c r="G17" i="6" s="1"/>
  <c r="E117" i="18" s="1"/>
  <c r="F7" i="21"/>
  <c r="F8" i="21" s="1"/>
  <c r="F16" i="6"/>
  <c r="I16" i="6"/>
  <c r="I18" i="6" s="1"/>
  <c r="B45" i="8"/>
  <c r="L45" i="8" s="1"/>
  <c r="AG45" i="8"/>
  <c r="M16" i="6"/>
  <c r="M18" i="6" s="1"/>
  <c r="L7" i="21"/>
  <c r="L8" i="21" s="1"/>
  <c r="K33" i="8"/>
  <c r="L33" i="8" s="1"/>
  <c r="L58" i="8"/>
  <c r="E57" i="11"/>
  <c r="L16" i="6"/>
  <c r="L18" i="6" s="1"/>
  <c r="L65" i="8"/>
  <c r="H64" i="11"/>
  <c r="B75" i="18"/>
  <c r="B45" i="18"/>
  <c r="L16" i="8"/>
  <c r="B15" i="11"/>
  <c r="C8" i="21"/>
  <c r="J60" i="11"/>
  <c r="K62" i="11"/>
  <c r="G14" i="9"/>
  <c r="G15" i="9" s="1"/>
  <c r="G16" i="9" s="1"/>
  <c r="E47" i="11"/>
  <c r="H54" i="11"/>
  <c r="E46" i="11"/>
  <c r="K17" i="6"/>
  <c r="H58" i="11"/>
  <c r="I60" i="11"/>
  <c r="B53" i="10"/>
  <c r="O53" i="10" s="1"/>
  <c r="D23" i="6"/>
  <c r="B11" i="11"/>
  <c r="L7" i="8"/>
  <c r="F3" i="8"/>
  <c r="D91" i="8"/>
  <c r="D92" i="8"/>
  <c r="D93" i="8"/>
  <c r="D94" i="8"/>
  <c r="D89" i="8"/>
  <c r="D95" i="8"/>
  <c r="D90" i="8"/>
  <c r="D6" i="10"/>
  <c r="D7" i="10"/>
  <c r="D8" i="10"/>
  <c r="D9" i="10"/>
  <c r="D10" i="10"/>
  <c r="D11" i="10"/>
  <c r="D12" i="10"/>
  <c r="B5" i="11"/>
  <c r="D14" i="10"/>
  <c r="D15" i="10"/>
  <c r="D16" i="10"/>
  <c r="D17" i="10"/>
  <c r="D18" i="10"/>
  <c r="D19" i="10"/>
  <c r="D21" i="10"/>
  <c r="D22" i="10"/>
  <c r="D25" i="10"/>
  <c r="E6" i="21"/>
  <c r="D20" i="10"/>
  <c r="D23" i="10"/>
  <c r="D26" i="10"/>
  <c r="Q26" i="10" s="1"/>
  <c r="D25" i="11" s="1"/>
  <c r="D13" i="10"/>
  <c r="D24" i="10"/>
  <c r="I58" i="18"/>
  <c r="J58" i="18" s="1"/>
  <c r="K58" i="18" s="1"/>
  <c r="G56" i="18"/>
  <c r="B28" i="10"/>
  <c r="B31" i="10"/>
  <c r="B30" i="10"/>
  <c r="B26" i="10"/>
  <c r="B29" i="10"/>
  <c r="B27" i="10"/>
  <c r="B32" i="10"/>
  <c r="B57" i="10"/>
  <c r="B65" i="10"/>
  <c r="B73" i="10"/>
  <c r="B58" i="10"/>
  <c r="B66" i="10"/>
  <c r="B59" i="10"/>
  <c r="B67" i="10"/>
  <c r="B60" i="10"/>
  <c r="B68" i="10"/>
  <c r="B61" i="10"/>
  <c r="B69" i="10"/>
  <c r="B56" i="10"/>
  <c r="B54" i="10"/>
  <c r="B62" i="10"/>
  <c r="B70" i="10"/>
  <c r="B64" i="10"/>
  <c r="B55" i="10"/>
  <c r="B63" i="10"/>
  <c r="B71" i="10"/>
  <c r="B72" i="10"/>
  <c r="L41" i="18"/>
  <c r="L71" i="18"/>
  <c r="B38" i="10"/>
  <c r="B46" i="10"/>
  <c r="O46" i="10" s="1"/>
  <c r="B45" i="11" s="1"/>
  <c r="B47" i="10"/>
  <c r="O47" i="10" s="1"/>
  <c r="B46" i="11" s="1"/>
  <c r="B40" i="10"/>
  <c r="B48" i="10"/>
  <c r="O48" i="10" s="1"/>
  <c r="B47" i="11" s="1"/>
  <c r="B33" i="10"/>
  <c r="O33" i="10" s="1"/>
  <c r="B41" i="10"/>
  <c r="B49" i="10"/>
  <c r="O49" i="10" s="1"/>
  <c r="B48" i="11" s="1"/>
  <c r="B34" i="10"/>
  <c r="B42" i="10"/>
  <c r="B50" i="10"/>
  <c r="O50" i="10" s="1"/>
  <c r="B49" i="11" s="1"/>
  <c r="B39" i="10"/>
  <c r="B35" i="10"/>
  <c r="B43" i="10"/>
  <c r="B51" i="10"/>
  <c r="O51" i="10" s="1"/>
  <c r="B50" i="11" s="1"/>
  <c r="B36" i="10"/>
  <c r="B44" i="10"/>
  <c r="B52" i="10"/>
  <c r="O52" i="10" s="1"/>
  <c r="B51" i="11" s="1"/>
  <c r="B37" i="10"/>
  <c r="B45" i="10"/>
  <c r="L23" i="8"/>
  <c r="F17" i="9"/>
  <c r="F29" i="9"/>
  <c r="F24" i="9"/>
  <c r="I23" i="6"/>
  <c r="H23" i="6"/>
  <c r="F33" i="9"/>
  <c r="F31" i="9"/>
  <c r="AP67" i="2"/>
  <c r="AS67" i="2" s="1"/>
  <c r="AE67" i="2" s="1"/>
  <c r="L8" i="8"/>
  <c r="I61" i="18"/>
  <c r="J61" i="18" s="1"/>
  <c r="K61" i="18" s="1"/>
  <c r="I62" i="18"/>
  <c r="J62" i="18" s="1"/>
  <c r="F52" i="18"/>
  <c r="F53" i="18"/>
  <c r="E50" i="18"/>
  <c r="E46" i="18"/>
  <c r="H104" i="18"/>
  <c r="H88" i="18"/>
  <c r="H103" i="18"/>
  <c r="H95" i="18"/>
  <c r="H87" i="18"/>
  <c r="H98" i="18"/>
  <c r="H102" i="18"/>
  <c r="H94" i="18"/>
  <c r="H106" i="18"/>
  <c r="H90" i="18"/>
  <c r="H101" i="18"/>
  <c r="H93" i="18"/>
  <c r="H100" i="18"/>
  <c r="H92" i="18"/>
  <c r="H99" i="18"/>
  <c r="H91" i="18"/>
  <c r="H105" i="18"/>
  <c r="H97" i="18"/>
  <c r="H89" i="18"/>
  <c r="H96" i="18"/>
  <c r="G95" i="18"/>
  <c r="G102" i="18"/>
  <c r="G98" i="18"/>
  <c r="G94" i="18"/>
  <c r="G90" i="18"/>
  <c r="G101" i="18"/>
  <c r="G89" i="18"/>
  <c r="G97" i="18"/>
  <c r="G93" i="18"/>
  <c r="G104" i="18"/>
  <c r="G100" i="18"/>
  <c r="G96" i="18"/>
  <c r="G92" i="18"/>
  <c r="G88" i="18"/>
  <c r="G103" i="18"/>
  <c r="G99" i="18"/>
  <c r="G91" i="18"/>
  <c r="G87" i="18"/>
  <c r="F94" i="18"/>
  <c r="F99" i="18"/>
  <c r="F91" i="18"/>
  <c r="F101" i="18"/>
  <c r="F96" i="18"/>
  <c r="F88" i="18"/>
  <c r="F93" i="18"/>
  <c r="F95" i="18"/>
  <c r="F98" i="18"/>
  <c r="F90" i="18"/>
  <c r="F100" i="18"/>
  <c r="F87" i="18"/>
  <c r="F102" i="18"/>
  <c r="F92" i="18"/>
  <c r="F97" i="18"/>
  <c r="F89" i="18"/>
  <c r="E99" i="18"/>
  <c r="E97" i="18"/>
  <c r="E95" i="18"/>
  <c r="E93" i="18"/>
  <c r="E91" i="18"/>
  <c r="E89" i="18"/>
  <c r="E87" i="18"/>
  <c r="E98" i="18"/>
  <c r="E96" i="18"/>
  <c r="E94" i="18"/>
  <c r="E92" i="18"/>
  <c r="E90" i="18"/>
  <c r="E88" i="18"/>
  <c r="D89" i="18"/>
  <c r="D87" i="18"/>
  <c r="D92" i="18"/>
  <c r="D90" i="18"/>
  <c r="D93" i="18"/>
  <c r="D88" i="18"/>
  <c r="D91" i="18"/>
  <c r="D94" i="18"/>
  <c r="C89" i="18"/>
  <c r="C87" i="18"/>
  <c r="C88" i="18"/>
  <c r="J15" i="9"/>
  <c r="J16" i="9" s="1"/>
  <c r="J17" i="9" s="1"/>
  <c r="J18" i="9" s="1"/>
  <c r="J19" i="9" s="1"/>
  <c r="J20" i="9" s="1"/>
  <c r="J21" i="9" s="1"/>
  <c r="J22" i="9" s="1"/>
  <c r="J23" i="9" s="1"/>
  <c r="J24" i="9" s="1"/>
  <c r="J25" i="9" s="1"/>
  <c r="J26" i="9" s="1"/>
  <c r="J27" i="9" s="1"/>
  <c r="J28" i="9" s="1"/>
  <c r="J29" i="9" s="1"/>
  <c r="J30" i="9" s="1"/>
  <c r="J31" i="9" s="1"/>
  <c r="J32" i="9" s="1"/>
  <c r="J33" i="9" s="1"/>
  <c r="AY67" i="2"/>
  <c r="BB67" i="2" s="1"/>
  <c r="L33" i="9"/>
  <c r="D33" i="9"/>
  <c r="B36" i="9" s="1"/>
  <c r="C90" i="18"/>
  <c r="I60" i="18"/>
  <c r="U16" i="6"/>
  <c r="U18" i="6" s="1"/>
  <c r="T57" i="3"/>
  <c r="E162" i="18"/>
  <c r="E161" i="18"/>
  <c r="E163" i="18"/>
  <c r="T66" i="3"/>
  <c r="X16" i="6"/>
  <c r="X18" i="6" s="1"/>
  <c r="T16" i="6"/>
  <c r="T18" i="6" s="1"/>
  <c r="T55" i="3"/>
  <c r="T17" i="6" s="1"/>
  <c r="R16" i="6"/>
  <c r="R18" i="6" s="1"/>
  <c r="T42" i="3"/>
  <c r="R17" i="6" s="1"/>
  <c r="S16" i="6"/>
  <c r="S18" i="6" s="1"/>
  <c r="T47" i="3"/>
  <c r="S17" i="6" s="1"/>
  <c r="B4" i="11"/>
  <c r="Z16" i="6"/>
  <c r="Z18" i="6" s="1"/>
  <c r="T67" i="3"/>
  <c r="Y16" i="6"/>
  <c r="Y18" i="6" s="1"/>
  <c r="L32" i="14"/>
  <c r="O32" i="14"/>
  <c r="Q16" i="6"/>
  <c r="Q18" i="6" s="1"/>
  <c r="T39" i="3"/>
  <c r="Q17" i="6" s="1"/>
  <c r="T59" i="3"/>
  <c r="V16" i="6"/>
  <c r="V18" i="6" s="1"/>
  <c r="F165" i="18"/>
  <c r="F164" i="18"/>
  <c r="T65" i="3"/>
  <c r="W16" i="6"/>
  <c r="W18" i="6" s="1"/>
  <c r="B36" i="18" l="1"/>
  <c r="C36" i="18" s="1"/>
  <c r="D36" i="18" s="1"/>
  <c r="E36" i="18" s="1"/>
  <c r="F36" i="18" s="1"/>
  <c r="G36" i="18" s="1"/>
  <c r="H36" i="18" s="1"/>
  <c r="I36" i="18" s="1"/>
  <c r="J36" i="18" s="1"/>
  <c r="K36" i="18" s="1"/>
  <c r="B66" i="18"/>
  <c r="O6" i="18"/>
  <c r="O7" i="8"/>
  <c r="B6" i="15" s="1"/>
  <c r="B40" i="18"/>
  <c r="B70" i="18"/>
  <c r="O11" i="8"/>
  <c r="O10" i="18"/>
  <c r="Y10" i="18" s="1"/>
  <c r="B64" i="18"/>
  <c r="B35" i="18"/>
  <c r="C35" i="18" s="1"/>
  <c r="D35" i="18" s="1"/>
  <c r="E35" i="18" s="1"/>
  <c r="F35" i="18" s="1"/>
  <c r="G35" i="18" s="1"/>
  <c r="H35" i="18" s="1"/>
  <c r="I35" i="18" s="1"/>
  <c r="J35" i="18" s="1"/>
  <c r="K35" i="18" s="1"/>
  <c r="B65" i="18"/>
  <c r="C65" i="18" s="1"/>
  <c r="D65" i="18" s="1"/>
  <c r="E65" i="18" s="1"/>
  <c r="F65" i="18" s="1"/>
  <c r="G65" i="18" s="1"/>
  <c r="H65" i="18" s="1"/>
  <c r="I65" i="18" s="1"/>
  <c r="J65" i="18" s="1"/>
  <c r="K65" i="18" s="1"/>
  <c r="C117" i="18"/>
  <c r="L25" i="8"/>
  <c r="C111" i="18"/>
  <c r="C148" i="18"/>
  <c r="F50" i="18"/>
  <c r="G50" i="18" s="1"/>
  <c r="H50" i="18" s="1"/>
  <c r="I50" i="18" s="1"/>
  <c r="J50" i="18" s="1"/>
  <c r="K50" i="18" s="1"/>
  <c r="V17" i="6"/>
  <c r="C91" i="18"/>
  <c r="E146" i="18"/>
  <c r="E132" i="18"/>
  <c r="E149" i="18"/>
  <c r="C106" i="18"/>
  <c r="C126" i="18"/>
  <c r="B34" i="18"/>
  <c r="C34" i="18" s="1"/>
  <c r="D34" i="18" s="1"/>
  <c r="E34" i="18" s="1"/>
  <c r="F34" i="18" s="1"/>
  <c r="G34" i="18" s="1"/>
  <c r="H34" i="18" s="1"/>
  <c r="I34" i="18" s="1"/>
  <c r="J34" i="18" s="1"/>
  <c r="K34" i="18" s="1"/>
  <c r="C109" i="18"/>
  <c r="E116" i="18"/>
  <c r="C127" i="18"/>
  <c r="C114" i="18"/>
  <c r="C131" i="18"/>
  <c r="C143" i="18"/>
  <c r="E102" i="18"/>
  <c r="H18" i="6"/>
  <c r="L21" i="8" s="1"/>
  <c r="E142" i="18"/>
  <c r="C100" i="18"/>
  <c r="C128" i="18"/>
  <c r="W17" i="6"/>
  <c r="U112" i="18" s="1"/>
  <c r="C144" i="18"/>
  <c r="C135" i="18"/>
  <c r="K62" i="18"/>
  <c r="E147" i="18"/>
  <c r="E131" i="18"/>
  <c r="E120" i="18"/>
  <c r="E100" i="18"/>
  <c r="E101" i="18"/>
  <c r="G18" i="6"/>
  <c r="E104" i="18"/>
  <c r="E136" i="18"/>
  <c r="E130" i="18"/>
  <c r="E152" i="18"/>
  <c r="E148" i="18"/>
  <c r="E129" i="18"/>
  <c r="E122" i="18"/>
  <c r="D17" i="6"/>
  <c r="E119" i="18"/>
  <c r="E156" i="18"/>
  <c r="E160" i="18"/>
  <c r="E135" i="18"/>
  <c r="E106" i="18"/>
  <c r="E115" i="18"/>
  <c r="E143" i="18"/>
  <c r="E108" i="18"/>
  <c r="E118" i="18"/>
  <c r="D18" i="6"/>
  <c r="E121" i="18"/>
  <c r="E157" i="18"/>
  <c r="E158" i="18"/>
  <c r="E141" i="18"/>
  <c r="E133" i="18"/>
  <c r="E145" i="18"/>
  <c r="E123" i="18"/>
  <c r="E111" i="18"/>
  <c r="E125" i="18"/>
  <c r="E154" i="18"/>
  <c r="E107" i="18"/>
  <c r="E105" i="18"/>
  <c r="E139" i="18"/>
  <c r="E140" i="18"/>
  <c r="E126" i="18"/>
  <c r="E124" i="18"/>
  <c r="E110" i="18"/>
  <c r="E112" i="18"/>
  <c r="E159" i="18"/>
  <c r="E144" i="18"/>
  <c r="E151" i="18"/>
  <c r="E109" i="18"/>
  <c r="E138" i="18"/>
  <c r="E150" i="18"/>
  <c r="E103" i="18"/>
  <c r="E128" i="18"/>
  <c r="E113" i="18"/>
  <c r="E114" i="18"/>
  <c r="E155" i="18"/>
  <c r="E134" i="18"/>
  <c r="E153" i="18"/>
  <c r="E127" i="18"/>
  <c r="E137" i="18"/>
  <c r="C129" i="18"/>
  <c r="C112" i="18"/>
  <c r="C122" i="18"/>
  <c r="C136" i="18"/>
  <c r="C118" i="18"/>
  <c r="C121" i="18"/>
  <c r="C99" i="18"/>
  <c r="C150" i="18"/>
  <c r="C98" i="18"/>
  <c r="C96" i="18"/>
  <c r="C119" i="18"/>
  <c r="C125" i="18"/>
  <c r="C132" i="18"/>
  <c r="C103" i="18"/>
  <c r="C95" i="18"/>
  <c r="C120" i="18"/>
  <c r="C113" i="18"/>
  <c r="C97" i="18"/>
  <c r="C134" i="18"/>
  <c r="C108" i="18"/>
  <c r="C92" i="18"/>
  <c r="C110" i="18"/>
  <c r="C102" i="18"/>
  <c r="C151" i="18"/>
  <c r="E18" i="6"/>
  <c r="C149" i="18"/>
  <c r="C146" i="18"/>
  <c r="C104" i="18"/>
  <c r="C133" i="18"/>
  <c r="C123" i="18"/>
  <c r="C147" i="18"/>
  <c r="C101" i="18"/>
  <c r="C93" i="18"/>
  <c r="C38" i="18"/>
  <c r="D38" i="18" s="1"/>
  <c r="E38" i="18" s="1"/>
  <c r="F38" i="18" s="1"/>
  <c r="G38" i="18" s="1"/>
  <c r="H38" i="18" s="1"/>
  <c r="I38" i="18" s="1"/>
  <c r="J38" i="18" s="1"/>
  <c r="K38" i="18" s="1"/>
  <c r="C94" i="18"/>
  <c r="C142" i="18"/>
  <c r="C116" i="18"/>
  <c r="C140" i="18"/>
  <c r="C139" i="18"/>
  <c r="C138" i="18"/>
  <c r="C130" i="18"/>
  <c r="G17" i="9"/>
  <c r="G18" i="9" s="1"/>
  <c r="G19" i="9" s="1"/>
  <c r="G20" i="9" s="1"/>
  <c r="G21" i="9" s="1"/>
  <c r="G22" i="9" s="1"/>
  <c r="G23" i="9" s="1"/>
  <c r="G24" i="9" s="1"/>
  <c r="G25" i="9" s="1"/>
  <c r="G26" i="9" s="1"/>
  <c r="G27" i="9" s="1"/>
  <c r="G28" i="9" s="1"/>
  <c r="G29" i="9" s="1"/>
  <c r="G30" i="9" s="1"/>
  <c r="G31" i="9" s="1"/>
  <c r="G32" i="9" s="1"/>
  <c r="G33" i="9" s="1"/>
  <c r="C124" i="18"/>
  <c r="C105" i="18"/>
  <c r="C141" i="18"/>
  <c r="C107" i="18"/>
  <c r="C115" i="18"/>
  <c r="C137" i="18"/>
  <c r="E47" i="18"/>
  <c r="F47" i="18" s="1"/>
  <c r="G47" i="18" s="1"/>
  <c r="H47" i="18" s="1"/>
  <c r="I47" i="18" s="1"/>
  <c r="J47" i="18" s="1"/>
  <c r="K47" i="18" s="1"/>
  <c r="L47" i="18" s="1"/>
  <c r="L18" i="8"/>
  <c r="B67" i="18"/>
  <c r="B37" i="18"/>
  <c r="C37" i="18" s="1"/>
  <c r="D37" i="18" s="1"/>
  <c r="E37" i="18" s="1"/>
  <c r="F37" i="18" s="1"/>
  <c r="G37" i="18" s="1"/>
  <c r="H37" i="18" s="1"/>
  <c r="I37" i="18" s="1"/>
  <c r="J37" i="18" s="1"/>
  <c r="K37" i="18" s="1"/>
  <c r="O7" i="18"/>
  <c r="O8" i="8"/>
  <c r="B7" i="15" s="1"/>
  <c r="D28" i="10"/>
  <c r="Q28" i="10" s="1"/>
  <c r="D27" i="11" s="1"/>
  <c r="F105" i="18"/>
  <c r="F146" i="18"/>
  <c r="F148" i="18"/>
  <c r="F103" i="18"/>
  <c r="F104" i="18"/>
  <c r="F138" i="18"/>
  <c r="F162" i="18"/>
  <c r="F141" i="18"/>
  <c r="F155" i="18"/>
  <c r="F136" i="18"/>
  <c r="H3" i="8"/>
  <c r="H163" i="8" s="1"/>
  <c r="B52" i="11"/>
  <c r="B72" i="18"/>
  <c r="C72" i="18" s="1"/>
  <c r="D72" i="18" s="1"/>
  <c r="E72" i="18" s="1"/>
  <c r="F72" i="18" s="1"/>
  <c r="G72" i="18" s="1"/>
  <c r="H72" i="18" s="1"/>
  <c r="I72" i="18" s="1"/>
  <c r="J72" i="18" s="1"/>
  <c r="K72" i="18" s="1"/>
  <c r="B42" i="18"/>
  <c r="C42" i="18" s="1"/>
  <c r="F129" i="18"/>
  <c r="F154" i="18"/>
  <c r="F137" i="18"/>
  <c r="F116" i="18"/>
  <c r="F108" i="18"/>
  <c r="F117" i="18"/>
  <c r="F134" i="18"/>
  <c r="H54" i="18"/>
  <c r="I54" i="18" s="1"/>
  <c r="J54" i="18" s="1"/>
  <c r="K54" i="18" s="1"/>
  <c r="J17" i="6"/>
  <c r="F109" i="18"/>
  <c r="F153" i="18"/>
  <c r="F113" i="18"/>
  <c r="F130" i="18"/>
  <c r="F123" i="18"/>
  <c r="F124" i="18"/>
  <c r="F151" i="18"/>
  <c r="I17" i="6"/>
  <c r="G149" i="18" s="1"/>
  <c r="F125" i="18"/>
  <c r="F120" i="18"/>
  <c r="F107" i="18"/>
  <c r="F112" i="18"/>
  <c r="F145" i="18"/>
  <c r="F149" i="18"/>
  <c r="F144" i="18"/>
  <c r="F114" i="18"/>
  <c r="F106" i="18"/>
  <c r="F121" i="18"/>
  <c r="F110" i="18"/>
  <c r="G52" i="18"/>
  <c r="H52" i="18" s="1"/>
  <c r="I52" i="18" s="1"/>
  <c r="J52" i="18" s="1"/>
  <c r="K52" i="18" s="1"/>
  <c r="F111" i="18"/>
  <c r="F158" i="18"/>
  <c r="F135" i="18"/>
  <c r="F126" i="18"/>
  <c r="F143" i="18"/>
  <c r="F157" i="18"/>
  <c r="F115" i="18"/>
  <c r="F150" i="18"/>
  <c r="F132" i="18"/>
  <c r="F159" i="18"/>
  <c r="J60" i="18"/>
  <c r="K60" i="18" s="1"/>
  <c r="R42" i="5"/>
  <c r="T41" i="5"/>
  <c r="F118" i="18"/>
  <c r="F122" i="18"/>
  <c r="F163" i="18"/>
  <c r="F131" i="18"/>
  <c r="F119" i="18"/>
  <c r="F142" i="18"/>
  <c r="F152" i="18"/>
  <c r="F127" i="18"/>
  <c r="F139" i="18"/>
  <c r="F133" i="18"/>
  <c r="F156" i="18"/>
  <c r="F161" i="18"/>
  <c r="F147" i="18"/>
  <c r="F128" i="18"/>
  <c r="F160" i="18"/>
  <c r="B3" i="8"/>
  <c r="B110" i="8" s="1"/>
  <c r="O15" i="18"/>
  <c r="Y15" i="18" s="1"/>
  <c r="O16" i="8"/>
  <c r="B3" i="10"/>
  <c r="B89" i="18"/>
  <c r="L89" i="18" s="1"/>
  <c r="B157" i="18"/>
  <c r="B150" i="18"/>
  <c r="B148" i="18"/>
  <c r="B149" i="18"/>
  <c r="B155" i="18"/>
  <c r="B156" i="18"/>
  <c r="B152" i="18"/>
  <c r="B151" i="18"/>
  <c r="B154" i="18"/>
  <c r="B158" i="18"/>
  <c r="B153" i="18"/>
  <c r="B157" i="8"/>
  <c r="B158" i="8"/>
  <c r="B159" i="8"/>
  <c r="C45" i="18"/>
  <c r="D45" i="18" s="1"/>
  <c r="E45" i="18" s="1"/>
  <c r="F45" i="18" s="1"/>
  <c r="G45" i="18" s="1"/>
  <c r="H45" i="18" s="1"/>
  <c r="I45" i="18" s="1"/>
  <c r="J45" i="18" s="1"/>
  <c r="K45" i="18" s="1"/>
  <c r="C75" i="18"/>
  <c r="D75" i="18" s="1"/>
  <c r="E75" i="18" s="1"/>
  <c r="F75" i="18" s="1"/>
  <c r="G75" i="18" s="1"/>
  <c r="H75" i="18" s="1"/>
  <c r="I75" i="18" s="1"/>
  <c r="J75" i="18" s="1"/>
  <c r="K75" i="18" s="1"/>
  <c r="B114" i="18"/>
  <c r="B119" i="18"/>
  <c r="B109" i="18"/>
  <c r="B91" i="18"/>
  <c r="B138" i="18"/>
  <c r="B105" i="18"/>
  <c r="B145" i="18"/>
  <c r="M23" i="6"/>
  <c r="K5" i="10"/>
  <c r="E23" i="6"/>
  <c r="C28" i="10"/>
  <c r="P28" i="10" s="1"/>
  <c r="C27" i="11" s="1"/>
  <c r="C26" i="10"/>
  <c r="C27" i="10"/>
  <c r="P27" i="10" s="1"/>
  <c r="C26" i="11" s="1"/>
  <c r="C29" i="10"/>
  <c r="P29" i="10" s="1"/>
  <c r="C28" i="11" s="1"/>
  <c r="B107" i="18"/>
  <c r="B130" i="18"/>
  <c r="B132" i="18"/>
  <c r="B124" i="18"/>
  <c r="B142" i="18"/>
  <c r="B144" i="18"/>
  <c r="B106" i="18"/>
  <c r="B146" i="18"/>
  <c r="B141" i="18"/>
  <c r="B128" i="18"/>
  <c r="B125" i="18"/>
  <c r="B123" i="18"/>
  <c r="B111" i="18"/>
  <c r="B104" i="18"/>
  <c r="B143" i="18"/>
  <c r="B95" i="18"/>
  <c r="B126" i="18"/>
  <c r="B103" i="18"/>
  <c r="B113" i="18"/>
  <c r="B135" i="18"/>
  <c r="B101" i="18"/>
  <c r="B92" i="18"/>
  <c r="L92" i="18" s="1"/>
  <c r="B112" i="18"/>
  <c r="B139" i="18"/>
  <c r="B121" i="18"/>
  <c r="B102" i="18"/>
  <c r="B129" i="18"/>
  <c r="B131" i="18"/>
  <c r="B100" i="18"/>
  <c r="B93" i="18"/>
  <c r="B117" i="18"/>
  <c r="B96" i="18"/>
  <c r="B140" i="18"/>
  <c r="B134" i="18"/>
  <c r="B136" i="18"/>
  <c r="B137" i="18"/>
  <c r="B88" i="18"/>
  <c r="L88" i="18" s="1"/>
  <c r="B99" i="18"/>
  <c r="B127" i="18"/>
  <c r="B110" i="18"/>
  <c r="B147" i="18"/>
  <c r="B133" i="18"/>
  <c r="B116" i="18"/>
  <c r="B108" i="18"/>
  <c r="B90" i="18"/>
  <c r="L90" i="18" s="1"/>
  <c r="B97" i="18"/>
  <c r="B87" i="18"/>
  <c r="L87" i="18" s="1"/>
  <c r="B122" i="18"/>
  <c r="B115" i="18"/>
  <c r="B98" i="18"/>
  <c r="B120" i="18"/>
  <c r="B118" i="18"/>
  <c r="B94" i="18"/>
  <c r="L6" i="8"/>
  <c r="C3" i="8"/>
  <c r="L9" i="8"/>
  <c r="C8" i="11"/>
  <c r="F17" i="6"/>
  <c r="F18" i="6"/>
  <c r="D42" i="18"/>
  <c r="E42" i="18" s="1"/>
  <c r="F42" i="18" s="1"/>
  <c r="G42" i="18" s="1"/>
  <c r="H42" i="18" s="1"/>
  <c r="I42" i="18" s="1"/>
  <c r="J42" i="18" s="1"/>
  <c r="K42" i="18" s="1"/>
  <c r="G52" i="11"/>
  <c r="U17" i="6"/>
  <c r="S139" i="18" s="1"/>
  <c r="G56" i="11"/>
  <c r="J61" i="11"/>
  <c r="F50" i="11"/>
  <c r="F53" i="11"/>
  <c r="M17" i="6"/>
  <c r="L17" i="6"/>
  <c r="G142" i="18"/>
  <c r="G116" i="18"/>
  <c r="G152" i="18"/>
  <c r="G164" i="18"/>
  <c r="G113" i="18"/>
  <c r="G161" i="18"/>
  <c r="G126" i="18"/>
  <c r="G127" i="18"/>
  <c r="G131" i="18"/>
  <c r="G118" i="18"/>
  <c r="G132" i="18"/>
  <c r="G140" i="18"/>
  <c r="G108" i="18"/>
  <c r="G121" i="18"/>
  <c r="G119" i="18"/>
  <c r="G165" i="18"/>
  <c r="G156" i="18"/>
  <c r="G145" i="18"/>
  <c r="G139" i="18"/>
  <c r="G147" i="18"/>
  <c r="G107" i="18"/>
  <c r="G129" i="18"/>
  <c r="G159" i="18"/>
  <c r="G114" i="18"/>
  <c r="G158" i="18"/>
  <c r="G134" i="18"/>
  <c r="G157" i="18"/>
  <c r="G133" i="18"/>
  <c r="G110" i="18"/>
  <c r="G143" i="18"/>
  <c r="G163" i="18"/>
  <c r="G151" i="18"/>
  <c r="G130" i="18"/>
  <c r="G135" i="18"/>
  <c r="G160" i="18"/>
  <c r="G128" i="18"/>
  <c r="G150" i="18"/>
  <c r="G141" i="18"/>
  <c r="G136" i="18"/>
  <c r="G124" i="18"/>
  <c r="G146" i="18"/>
  <c r="G120" i="18"/>
  <c r="G138" i="18"/>
  <c r="G109" i="18"/>
  <c r="G117" i="18"/>
  <c r="G105" i="18"/>
  <c r="G106" i="18"/>
  <c r="G125" i="18"/>
  <c r="G162" i="18"/>
  <c r="G123" i="18"/>
  <c r="G144" i="18"/>
  <c r="G115" i="18"/>
  <c r="G137" i="18"/>
  <c r="G155" i="18"/>
  <c r="G148" i="18"/>
  <c r="G154" i="18"/>
  <c r="G153" i="18"/>
  <c r="G112" i="18"/>
  <c r="G122" i="18"/>
  <c r="G111" i="18"/>
  <c r="W30" i="18"/>
  <c r="W31" i="8"/>
  <c r="J30" i="15" s="1"/>
  <c r="L23" i="6"/>
  <c r="J31" i="10"/>
  <c r="W31" i="10" s="1"/>
  <c r="J30" i="11" s="1"/>
  <c r="V26" i="18"/>
  <c r="V27" i="8"/>
  <c r="I26" i="15" s="1"/>
  <c r="K23" i="6"/>
  <c r="I30" i="10"/>
  <c r="V30" i="10" s="1"/>
  <c r="I29" i="11" s="1"/>
  <c r="I27" i="10"/>
  <c r="V27" i="10" s="1"/>
  <c r="I26" i="11" s="1"/>
  <c r="I28" i="10"/>
  <c r="V28" i="10" s="1"/>
  <c r="I27" i="11" s="1"/>
  <c r="I29" i="10"/>
  <c r="V29" i="10" s="1"/>
  <c r="I28" i="11" s="1"/>
  <c r="U24" i="18"/>
  <c r="U25" i="8"/>
  <c r="H24" i="15" s="1"/>
  <c r="H153" i="8"/>
  <c r="H155" i="8"/>
  <c r="H165" i="8"/>
  <c r="H159" i="8"/>
  <c r="J23" i="6"/>
  <c r="H28" i="10"/>
  <c r="U28" i="10" s="1"/>
  <c r="H27" i="11" s="1"/>
  <c r="T22" i="18"/>
  <c r="T23" i="8"/>
  <c r="G22" i="15" s="1"/>
  <c r="S20" i="18"/>
  <c r="S21" i="8"/>
  <c r="F20" i="15" s="1"/>
  <c r="F151" i="8"/>
  <c r="F162" i="8"/>
  <c r="F156" i="8"/>
  <c r="F152" i="8"/>
  <c r="F155" i="8"/>
  <c r="F157" i="8"/>
  <c r="F163" i="8"/>
  <c r="F154" i="8"/>
  <c r="F158" i="8"/>
  <c r="F153" i="8"/>
  <c r="F159" i="8"/>
  <c r="F164" i="8"/>
  <c r="F160" i="8"/>
  <c r="F161" i="8"/>
  <c r="G23" i="6"/>
  <c r="E38" i="10"/>
  <c r="R38" i="10" s="1"/>
  <c r="E37" i="11" s="1"/>
  <c r="R17" i="18"/>
  <c r="Y17" i="18" s="1"/>
  <c r="R18" i="8"/>
  <c r="E157" i="8"/>
  <c r="E158" i="8"/>
  <c r="E159" i="8"/>
  <c r="E152" i="8"/>
  <c r="E153" i="8"/>
  <c r="E155" i="8"/>
  <c r="E156" i="8"/>
  <c r="E161" i="8"/>
  <c r="E154" i="8"/>
  <c r="E160" i="8"/>
  <c r="E151" i="8"/>
  <c r="F23" i="6"/>
  <c r="O12" i="18"/>
  <c r="O13" i="8"/>
  <c r="B12" i="15" s="1"/>
  <c r="B153" i="8"/>
  <c r="B156" i="8"/>
  <c r="B154" i="8"/>
  <c r="B155" i="8"/>
  <c r="B152" i="8"/>
  <c r="K7" i="10"/>
  <c r="X7" i="10" s="1"/>
  <c r="K6" i="11" s="1"/>
  <c r="K14" i="10"/>
  <c r="X14" i="10" s="1"/>
  <c r="K13" i="11" s="1"/>
  <c r="K22" i="10"/>
  <c r="X22" i="10" s="1"/>
  <c r="K21" i="11" s="1"/>
  <c r="K15" i="10"/>
  <c r="X15" i="10" s="1"/>
  <c r="K14" i="11" s="1"/>
  <c r="K23" i="10"/>
  <c r="X23" i="10" s="1"/>
  <c r="K22" i="11" s="1"/>
  <c r="K8" i="10"/>
  <c r="X8" i="10" s="1"/>
  <c r="K7" i="11" s="1"/>
  <c r="K16" i="10"/>
  <c r="X16" i="10" s="1"/>
  <c r="K15" i="11" s="1"/>
  <c r="K24" i="10"/>
  <c r="X24" i="10" s="1"/>
  <c r="K23" i="11" s="1"/>
  <c r="K9" i="10"/>
  <c r="X9" i="10" s="1"/>
  <c r="K8" i="11" s="1"/>
  <c r="K17" i="10"/>
  <c r="X17" i="10" s="1"/>
  <c r="K16" i="11" s="1"/>
  <c r="K25" i="10"/>
  <c r="X25" i="10" s="1"/>
  <c r="K24" i="11" s="1"/>
  <c r="K10" i="10"/>
  <c r="X10" i="10" s="1"/>
  <c r="K9" i="11" s="1"/>
  <c r="K18" i="10"/>
  <c r="X18" i="10" s="1"/>
  <c r="K17" i="11" s="1"/>
  <c r="K26" i="10"/>
  <c r="X26" i="10" s="1"/>
  <c r="K25" i="11" s="1"/>
  <c r="K11" i="10"/>
  <c r="X11" i="10" s="1"/>
  <c r="K10" i="11" s="1"/>
  <c r="K19" i="10"/>
  <c r="X19" i="10" s="1"/>
  <c r="K18" i="11" s="1"/>
  <c r="K6" i="10"/>
  <c r="X6" i="10" s="1"/>
  <c r="K5" i="11" s="1"/>
  <c r="K12" i="10"/>
  <c r="X12" i="10" s="1"/>
  <c r="K11" i="11" s="1"/>
  <c r="K20" i="10"/>
  <c r="X20" i="10" s="1"/>
  <c r="K19" i="11" s="1"/>
  <c r="K13" i="10"/>
  <c r="X13" i="10" s="1"/>
  <c r="K12" i="11" s="1"/>
  <c r="K21" i="10"/>
  <c r="X21" i="10" s="1"/>
  <c r="K20" i="11" s="1"/>
  <c r="X5" i="18"/>
  <c r="X6" i="8"/>
  <c r="K5" i="15" s="1"/>
  <c r="K3" i="8"/>
  <c r="K88" i="8" s="1"/>
  <c r="J10" i="10"/>
  <c r="W10" i="10" s="1"/>
  <c r="J9" i="11" s="1"/>
  <c r="J14" i="10"/>
  <c r="W14" i="10" s="1"/>
  <c r="J13" i="11" s="1"/>
  <c r="J18" i="10"/>
  <c r="W18" i="10" s="1"/>
  <c r="J17" i="11" s="1"/>
  <c r="J22" i="10"/>
  <c r="W22" i="10" s="1"/>
  <c r="J21" i="11" s="1"/>
  <c r="J7" i="10"/>
  <c r="W7" i="10" s="1"/>
  <c r="J6" i="11" s="1"/>
  <c r="J23" i="10"/>
  <c r="W23" i="10" s="1"/>
  <c r="J22" i="11" s="1"/>
  <c r="J11" i="10"/>
  <c r="W11" i="10" s="1"/>
  <c r="J10" i="11" s="1"/>
  <c r="J15" i="10"/>
  <c r="W15" i="10" s="1"/>
  <c r="J14" i="11" s="1"/>
  <c r="J19" i="10"/>
  <c r="W19" i="10" s="1"/>
  <c r="J18" i="11" s="1"/>
  <c r="J8" i="10"/>
  <c r="W8" i="10" s="1"/>
  <c r="J7" i="11" s="1"/>
  <c r="J12" i="10"/>
  <c r="W12" i="10" s="1"/>
  <c r="J11" i="11" s="1"/>
  <c r="J16" i="10"/>
  <c r="W16" i="10" s="1"/>
  <c r="J15" i="11" s="1"/>
  <c r="J20" i="10"/>
  <c r="W20" i="10" s="1"/>
  <c r="J19" i="11" s="1"/>
  <c r="J24" i="10"/>
  <c r="W24" i="10" s="1"/>
  <c r="J23" i="11" s="1"/>
  <c r="J5" i="10"/>
  <c r="J6" i="10"/>
  <c r="W6" i="10" s="1"/>
  <c r="J5" i="11" s="1"/>
  <c r="J9" i="10"/>
  <c r="W9" i="10" s="1"/>
  <c r="J8" i="11" s="1"/>
  <c r="J13" i="10"/>
  <c r="W13" i="10" s="1"/>
  <c r="J12" i="11" s="1"/>
  <c r="J17" i="10"/>
  <c r="W17" i="10" s="1"/>
  <c r="J16" i="11" s="1"/>
  <c r="J21" i="10"/>
  <c r="W21" i="10" s="1"/>
  <c r="J20" i="11" s="1"/>
  <c r="J25" i="10"/>
  <c r="W25" i="10" s="1"/>
  <c r="J24" i="11" s="1"/>
  <c r="J3" i="8"/>
  <c r="V5" i="18"/>
  <c r="V6" i="8"/>
  <c r="I5" i="15" s="1"/>
  <c r="I14" i="10"/>
  <c r="V14" i="10" s="1"/>
  <c r="I13" i="11" s="1"/>
  <c r="I22" i="10"/>
  <c r="V22" i="10" s="1"/>
  <c r="I21" i="11" s="1"/>
  <c r="I9" i="10"/>
  <c r="V9" i="10" s="1"/>
  <c r="I8" i="11" s="1"/>
  <c r="I17" i="10"/>
  <c r="V17" i="10" s="1"/>
  <c r="I16" i="11" s="1"/>
  <c r="I25" i="10"/>
  <c r="V25" i="10" s="1"/>
  <c r="I24" i="11" s="1"/>
  <c r="I7" i="10"/>
  <c r="V7" i="10" s="1"/>
  <c r="I6" i="11" s="1"/>
  <c r="I12" i="10"/>
  <c r="V12" i="10" s="1"/>
  <c r="I11" i="11" s="1"/>
  <c r="I20" i="10"/>
  <c r="V20" i="10" s="1"/>
  <c r="I19" i="11" s="1"/>
  <c r="I15" i="10"/>
  <c r="V15" i="10" s="1"/>
  <c r="I14" i="11" s="1"/>
  <c r="I23" i="10"/>
  <c r="V23" i="10" s="1"/>
  <c r="I22" i="11" s="1"/>
  <c r="I10" i="10"/>
  <c r="V10" i="10" s="1"/>
  <c r="I9" i="11" s="1"/>
  <c r="I18" i="10"/>
  <c r="V18" i="10" s="1"/>
  <c r="I17" i="11" s="1"/>
  <c r="I26" i="10"/>
  <c r="V26" i="10" s="1"/>
  <c r="I25" i="11" s="1"/>
  <c r="I13" i="10"/>
  <c r="V13" i="10" s="1"/>
  <c r="I12" i="11" s="1"/>
  <c r="I21" i="10"/>
  <c r="V21" i="10" s="1"/>
  <c r="I20" i="11" s="1"/>
  <c r="I6" i="10"/>
  <c r="I8" i="10"/>
  <c r="V8" i="10" s="1"/>
  <c r="I7" i="11" s="1"/>
  <c r="I16" i="10"/>
  <c r="V16" i="10" s="1"/>
  <c r="I15" i="11" s="1"/>
  <c r="I24" i="10"/>
  <c r="V24" i="10" s="1"/>
  <c r="I23" i="11" s="1"/>
  <c r="I11" i="10"/>
  <c r="V11" i="10" s="1"/>
  <c r="I10" i="11" s="1"/>
  <c r="I19" i="10"/>
  <c r="V19" i="10" s="1"/>
  <c r="I18" i="11" s="1"/>
  <c r="H7" i="10"/>
  <c r="H9" i="10"/>
  <c r="U9" i="10" s="1"/>
  <c r="H8" i="11" s="1"/>
  <c r="H11" i="10"/>
  <c r="U11" i="10" s="1"/>
  <c r="H10" i="11" s="1"/>
  <c r="H13" i="10"/>
  <c r="U13" i="10" s="1"/>
  <c r="H12" i="11" s="1"/>
  <c r="H15" i="10"/>
  <c r="U15" i="10" s="1"/>
  <c r="H14" i="11" s="1"/>
  <c r="H17" i="10"/>
  <c r="U17" i="10" s="1"/>
  <c r="H16" i="11" s="1"/>
  <c r="H19" i="10"/>
  <c r="U19" i="10" s="1"/>
  <c r="H18" i="11" s="1"/>
  <c r="H21" i="10"/>
  <c r="U21" i="10" s="1"/>
  <c r="H20" i="11" s="1"/>
  <c r="H23" i="10"/>
  <c r="U23" i="10" s="1"/>
  <c r="H22" i="11" s="1"/>
  <c r="H25" i="10"/>
  <c r="U25" i="10" s="1"/>
  <c r="H24" i="11" s="1"/>
  <c r="H27" i="10"/>
  <c r="U27" i="10" s="1"/>
  <c r="H26" i="11" s="1"/>
  <c r="H8" i="10"/>
  <c r="U8" i="10" s="1"/>
  <c r="H7" i="11" s="1"/>
  <c r="H10" i="10"/>
  <c r="U10" i="10" s="1"/>
  <c r="H9" i="11" s="1"/>
  <c r="H12" i="10"/>
  <c r="U12" i="10" s="1"/>
  <c r="H11" i="11" s="1"/>
  <c r="H14" i="10"/>
  <c r="U14" i="10" s="1"/>
  <c r="H13" i="11" s="1"/>
  <c r="H16" i="10"/>
  <c r="U16" i="10" s="1"/>
  <c r="H15" i="11" s="1"/>
  <c r="H18" i="10"/>
  <c r="U18" i="10" s="1"/>
  <c r="H17" i="11" s="1"/>
  <c r="H20" i="10"/>
  <c r="U20" i="10" s="1"/>
  <c r="H19" i="11" s="1"/>
  <c r="H22" i="10"/>
  <c r="U22" i="10" s="1"/>
  <c r="H21" i="11" s="1"/>
  <c r="H24" i="10"/>
  <c r="U24" i="10" s="1"/>
  <c r="H23" i="11" s="1"/>
  <c r="H26" i="10"/>
  <c r="U26" i="10" s="1"/>
  <c r="H25" i="11" s="1"/>
  <c r="U6" i="18"/>
  <c r="U7" i="8"/>
  <c r="H6" i="15" s="1"/>
  <c r="H96" i="8"/>
  <c r="H104" i="8"/>
  <c r="H120" i="8"/>
  <c r="H128" i="8"/>
  <c r="H90" i="8"/>
  <c r="H93" i="8"/>
  <c r="H101" i="8"/>
  <c r="H109" i="8"/>
  <c r="H117" i="8"/>
  <c r="H98" i="8"/>
  <c r="H106" i="8"/>
  <c r="H91" i="8"/>
  <c r="H123" i="8"/>
  <c r="H95" i="8"/>
  <c r="H103" i="8"/>
  <c r="H143" i="8"/>
  <c r="H147" i="8"/>
  <c r="H92" i="8"/>
  <c r="H100" i="8"/>
  <c r="H99" i="8"/>
  <c r="H97" i="8"/>
  <c r="H105" i="8"/>
  <c r="H107" i="8"/>
  <c r="H94" i="8"/>
  <c r="H102" i="8"/>
  <c r="H115" i="8"/>
  <c r="H150" i="8"/>
  <c r="G8" i="10"/>
  <c r="T8" i="10" s="1"/>
  <c r="G7" i="11" s="1"/>
  <c r="G16" i="10"/>
  <c r="T16" i="10" s="1"/>
  <c r="G15" i="11" s="1"/>
  <c r="G24" i="10"/>
  <c r="T24" i="10" s="1"/>
  <c r="G23" i="11" s="1"/>
  <c r="G13" i="10"/>
  <c r="T13" i="10" s="1"/>
  <c r="G12" i="11" s="1"/>
  <c r="G21" i="10"/>
  <c r="T21" i="10" s="1"/>
  <c r="G20" i="11" s="1"/>
  <c r="G7" i="10"/>
  <c r="G10" i="10"/>
  <c r="T10" i="10" s="1"/>
  <c r="G9" i="11" s="1"/>
  <c r="G18" i="10"/>
  <c r="T18" i="10" s="1"/>
  <c r="G17" i="11" s="1"/>
  <c r="G26" i="10"/>
  <c r="T26" i="10" s="1"/>
  <c r="G25" i="11" s="1"/>
  <c r="G15" i="10"/>
  <c r="T15" i="10" s="1"/>
  <c r="G14" i="11" s="1"/>
  <c r="G23" i="10"/>
  <c r="T23" i="10" s="1"/>
  <c r="G22" i="11" s="1"/>
  <c r="G12" i="10"/>
  <c r="T12" i="10" s="1"/>
  <c r="G11" i="11" s="1"/>
  <c r="G20" i="10"/>
  <c r="T20" i="10" s="1"/>
  <c r="G19" i="11" s="1"/>
  <c r="G9" i="10"/>
  <c r="T9" i="10" s="1"/>
  <c r="G8" i="11" s="1"/>
  <c r="G17" i="10"/>
  <c r="T17" i="10" s="1"/>
  <c r="G16" i="11" s="1"/>
  <c r="G25" i="10"/>
  <c r="G14" i="10"/>
  <c r="T14" i="10" s="1"/>
  <c r="G13" i="11" s="1"/>
  <c r="G22" i="10"/>
  <c r="T22" i="10" s="1"/>
  <c r="G21" i="11" s="1"/>
  <c r="G11" i="10"/>
  <c r="T11" i="10" s="1"/>
  <c r="G10" i="11" s="1"/>
  <c r="G19" i="10"/>
  <c r="T19" i="10" s="1"/>
  <c r="G18" i="11" s="1"/>
  <c r="T6" i="18"/>
  <c r="T7" i="8"/>
  <c r="G6" i="15" s="1"/>
  <c r="G3" i="8"/>
  <c r="S6" i="18"/>
  <c r="S7" i="8"/>
  <c r="F6" i="15" s="1"/>
  <c r="F8" i="10"/>
  <c r="S8" i="10" s="1"/>
  <c r="F7" i="11" s="1"/>
  <c r="F12" i="10"/>
  <c r="S12" i="10" s="1"/>
  <c r="F11" i="11" s="1"/>
  <c r="F16" i="10"/>
  <c r="S16" i="10" s="1"/>
  <c r="F15" i="11" s="1"/>
  <c r="F20" i="10"/>
  <c r="S20" i="10" s="1"/>
  <c r="F19" i="11" s="1"/>
  <c r="F7" i="10"/>
  <c r="F11" i="10"/>
  <c r="S11" i="10" s="1"/>
  <c r="F10" i="11" s="1"/>
  <c r="F15" i="10"/>
  <c r="S15" i="10" s="1"/>
  <c r="F14" i="11" s="1"/>
  <c r="F19" i="10"/>
  <c r="S19" i="10" s="1"/>
  <c r="F18" i="11" s="1"/>
  <c r="F23" i="10"/>
  <c r="S23" i="10" s="1"/>
  <c r="F22" i="11" s="1"/>
  <c r="F10" i="10"/>
  <c r="S10" i="10" s="1"/>
  <c r="F9" i="11" s="1"/>
  <c r="F14" i="10"/>
  <c r="S14" i="10" s="1"/>
  <c r="F13" i="11" s="1"/>
  <c r="F18" i="10"/>
  <c r="S18" i="10" s="1"/>
  <c r="F17" i="11" s="1"/>
  <c r="F22" i="10"/>
  <c r="S22" i="10" s="1"/>
  <c r="F21" i="11" s="1"/>
  <c r="F9" i="10"/>
  <c r="S9" i="10" s="1"/>
  <c r="F8" i="11" s="1"/>
  <c r="F13" i="10"/>
  <c r="S13" i="10" s="1"/>
  <c r="F12" i="11" s="1"/>
  <c r="F17" i="10"/>
  <c r="S17" i="10" s="1"/>
  <c r="F16" i="11" s="1"/>
  <c r="F21" i="10"/>
  <c r="S21" i="10" s="1"/>
  <c r="F20" i="11" s="1"/>
  <c r="F94" i="8"/>
  <c r="F102" i="8"/>
  <c r="F110" i="8"/>
  <c r="F118" i="8"/>
  <c r="F126" i="8"/>
  <c r="F134" i="8"/>
  <c r="F142" i="8"/>
  <c r="F90" i="8"/>
  <c r="F115" i="8"/>
  <c r="F147" i="8"/>
  <c r="F136" i="8"/>
  <c r="F93" i="8"/>
  <c r="F101" i="8"/>
  <c r="F109" i="8"/>
  <c r="F117" i="8"/>
  <c r="F125" i="8"/>
  <c r="F133" i="8"/>
  <c r="F141" i="8"/>
  <c r="F149" i="8"/>
  <c r="F150" i="8"/>
  <c r="F91" i="8"/>
  <c r="F107" i="8"/>
  <c r="F131" i="8"/>
  <c r="F120" i="8"/>
  <c r="F92" i="8"/>
  <c r="F100" i="8"/>
  <c r="F108" i="8"/>
  <c r="F116" i="8"/>
  <c r="F124" i="8"/>
  <c r="F132" i="8"/>
  <c r="F140" i="8"/>
  <c r="F148" i="8"/>
  <c r="F99" i="8"/>
  <c r="F123" i="8"/>
  <c r="F139" i="8"/>
  <c r="F128" i="8"/>
  <c r="F98" i="8"/>
  <c r="F106" i="8"/>
  <c r="F114" i="8"/>
  <c r="F122" i="8"/>
  <c r="F130" i="8"/>
  <c r="F138" i="8"/>
  <c r="F146" i="8"/>
  <c r="F104" i="8"/>
  <c r="F97" i="8"/>
  <c r="F105" i="8"/>
  <c r="F113" i="8"/>
  <c r="F121" i="8"/>
  <c r="F129" i="8"/>
  <c r="F137" i="8"/>
  <c r="F145" i="8"/>
  <c r="F96" i="8"/>
  <c r="F144" i="8"/>
  <c r="F95" i="8"/>
  <c r="F103" i="8"/>
  <c r="F111" i="8"/>
  <c r="F119" i="8"/>
  <c r="F127" i="8"/>
  <c r="F135" i="8"/>
  <c r="F143" i="8"/>
  <c r="F112" i="8"/>
  <c r="E10" i="10"/>
  <c r="R10" i="10" s="1"/>
  <c r="E9" i="11" s="1"/>
  <c r="E9" i="10"/>
  <c r="R9" i="10" s="1"/>
  <c r="E8" i="11" s="1"/>
  <c r="E7" i="10"/>
  <c r="E8" i="10"/>
  <c r="R8" i="10" s="1"/>
  <c r="E7" i="11" s="1"/>
  <c r="E16" i="10"/>
  <c r="R16" i="10" s="1"/>
  <c r="E15" i="11" s="1"/>
  <c r="E15" i="10"/>
  <c r="R15" i="10" s="1"/>
  <c r="E14" i="11" s="1"/>
  <c r="E14" i="10"/>
  <c r="R14" i="10" s="1"/>
  <c r="E13" i="11" s="1"/>
  <c r="E13" i="10"/>
  <c r="R13" i="10" s="1"/>
  <c r="E12" i="11" s="1"/>
  <c r="E12" i="10"/>
  <c r="R12" i="10" s="1"/>
  <c r="E11" i="11" s="1"/>
  <c r="E11" i="10"/>
  <c r="R11" i="10" s="1"/>
  <c r="E10" i="11" s="1"/>
  <c r="R6" i="18"/>
  <c r="R7" i="8"/>
  <c r="E147"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6" i="8"/>
  <c r="E150" i="8"/>
  <c r="E149" i="8"/>
  <c r="E90" i="8"/>
  <c r="E145" i="8"/>
  <c r="E148" i="8"/>
  <c r="L36" i="18"/>
  <c r="D33" i="10"/>
  <c r="Q33" i="10" s="1"/>
  <c r="D32" i="11" s="1"/>
  <c r="Q6" i="8"/>
  <c r="D5" i="15" s="1"/>
  <c r="Q5" i="18"/>
  <c r="D31" i="10"/>
  <c r="Q31" i="10" s="1"/>
  <c r="D30" i="11" s="1"/>
  <c r="D29" i="10"/>
  <c r="Q29" i="10" s="1"/>
  <c r="D28" i="11" s="1"/>
  <c r="D27" i="10"/>
  <c r="Q27" i="10" s="1"/>
  <c r="D26" i="11" s="1"/>
  <c r="D32" i="10"/>
  <c r="Q32" i="10" s="1"/>
  <c r="D31" i="11" s="1"/>
  <c r="D30" i="10"/>
  <c r="Q30" i="10" s="1"/>
  <c r="D29" i="11" s="1"/>
  <c r="L35" i="18"/>
  <c r="L65" i="18"/>
  <c r="O5" i="18"/>
  <c r="O6" i="8"/>
  <c r="E29" i="10"/>
  <c r="R29" i="10" s="1"/>
  <c r="E28" i="11" s="1"/>
  <c r="E32" i="10"/>
  <c r="R32" i="10" s="1"/>
  <c r="E31" i="11" s="1"/>
  <c r="F6" i="21"/>
  <c r="E17" i="10"/>
  <c r="R17" i="10" s="1"/>
  <c r="E16" i="11" s="1"/>
  <c r="E18" i="10"/>
  <c r="R18" i="10" s="1"/>
  <c r="E17" i="11" s="1"/>
  <c r="E19" i="10"/>
  <c r="R19" i="10" s="1"/>
  <c r="E18" i="11" s="1"/>
  <c r="E20" i="10"/>
  <c r="R20" i="10" s="1"/>
  <c r="E19" i="11" s="1"/>
  <c r="E21" i="10"/>
  <c r="R21" i="10" s="1"/>
  <c r="E20" i="11" s="1"/>
  <c r="E22" i="10"/>
  <c r="R22" i="10" s="1"/>
  <c r="E21" i="11" s="1"/>
  <c r="E23" i="10"/>
  <c r="R23" i="10" s="1"/>
  <c r="E22" i="11" s="1"/>
  <c r="E24" i="10"/>
  <c r="R24" i="10" s="1"/>
  <c r="E23" i="11" s="1"/>
  <c r="E25" i="10"/>
  <c r="R25" i="10" s="1"/>
  <c r="E24" i="11" s="1"/>
  <c r="E26" i="10"/>
  <c r="R26" i="10" s="1"/>
  <c r="E25" i="11" s="1"/>
  <c r="E27" i="10"/>
  <c r="R27" i="10" s="1"/>
  <c r="E26" i="11" s="1"/>
  <c r="E31" i="10"/>
  <c r="R31" i="10" s="1"/>
  <c r="E30" i="11" s="1"/>
  <c r="E28" i="10"/>
  <c r="R28" i="10" s="1"/>
  <c r="E27" i="11" s="1"/>
  <c r="E34" i="10"/>
  <c r="R34" i="10" s="1"/>
  <c r="E33" i="11" s="1"/>
  <c r="E33" i="10"/>
  <c r="R33" i="10" s="1"/>
  <c r="E32" i="11" s="1"/>
  <c r="E35" i="10"/>
  <c r="R35" i="10" s="1"/>
  <c r="E34" i="11" s="1"/>
  <c r="E37" i="10"/>
  <c r="R37" i="10" s="1"/>
  <c r="E36" i="11" s="1"/>
  <c r="E30" i="10"/>
  <c r="R30" i="10" s="1"/>
  <c r="E29" i="11" s="1"/>
  <c r="E36" i="10"/>
  <c r="R36" i="10" s="1"/>
  <c r="E35" i="11" s="1"/>
  <c r="D34" i="10"/>
  <c r="Q34" i="10" s="1"/>
  <c r="D33" i="11" s="1"/>
  <c r="D36" i="10"/>
  <c r="Q36" i="10" s="1"/>
  <c r="D35" i="11" s="1"/>
  <c r="D38" i="10"/>
  <c r="Q38" i="10" s="1"/>
  <c r="D37" i="11" s="1"/>
  <c r="D40" i="10"/>
  <c r="Q40" i="10" s="1"/>
  <c r="D39" i="11" s="1"/>
  <c r="D42" i="10"/>
  <c r="Q42" i="10" s="1"/>
  <c r="D41" i="11" s="1"/>
  <c r="D44" i="10"/>
  <c r="Q44" i="10" s="1"/>
  <c r="D43" i="11" s="1"/>
  <c r="D46" i="10"/>
  <c r="Q46" i="10" s="1"/>
  <c r="D45" i="11" s="1"/>
  <c r="D48" i="10"/>
  <c r="Q48" i="10" s="1"/>
  <c r="D47" i="11" s="1"/>
  <c r="D53" i="10"/>
  <c r="D50" i="10"/>
  <c r="D52" i="10"/>
  <c r="D35" i="10"/>
  <c r="Q35" i="10" s="1"/>
  <c r="D34" i="11" s="1"/>
  <c r="D37" i="10"/>
  <c r="Q37" i="10" s="1"/>
  <c r="D36" i="11" s="1"/>
  <c r="D39" i="10"/>
  <c r="Q39" i="10" s="1"/>
  <c r="D38" i="11" s="1"/>
  <c r="D41" i="10"/>
  <c r="Q41" i="10" s="1"/>
  <c r="D40" i="11" s="1"/>
  <c r="D43" i="10"/>
  <c r="Q43" i="10" s="1"/>
  <c r="D42" i="11" s="1"/>
  <c r="D45" i="10"/>
  <c r="Q45" i="10" s="1"/>
  <c r="D44" i="11" s="1"/>
  <c r="D47" i="10"/>
  <c r="Q47" i="10" s="1"/>
  <c r="D46" i="11" s="1"/>
  <c r="D49" i="10"/>
  <c r="Q49" i="10" s="1"/>
  <c r="D48" i="11" s="1"/>
  <c r="D51" i="10"/>
  <c r="F28" i="10"/>
  <c r="S28" i="10" s="1"/>
  <c r="F27" i="11" s="1"/>
  <c r="F32" i="10"/>
  <c r="S32" i="10" s="1"/>
  <c r="F31" i="11" s="1"/>
  <c r="F34" i="10"/>
  <c r="S34" i="10" s="1"/>
  <c r="F33" i="11" s="1"/>
  <c r="F36" i="10"/>
  <c r="S36" i="10" s="1"/>
  <c r="F35" i="11" s="1"/>
  <c r="F38" i="10"/>
  <c r="S38" i="10" s="1"/>
  <c r="F37" i="11" s="1"/>
  <c r="F40" i="10"/>
  <c r="S40" i="10" s="1"/>
  <c r="F39" i="11" s="1"/>
  <c r="F42" i="10"/>
  <c r="S42" i="10" s="1"/>
  <c r="F41" i="11" s="1"/>
  <c r="F44" i="10"/>
  <c r="S44" i="10" s="1"/>
  <c r="F43" i="11" s="1"/>
  <c r="G6" i="21"/>
  <c r="F24" i="10"/>
  <c r="S24" i="10" s="1"/>
  <c r="F23" i="11" s="1"/>
  <c r="F25" i="10"/>
  <c r="S25" i="10" s="1"/>
  <c r="F24" i="11" s="1"/>
  <c r="F26" i="10"/>
  <c r="S26" i="10" s="1"/>
  <c r="F25" i="11" s="1"/>
  <c r="F27" i="10"/>
  <c r="S27" i="10" s="1"/>
  <c r="F26" i="11" s="1"/>
  <c r="F29" i="10"/>
  <c r="S29" i="10" s="1"/>
  <c r="F28" i="11" s="1"/>
  <c r="F31" i="10"/>
  <c r="S31" i="10" s="1"/>
  <c r="F30" i="11" s="1"/>
  <c r="F33" i="10"/>
  <c r="S33" i="10" s="1"/>
  <c r="F32" i="11" s="1"/>
  <c r="F35" i="10"/>
  <c r="S35" i="10" s="1"/>
  <c r="F34" i="11" s="1"/>
  <c r="F37" i="10"/>
  <c r="S37" i="10" s="1"/>
  <c r="F36" i="11" s="1"/>
  <c r="F39" i="10"/>
  <c r="S39" i="10" s="1"/>
  <c r="F38" i="11" s="1"/>
  <c r="F41" i="10"/>
  <c r="S41" i="10" s="1"/>
  <c r="F40" i="11" s="1"/>
  <c r="F43" i="10"/>
  <c r="S43" i="10" s="1"/>
  <c r="F42" i="11" s="1"/>
  <c r="F30" i="10"/>
  <c r="S30" i="10" s="1"/>
  <c r="F29" i="11" s="1"/>
  <c r="K34" i="10"/>
  <c r="X34" i="10" s="1"/>
  <c r="K33" i="11" s="1"/>
  <c r="K36" i="10"/>
  <c r="X36" i="10" s="1"/>
  <c r="K35" i="11" s="1"/>
  <c r="K38" i="10"/>
  <c r="X38" i="10" s="1"/>
  <c r="K37" i="11" s="1"/>
  <c r="K40" i="10"/>
  <c r="X40" i="10" s="1"/>
  <c r="K39" i="11" s="1"/>
  <c r="K42" i="10"/>
  <c r="X42" i="10" s="1"/>
  <c r="K41" i="11" s="1"/>
  <c r="K44" i="10"/>
  <c r="X44" i="10" s="1"/>
  <c r="K43" i="11" s="1"/>
  <c r="K46" i="10"/>
  <c r="X46" i="10" s="1"/>
  <c r="K45" i="11" s="1"/>
  <c r="K48" i="10"/>
  <c r="X48" i="10" s="1"/>
  <c r="K47" i="11" s="1"/>
  <c r="L6" i="21"/>
  <c r="K50" i="10"/>
  <c r="X50" i="10" s="1"/>
  <c r="K49" i="11" s="1"/>
  <c r="K53" i="10"/>
  <c r="X53" i="10" s="1"/>
  <c r="K52" i="11" s="1"/>
  <c r="K52" i="10"/>
  <c r="X52" i="10" s="1"/>
  <c r="K51" i="11" s="1"/>
  <c r="K51" i="10"/>
  <c r="X51" i="10" s="1"/>
  <c r="K50" i="11" s="1"/>
  <c r="K33" i="10"/>
  <c r="X33" i="10" s="1"/>
  <c r="K32" i="11" s="1"/>
  <c r="K35" i="10"/>
  <c r="X35" i="10" s="1"/>
  <c r="K34" i="11" s="1"/>
  <c r="K37" i="10"/>
  <c r="X37" i="10" s="1"/>
  <c r="K36" i="11" s="1"/>
  <c r="K39" i="10"/>
  <c r="X39" i="10" s="1"/>
  <c r="K38" i="11" s="1"/>
  <c r="K41" i="10"/>
  <c r="X41" i="10" s="1"/>
  <c r="K40" i="11" s="1"/>
  <c r="K43" i="10"/>
  <c r="X43" i="10" s="1"/>
  <c r="K42" i="11" s="1"/>
  <c r="K45" i="10"/>
  <c r="X45" i="10" s="1"/>
  <c r="K44" i="11" s="1"/>
  <c r="K47" i="10"/>
  <c r="X47" i="10" s="1"/>
  <c r="K46" i="11" s="1"/>
  <c r="K49" i="10"/>
  <c r="X49" i="10" s="1"/>
  <c r="K48" i="11" s="1"/>
  <c r="W31" i="18"/>
  <c r="W32" i="8"/>
  <c r="J31" i="15" s="1"/>
  <c r="K6" i="21"/>
  <c r="J32" i="10"/>
  <c r="W32" i="10" s="1"/>
  <c r="J31" i="11" s="1"/>
  <c r="J40" i="10"/>
  <c r="W40" i="10" s="1"/>
  <c r="J39" i="11" s="1"/>
  <c r="J48" i="10"/>
  <c r="W48" i="10" s="1"/>
  <c r="J47" i="11" s="1"/>
  <c r="J37" i="10"/>
  <c r="W37" i="10" s="1"/>
  <c r="J36" i="11" s="1"/>
  <c r="J45" i="10"/>
  <c r="W45" i="10" s="1"/>
  <c r="J44" i="11" s="1"/>
  <c r="J51" i="10"/>
  <c r="W51" i="10" s="1"/>
  <c r="J50" i="11" s="1"/>
  <c r="J34" i="10"/>
  <c r="W34" i="10" s="1"/>
  <c r="J33" i="11" s="1"/>
  <c r="J42" i="10"/>
  <c r="W42" i="10" s="1"/>
  <c r="J41" i="11" s="1"/>
  <c r="J39" i="10"/>
  <c r="W39" i="10" s="1"/>
  <c r="J38" i="11" s="1"/>
  <c r="J47" i="10"/>
  <c r="W47" i="10" s="1"/>
  <c r="J46" i="11" s="1"/>
  <c r="J50" i="10"/>
  <c r="W50" i="10" s="1"/>
  <c r="J49" i="11" s="1"/>
  <c r="J36" i="10"/>
  <c r="W36" i="10" s="1"/>
  <c r="J35" i="11" s="1"/>
  <c r="J44" i="10"/>
  <c r="W44" i="10" s="1"/>
  <c r="J43" i="11" s="1"/>
  <c r="J33" i="10"/>
  <c r="W33" i="10" s="1"/>
  <c r="J32" i="11" s="1"/>
  <c r="J41" i="10"/>
  <c r="W41" i="10" s="1"/>
  <c r="J40" i="11" s="1"/>
  <c r="J49" i="10"/>
  <c r="W49" i="10" s="1"/>
  <c r="J48" i="11" s="1"/>
  <c r="J43" i="10"/>
  <c r="W43" i="10" s="1"/>
  <c r="J42" i="11" s="1"/>
  <c r="J52" i="10"/>
  <c r="W52" i="10" s="1"/>
  <c r="J51" i="11" s="1"/>
  <c r="J38" i="10"/>
  <c r="W38" i="10" s="1"/>
  <c r="J37" i="11" s="1"/>
  <c r="J46" i="10"/>
  <c r="W46" i="10" s="1"/>
  <c r="J45" i="11" s="1"/>
  <c r="J35" i="10"/>
  <c r="W35" i="10" s="1"/>
  <c r="J34" i="11" s="1"/>
  <c r="I34" i="10"/>
  <c r="V34" i="10" s="1"/>
  <c r="I33" i="11" s="1"/>
  <c r="I38" i="10"/>
  <c r="V38" i="10" s="1"/>
  <c r="I37" i="11" s="1"/>
  <c r="I42" i="10"/>
  <c r="V42" i="10" s="1"/>
  <c r="I41" i="11" s="1"/>
  <c r="I46" i="10"/>
  <c r="V46" i="10" s="1"/>
  <c r="I45" i="11" s="1"/>
  <c r="I51" i="10"/>
  <c r="V51" i="10" s="1"/>
  <c r="I50" i="11" s="1"/>
  <c r="I39" i="10"/>
  <c r="V39" i="10" s="1"/>
  <c r="I38" i="11" s="1"/>
  <c r="I50" i="10"/>
  <c r="V50" i="10" s="1"/>
  <c r="I49" i="11" s="1"/>
  <c r="I43" i="10"/>
  <c r="V43" i="10" s="1"/>
  <c r="I42" i="11" s="1"/>
  <c r="J6" i="21"/>
  <c r="I33" i="10"/>
  <c r="V33" i="10" s="1"/>
  <c r="I32" i="11" s="1"/>
  <c r="I37" i="10"/>
  <c r="V37" i="10" s="1"/>
  <c r="I36" i="11" s="1"/>
  <c r="I41" i="10"/>
  <c r="V41" i="10" s="1"/>
  <c r="I40" i="11" s="1"/>
  <c r="I45" i="10"/>
  <c r="V45" i="10" s="1"/>
  <c r="I44" i="11" s="1"/>
  <c r="I49" i="10"/>
  <c r="V49" i="10" s="1"/>
  <c r="I48" i="11" s="1"/>
  <c r="I31" i="10"/>
  <c r="V31" i="10" s="1"/>
  <c r="I30" i="11" s="1"/>
  <c r="I47" i="10"/>
  <c r="V47" i="10" s="1"/>
  <c r="I46" i="11" s="1"/>
  <c r="I32" i="10"/>
  <c r="V32" i="10" s="1"/>
  <c r="I31" i="11" s="1"/>
  <c r="I36" i="10"/>
  <c r="V36" i="10" s="1"/>
  <c r="I35" i="11" s="1"/>
  <c r="I40" i="10"/>
  <c r="V40" i="10" s="1"/>
  <c r="I39" i="11" s="1"/>
  <c r="I44" i="10"/>
  <c r="V44" i="10" s="1"/>
  <c r="I43" i="11" s="1"/>
  <c r="I48" i="10"/>
  <c r="V48" i="10" s="1"/>
  <c r="I47" i="11" s="1"/>
  <c r="I35" i="10"/>
  <c r="V35" i="10" s="1"/>
  <c r="I34" i="11" s="1"/>
  <c r="V30" i="18"/>
  <c r="V31" i="8"/>
  <c r="I30" i="15" s="1"/>
  <c r="U28" i="18"/>
  <c r="Y28" i="18" s="1"/>
  <c r="U29" i="8"/>
  <c r="H35" i="10"/>
  <c r="U35" i="10" s="1"/>
  <c r="H34" i="11" s="1"/>
  <c r="H43" i="10"/>
  <c r="U43" i="10" s="1"/>
  <c r="H42" i="11" s="1"/>
  <c r="H34" i="10"/>
  <c r="U34" i="10" s="1"/>
  <c r="H33" i="11" s="1"/>
  <c r="H42" i="10"/>
  <c r="U42" i="10" s="1"/>
  <c r="H41" i="11" s="1"/>
  <c r="H33" i="10"/>
  <c r="U33" i="10" s="1"/>
  <c r="H32" i="11" s="1"/>
  <c r="H41" i="10"/>
  <c r="U41" i="10" s="1"/>
  <c r="H40" i="11" s="1"/>
  <c r="H49" i="10"/>
  <c r="U49" i="10" s="1"/>
  <c r="H48" i="11" s="1"/>
  <c r="H32" i="10"/>
  <c r="U32" i="10" s="1"/>
  <c r="H31" i="11" s="1"/>
  <c r="H40" i="10"/>
  <c r="U40" i="10" s="1"/>
  <c r="H39" i="11" s="1"/>
  <c r="H48" i="10"/>
  <c r="U48" i="10" s="1"/>
  <c r="H47" i="11" s="1"/>
  <c r="H31" i="10"/>
  <c r="U31" i="10" s="1"/>
  <c r="H30" i="11" s="1"/>
  <c r="H39" i="10"/>
  <c r="U39" i="10" s="1"/>
  <c r="H38" i="11" s="1"/>
  <c r="H47" i="10"/>
  <c r="U47" i="10" s="1"/>
  <c r="H46" i="11" s="1"/>
  <c r="I6" i="21"/>
  <c r="H30" i="10"/>
  <c r="U30" i="10" s="1"/>
  <c r="H29" i="11" s="1"/>
  <c r="H38" i="10"/>
  <c r="U38" i="10" s="1"/>
  <c r="H37" i="11" s="1"/>
  <c r="H46" i="10"/>
  <c r="U46" i="10" s="1"/>
  <c r="H45" i="11" s="1"/>
  <c r="H29" i="10"/>
  <c r="U29" i="10" s="1"/>
  <c r="H28" i="11" s="1"/>
  <c r="H37" i="10"/>
  <c r="U37" i="10" s="1"/>
  <c r="H36" i="11" s="1"/>
  <c r="H45" i="10"/>
  <c r="U45" i="10" s="1"/>
  <c r="H44" i="11" s="1"/>
  <c r="H36" i="10"/>
  <c r="U36" i="10" s="1"/>
  <c r="H35" i="11" s="1"/>
  <c r="H44" i="10"/>
  <c r="U44" i="10" s="1"/>
  <c r="H43" i="11" s="1"/>
  <c r="L58" i="18"/>
  <c r="H6" i="21"/>
  <c r="G27" i="10"/>
  <c r="T27" i="10" s="1"/>
  <c r="G26" i="11" s="1"/>
  <c r="G28" i="10"/>
  <c r="T28" i="10" s="1"/>
  <c r="G27" i="11" s="1"/>
  <c r="G29" i="10"/>
  <c r="T29" i="10" s="1"/>
  <c r="G28" i="11" s="1"/>
  <c r="G30" i="10"/>
  <c r="T30" i="10" s="1"/>
  <c r="G29" i="11" s="1"/>
  <c r="G31" i="10"/>
  <c r="T31" i="10" s="1"/>
  <c r="G30" i="11" s="1"/>
  <c r="G32" i="10"/>
  <c r="T32" i="10" s="1"/>
  <c r="G31" i="11" s="1"/>
  <c r="G33" i="10"/>
  <c r="T33" i="10" s="1"/>
  <c r="G32" i="11" s="1"/>
  <c r="G34" i="10"/>
  <c r="T34" i="10" s="1"/>
  <c r="G33" i="11" s="1"/>
  <c r="G35" i="10"/>
  <c r="T35" i="10" s="1"/>
  <c r="G34" i="11" s="1"/>
  <c r="G36" i="10"/>
  <c r="T36" i="10" s="1"/>
  <c r="G35" i="11" s="1"/>
  <c r="G37" i="10"/>
  <c r="T37" i="10" s="1"/>
  <c r="G36" i="11" s="1"/>
  <c r="G38" i="10"/>
  <c r="T38" i="10" s="1"/>
  <c r="G37" i="11" s="1"/>
  <c r="G39" i="10"/>
  <c r="T39" i="10" s="1"/>
  <c r="G38" i="11" s="1"/>
  <c r="G40" i="10"/>
  <c r="T40" i="10" s="1"/>
  <c r="G39" i="11" s="1"/>
  <c r="G41" i="10"/>
  <c r="T41" i="10" s="1"/>
  <c r="G40" i="11" s="1"/>
  <c r="G42" i="10"/>
  <c r="T42" i="10" s="1"/>
  <c r="G41" i="11" s="1"/>
  <c r="G43" i="10"/>
  <c r="T43" i="10" s="1"/>
  <c r="G42" i="11" s="1"/>
  <c r="G44" i="10"/>
  <c r="T44" i="10" s="1"/>
  <c r="G43" i="11" s="1"/>
  <c r="G45" i="10"/>
  <c r="T45" i="10" s="1"/>
  <c r="G44" i="11" s="1"/>
  <c r="G46" i="10"/>
  <c r="T46" i="10" s="1"/>
  <c r="G45" i="11" s="1"/>
  <c r="G47" i="10"/>
  <c r="T47" i="10" s="1"/>
  <c r="G46" i="11" s="1"/>
  <c r="T26" i="18"/>
  <c r="T27" i="8"/>
  <c r="H56" i="18"/>
  <c r="I56" i="18" s="1"/>
  <c r="J56" i="18" s="1"/>
  <c r="K56" i="18" s="1"/>
  <c r="C36" i="10"/>
  <c r="P36" i="10" s="1"/>
  <c r="C35" i="11" s="1"/>
  <c r="C44" i="10"/>
  <c r="P44" i="10" s="1"/>
  <c r="C43" i="11" s="1"/>
  <c r="C37" i="10"/>
  <c r="P37" i="10" s="1"/>
  <c r="C36" i="11" s="1"/>
  <c r="C45" i="10"/>
  <c r="P45" i="10" s="1"/>
  <c r="C44" i="11" s="1"/>
  <c r="C43" i="10"/>
  <c r="P43" i="10" s="1"/>
  <c r="C42" i="11" s="1"/>
  <c r="C30" i="10"/>
  <c r="P30" i="10" s="1"/>
  <c r="C29" i="11" s="1"/>
  <c r="C38" i="10"/>
  <c r="P38" i="10" s="1"/>
  <c r="C37" i="11" s="1"/>
  <c r="C46" i="10"/>
  <c r="C31" i="10"/>
  <c r="P31" i="10" s="1"/>
  <c r="C30" i="11" s="1"/>
  <c r="C39" i="10"/>
  <c r="P39" i="10" s="1"/>
  <c r="C38" i="11" s="1"/>
  <c r="C47" i="10"/>
  <c r="C32" i="10"/>
  <c r="P32" i="10" s="1"/>
  <c r="C31" i="11" s="1"/>
  <c r="C40" i="10"/>
  <c r="P40" i="10" s="1"/>
  <c r="C39" i="11" s="1"/>
  <c r="C48" i="10"/>
  <c r="C33" i="10"/>
  <c r="P33" i="10" s="1"/>
  <c r="C32" i="11" s="1"/>
  <c r="C41" i="10"/>
  <c r="P41" i="10" s="1"/>
  <c r="C40" i="11" s="1"/>
  <c r="C49" i="10"/>
  <c r="C34" i="10"/>
  <c r="P34" i="10" s="1"/>
  <c r="C33" i="11" s="1"/>
  <c r="C42" i="10"/>
  <c r="P42" i="10" s="1"/>
  <c r="C41" i="11" s="1"/>
  <c r="C35" i="10"/>
  <c r="P35" i="10" s="1"/>
  <c r="C34" i="11" s="1"/>
  <c r="O64" i="10"/>
  <c r="L64" i="10"/>
  <c r="O60" i="10"/>
  <c r="L60" i="10"/>
  <c r="O70" i="10"/>
  <c r="L70" i="10"/>
  <c r="O67" i="10"/>
  <c r="L67" i="10"/>
  <c r="O62" i="10"/>
  <c r="L62" i="10"/>
  <c r="O59" i="10"/>
  <c r="L59" i="10"/>
  <c r="O54" i="10"/>
  <c r="L54" i="10"/>
  <c r="O66" i="10"/>
  <c r="L66" i="10"/>
  <c r="O72" i="10"/>
  <c r="L72" i="10"/>
  <c r="O56" i="10"/>
  <c r="L56" i="10"/>
  <c r="O58" i="10"/>
  <c r="L58" i="10"/>
  <c r="O160" i="18"/>
  <c r="O162" i="18"/>
  <c r="O163" i="18"/>
  <c r="O157" i="18"/>
  <c r="O158" i="18"/>
  <c r="O159" i="18"/>
  <c r="O155" i="18"/>
  <c r="O161" i="18"/>
  <c r="O164" i="18"/>
  <c r="O156" i="18"/>
  <c r="O165" i="18"/>
  <c r="O158" i="8"/>
  <c r="O164" i="8"/>
  <c r="O166" i="8"/>
  <c r="O165" i="8"/>
  <c r="O157" i="8"/>
  <c r="O163" i="8"/>
  <c r="O160" i="8"/>
  <c r="O156" i="8"/>
  <c r="O159" i="8"/>
  <c r="O161" i="8"/>
  <c r="O162" i="8"/>
  <c r="O71" i="10"/>
  <c r="L71" i="10"/>
  <c r="O69" i="10"/>
  <c r="L69" i="10"/>
  <c r="O73" i="10"/>
  <c r="L73" i="10"/>
  <c r="O32" i="18"/>
  <c r="O33" i="8"/>
  <c r="B32" i="15" s="1"/>
  <c r="O63" i="10"/>
  <c r="L63" i="10"/>
  <c r="O61" i="10"/>
  <c r="L61" i="10"/>
  <c r="O65" i="10"/>
  <c r="L65" i="10"/>
  <c r="O55" i="10"/>
  <c r="L55" i="10"/>
  <c r="O68" i="10"/>
  <c r="L68" i="10"/>
  <c r="O57" i="10"/>
  <c r="L57" i="10"/>
  <c r="O154" i="18"/>
  <c r="O153" i="18"/>
  <c r="O152" i="18"/>
  <c r="O149" i="18"/>
  <c r="O151" i="18"/>
  <c r="O150" i="18"/>
  <c r="O148" i="18"/>
  <c r="O150" i="8"/>
  <c r="O154" i="8"/>
  <c r="O152" i="8"/>
  <c r="O153" i="8"/>
  <c r="O151" i="8"/>
  <c r="O155" i="8"/>
  <c r="O149" i="8"/>
  <c r="O11" i="18"/>
  <c r="Y11" i="18" s="1"/>
  <c r="O12" i="8"/>
  <c r="Q15" i="10"/>
  <c r="Q14" i="10"/>
  <c r="O36" i="10"/>
  <c r="B35" i="11" s="1"/>
  <c r="O32" i="10"/>
  <c r="U51" i="10"/>
  <c r="H50" i="11" s="1"/>
  <c r="U50" i="10"/>
  <c r="H49" i="11" s="1"/>
  <c r="Q22" i="10"/>
  <c r="O42" i="10"/>
  <c r="B41" i="11" s="1"/>
  <c r="O26" i="10"/>
  <c r="O41" i="10"/>
  <c r="B40" i="11" s="1"/>
  <c r="S6" i="10"/>
  <c r="Q11" i="10"/>
  <c r="O35" i="10"/>
  <c r="B34" i="11" s="1"/>
  <c r="O37" i="10"/>
  <c r="B36" i="11" s="1"/>
  <c r="T25" i="10"/>
  <c r="G24" i="11" s="1"/>
  <c r="Q20" i="10"/>
  <c r="Q24" i="10"/>
  <c r="O44" i="10"/>
  <c r="B43" i="11" s="1"/>
  <c r="O31" i="10"/>
  <c r="W53" i="10"/>
  <c r="J52" i="11" s="1"/>
  <c r="Q17" i="10"/>
  <c r="Q21" i="10"/>
  <c r="O28" i="10"/>
  <c r="O38" i="10"/>
  <c r="B37" i="11" s="1"/>
  <c r="V52" i="10"/>
  <c r="I51" i="11" s="1"/>
  <c r="V53" i="10"/>
  <c r="I52" i="11" s="1"/>
  <c r="Q23" i="10"/>
  <c r="O43" i="10"/>
  <c r="B42" i="11" s="1"/>
  <c r="O45" i="10"/>
  <c r="B44" i="11" s="1"/>
  <c r="Q5" i="10"/>
  <c r="Q8" i="10"/>
  <c r="D7" i="11" s="1"/>
  <c r="Q6" i="10"/>
  <c r="D5" i="11" s="1"/>
  <c r="Q7" i="10"/>
  <c r="D6" i="11" s="1"/>
  <c r="Q16" i="10"/>
  <c r="Q13" i="10"/>
  <c r="O29" i="10"/>
  <c r="O39" i="10"/>
  <c r="B38" i="11" s="1"/>
  <c r="O40" i="10"/>
  <c r="B39" i="11" s="1"/>
  <c r="Q25" i="10"/>
  <c r="Q19" i="10"/>
  <c r="Q18" i="10"/>
  <c r="O34" i="10"/>
  <c r="B33" i="11" s="1"/>
  <c r="O27" i="10"/>
  <c r="O30" i="10"/>
  <c r="X17" i="6"/>
  <c r="V101" i="18" s="1"/>
  <c r="L62" i="18"/>
  <c r="V32" i="18"/>
  <c r="V33" i="8"/>
  <c r="I32" i="15" s="1"/>
  <c r="T23" i="18"/>
  <c r="T24" i="8"/>
  <c r="G23" i="15" s="1"/>
  <c r="S23" i="18"/>
  <c r="S24" i="8"/>
  <c r="G53" i="18"/>
  <c r="H53" i="18" s="1"/>
  <c r="I53" i="18" s="1"/>
  <c r="J53" i="18" s="1"/>
  <c r="K53" i="18" s="1"/>
  <c r="R16" i="18"/>
  <c r="Y16" i="18" s="1"/>
  <c r="R17" i="8"/>
  <c r="F46" i="18"/>
  <c r="G46" i="18" s="1"/>
  <c r="H46" i="18" s="1"/>
  <c r="I46" i="18" s="1"/>
  <c r="J46" i="18" s="1"/>
  <c r="K46" i="18" s="1"/>
  <c r="P151" i="18"/>
  <c r="P152" i="8"/>
  <c r="P8" i="18"/>
  <c r="Y8" i="18" s="1"/>
  <c r="P9" i="8"/>
  <c r="X4" i="18"/>
  <c r="X5" i="8"/>
  <c r="K4" i="15" s="1"/>
  <c r="W4" i="18"/>
  <c r="W5" i="8"/>
  <c r="J4" i="15" s="1"/>
  <c r="V4" i="18"/>
  <c r="V5" i="8"/>
  <c r="I4" i="15" s="1"/>
  <c r="V105" i="18"/>
  <c r="V88" i="8"/>
  <c r="V100" i="18"/>
  <c r="V95" i="18"/>
  <c r="V104" i="18"/>
  <c r="V87" i="18"/>
  <c r="V88" i="18"/>
  <c r="V89" i="18"/>
  <c r="V108" i="18"/>
  <c r="V90" i="8"/>
  <c r="V102" i="18"/>
  <c r="V92" i="18"/>
  <c r="V97" i="18"/>
  <c r="V103" i="18"/>
  <c r="V90" i="18"/>
  <c r="V107" i="8"/>
  <c r="V105" i="8"/>
  <c r="V100" i="8"/>
  <c r="V102" i="8"/>
  <c r="V93" i="8"/>
  <c r="V99" i="8"/>
  <c r="V92" i="8"/>
  <c r="V94" i="8"/>
  <c r="V95" i="8"/>
  <c r="V91" i="8"/>
  <c r="V96" i="8"/>
  <c r="V103" i="8"/>
  <c r="V97" i="8"/>
  <c r="V104" i="8"/>
  <c r="V109" i="8"/>
  <c r="V106" i="8"/>
  <c r="V98" i="8"/>
  <c r="V108" i="8"/>
  <c r="V101" i="8"/>
  <c r="U92" i="18"/>
  <c r="U93" i="18"/>
  <c r="U96" i="18"/>
  <c r="U94" i="18"/>
  <c r="U100" i="18"/>
  <c r="U105" i="18"/>
  <c r="U98" i="18"/>
  <c r="U102" i="18"/>
  <c r="U87" i="18"/>
  <c r="U103" i="18"/>
  <c r="U106" i="18"/>
  <c r="U101" i="18"/>
  <c r="U89" i="18"/>
  <c r="U104" i="18"/>
  <c r="U111" i="18"/>
  <c r="U95" i="18"/>
  <c r="U91" i="18"/>
  <c r="U99" i="18"/>
  <c r="U88" i="18"/>
  <c r="U97" i="18"/>
  <c r="U88" i="8"/>
  <c r="U90" i="18"/>
  <c r="U89" i="8"/>
  <c r="U90" i="8"/>
  <c r="U103" i="8"/>
  <c r="U99" i="8"/>
  <c r="U96" i="8"/>
  <c r="U91" i="8"/>
  <c r="U109" i="8"/>
  <c r="U104" i="8"/>
  <c r="U92" i="8"/>
  <c r="U106" i="8"/>
  <c r="U100" i="8"/>
  <c r="U107" i="8"/>
  <c r="U108" i="8"/>
  <c r="U94" i="8"/>
  <c r="U97" i="8"/>
  <c r="U93" i="8"/>
  <c r="U102" i="8"/>
  <c r="U105" i="8"/>
  <c r="U101" i="8"/>
  <c r="U95" i="8"/>
  <c r="U98" i="8"/>
  <c r="U113" i="8"/>
  <c r="U4" i="18"/>
  <c r="U5" i="8"/>
  <c r="H4" i="15" s="1"/>
  <c r="T4" i="18"/>
  <c r="T5" i="8"/>
  <c r="G4" i="15" s="1"/>
  <c r="T101" i="18"/>
  <c r="T94" i="18"/>
  <c r="T96" i="18"/>
  <c r="T100" i="18"/>
  <c r="T98" i="18"/>
  <c r="T87" i="18"/>
  <c r="T102" i="18"/>
  <c r="T106" i="18"/>
  <c r="T90" i="18"/>
  <c r="T105" i="18"/>
  <c r="T97" i="18"/>
  <c r="T99" i="18"/>
  <c r="T88" i="18"/>
  <c r="T103" i="18"/>
  <c r="T104" i="18"/>
  <c r="T93" i="18"/>
  <c r="T95" i="18"/>
  <c r="T92" i="18"/>
  <c r="T89" i="18"/>
  <c r="T91" i="18"/>
  <c r="T90" i="8"/>
  <c r="T88" i="8"/>
  <c r="T89" i="8"/>
  <c r="T106" i="8"/>
  <c r="T94" i="8"/>
  <c r="T91" i="8"/>
  <c r="T102" i="8"/>
  <c r="T99" i="8"/>
  <c r="T95" i="8"/>
  <c r="T107" i="8"/>
  <c r="T103" i="8"/>
  <c r="T100" i="8"/>
  <c r="T96" i="8"/>
  <c r="T92" i="8"/>
  <c r="T104" i="8"/>
  <c r="T93" i="8"/>
  <c r="T97" i="8"/>
  <c r="T98" i="8"/>
  <c r="T101" i="8"/>
  <c r="T105" i="8"/>
  <c r="S91" i="18"/>
  <c r="S92" i="18"/>
  <c r="S97" i="18"/>
  <c r="S94" i="18"/>
  <c r="S102" i="18"/>
  <c r="S96" i="18"/>
  <c r="S99" i="18"/>
  <c r="S98" i="18"/>
  <c r="S89" i="18"/>
  <c r="S100" i="18"/>
  <c r="S101" i="18"/>
  <c r="S104" i="18"/>
  <c r="S90" i="18"/>
  <c r="S88" i="18"/>
  <c r="S95" i="18"/>
  <c r="S87" i="18"/>
  <c r="S93" i="18"/>
  <c r="S89" i="8"/>
  <c r="S90" i="8"/>
  <c r="S88" i="8"/>
  <c r="S100" i="8"/>
  <c r="S102" i="8"/>
  <c r="S97" i="8"/>
  <c r="S99" i="8"/>
  <c r="S96" i="8"/>
  <c r="S95" i="8"/>
  <c r="S93" i="8"/>
  <c r="S101" i="8"/>
  <c r="S98" i="8"/>
  <c r="S94" i="8"/>
  <c r="S91" i="8"/>
  <c r="S92" i="8"/>
  <c r="S103" i="8"/>
  <c r="S4" i="18"/>
  <c r="S5" i="8"/>
  <c r="F4" i="15" s="1"/>
  <c r="R88" i="18"/>
  <c r="R93" i="18"/>
  <c r="R90" i="18"/>
  <c r="R95" i="18"/>
  <c r="R98" i="18"/>
  <c r="R88" i="8"/>
  <c r="R94" i="18"/>
  <c r="R89" i="18"/>
  <c r="R91" i="18"/>
  <c r="R90" i="8"/>
  <c r="R92" i="18"/>
  <c r="R89" i="8"/>
  <c r="R87" i="18"/>
  <c r="R96" i="18"/>
  <c r="R97" i="18"/>
  <c r="R102" i="18"/>
  <c r="R99" i="18"/>
  <c r="R100" i="18"/>
  <c r="R101" i="18"/>
  <c r="R93" i="8"/>
  <c r="R95" i="8"/>
  <c r="R96" i="8"/>
  <c r="R101" i="8"/>
  <c r="R94" i="8"/>
  <c r="R103" i="8"/>
  <c r="R97" i="8"/>
  <c r="R102" i="8"/>
  <c r="R98" i="8"/>
  <c r="R99" i="8"/>
  <c r="R91" i="8"/>
  <c r="R100" i="8"/>
  <c r="R92" i="8"/>
  <c r="R5" i="8"/>
  <c r="E4" i="15" s="1"/>
  <c r="R4" i="18"/>
  <c r="Q87" i="18"/>
  <c r="Q91" i="18"/>
  <c r="Q92" i="18"/>
  <c r="Q88" i="8"/>
  <c r="Q89" i="8"/>
  <c r="Q89" i="18"/>
  <c r="Q88" i="18"/>
  <c r="Q90" i="18"/>
  <c r="Q94" i="18"/>
  <c r="Q93" i="18"/>
  <c r="Q90" i="8"/>
  <c r="Q91" i="8"/>
  <c r="Q92" i="8"/>
  <c r="Q93" i="8"/>
  <c r="Q94" i="8"/>
  <c r="Q95" i="8"/>
  <c r="Q5" i="8"/>
  <c r="D4" i="15" s="1"/>
  <c r="Q4" i="18"/>
  <c r="P89" i="18"/>
  <c r="P87" i="18"/>
  <c r="P88" i="18"/>
  <c r="P90" i="8"/>
  <c r="P88" i="8"/>
  <c r="P89" i="8"/>
  <c r="P4" i="18"/>
  <c r="P5" i="8"/>
  <c r="C4" i="15" s="1"/>
  <c r="L61" i="18"/>
  <c r="U113" i="18"/>
  <c r="U141" i="18"/>
  <c r="U128" i="18"/>
  <c r="U151" i="8"/>
  <c r="U153" i="8"/>
  <c r="U127" i="8"/>
  <c r="U137" i="18"/>
  <c r="U165" i="18"/>
  <c r="U143" i="8"/>
  <c r="U138" i="8"/>
  <c r="U120" i="8"/>
  <c r="U131" i="18"/>
  <c r="U129" i="18"/>
  <c r="U136" i="8"/>
  <c r="U123" i="8"/>
  <c r="U138" i="18"/>
  <c r="U115" i="18"/>
  <c r="U157" i="18"/>
  <c r="U122" i="8"/>
  <c r="U118" i="8"/>
  <c r="U124" i="18"/>
  <c r="U158" i="18"/>
  <c r="U120" i="18"/>
  <c r="U165" i="8"/>
  <c r="U149" i="8"/>
  <c r="U143" i="18"/>
  <c r="U119" i="18"/>
  <c r="U153" i="18"/>
  <c r="U117" i="8"/>
  <c r="U141" i="8"/>
  <c r="U127" i="18"/>
  <c r="U116" i="18"/>
  <c r="U133" i="18"/>
  <c r="U163" i="8"/>
  <c r="U156" i="8"/>
  <c r="U117" i="18"/>
  <c r="U160" i="8"/>
  <c r="U161" i="8"/>
  <c r="U114" i="18"/>
  <c r="U158" i="8"/>
  <c r="Y32" i="14"/>
  <c r="U30" i="18"/>
  <c r="U31" i="8"/>
  <c r="W32" i="18"/>
  <c r="W33" i="8"/>
  <c r="Q12" i="18"/>
  <c r="Q13" i="8"/>
  <c r="T24" i="18"/>
  <c r="T25" i="8"/>
  <c r="Z17" i="6"/>
  <c r="Y17" i="6"/>
  <c r="R141" i="18"/>
  <c r="R116" i="18"/>
  <c r="R118" i="18"/>
  <c r="R128" i="18"/>
  <c r="R113" i="18"/>
  <c r="R122" i="18"/>
  <c r="R123" i="8"/>
  <c r="R154" i="8"/>
  <c r="R147" i="8"/>
  <c r="R124" i="8"/>
  <c r="R133" i="8"/>
  <c r="R121" i="8"/>
  <c r="R148" i="8"/>
  <c r="R109" i="18"/>
  <c r="R105" i="18"/>
  <c r="R147" i="18"/>
  <c r="R142" i="18"/>
  <c r="R154" i="18"/>
  <c r="R152" i="18"/>
  <c r="R151" i="8"/>
  <c r="R117" i="8"/>
  <c r="R150" i="8"/>
  <c r="R112" i="8"/>
  <c r="R144" i="8"/>
  <c r="R140" i="8"/>
  <c r="R134" i="8"/>
  <c r="R146" i="18"/>
  <c r="R107" i="18"/>
  <c r="R145" i="18"/>
  <c r="R104" i="18"/>
  <c r="R103" i="18"/>
  <c r="R121" i="18"/>
  <c r="R104" i="8"/>
  <c r="R149" i="8"/>
  <c r="R152" i="8"/>
  <c r="R131" i="8"/>
  <c r="R122" i="8"/>
  <c r="R111" i="8"/>
  <c r="R129" i="8"/>
  <c r="R149" i="18"/>
  <c r="R110" i="18"/>
  <c r="R129" i="18"/>
  <c r="R144" i="18"/>
  <c r="R115" i="18"/>
  <c r="R135" i="18"/>
  <c r="R120" i="18"/>
  <c r="R142" i="8"/>
  <c r="R108" i="8"/>
  <c r="R139" i="8"/>
  <c r="R119" i="8"/>
  <c r="R145" i="8"/>
  <c r="R127" i="8"/>
  <c r="R146" i="8"/>
  <c r="R106" i="18"/>
  <c r="R134" i="18"/>
  <c r="R123" i="18"/>
  <c r="R143" i="18"/>
  <c r="R150" i="18"/>
  <c r="R133" i="18"/>
  <c r="R125" i="18"/>
  <c r="R135" i="8"/>
  <c r="R155" i="8"/>
  <c r="R114" i="8"/>
  <c r="R156" i="8"/>
  <c r="R116" i="8"/>
  <c r="R132" i="8"/>
  <c r="R113" i="8"/>
  <c r="R140" i="18"/>
  <c r="R127" i="18"/>
  <c r="R112" i="18"/>
  <c r="R132" i="18"/>
  <c r="R111" i="18"/>
  <c r="R130" i="18"/>
  <c r="R136" i="18"/>
  <c r="R106" i="8"/>
  <c r="R130" i="8"/>
  <c r="R110" i="8"/>
  <c r="R128" i="8"/>
  <c r="R137" i="8"/>
  <c r="R125" i="8"/>
  <c r="R148" i="18"/>
  <c r="R139" i="18"/>
  <c r="R153" i="18"/>
  <c r="R126" i="18"/>
  <c r="R117" i="18"/>
  <c r="R108" i="18"/>
  <c r="R155" i="18"/>
  <c r="R138" i="8"/>
  <c r="R120" i="8"/>
  <c r="R136" i="8"/>
  <c r="R141" i="8"/>
  <c r="R105" i="8"/>
  <c r="R153" i="8"/>
  <c r="R114" i="18"/>
  <c r="R143" i="8"/>
  <c r="R124" i="18"/>
  <c r="R151" i="18"/>
  <c r="R107" i="8"/>
  <c r="R131" i="18"/>
  <c r="R126" i="8"/>
  <c r="R119" i="18"/>
  <c r="R115" i="8"/>
  <c r="R138" i="18"/>
  <c r="R118" i="8"/>
  <c r="R161" i="18"/>
  <c r="R159" i="18"/>
  <c r="R162" i="18"/>
  <c r="R160" i="18"/>
  <c r="R163" i="18"/>
  <c r="R137" i="18"/>
  <c r="R158" i="18"/>
  <c r="R109" i="8"/>
  <c r="R157" i="18"/>
  <c r="R156" i="18"/>
  <c r="R160" i="8"/>
  <c r="R163" i="8"/>
  <c r="R162" i="8"/>
  <c r="R159" i="8"/>
  <c r="R164" i="8"/>
  <c r="R161" i="8"/>
  <c r="R157" i="8"/>
  <c r="R158" i="8"/>
  <c r="B32" i="11"/>
  <c r="T164" i="18"/>
  <c r="T146" i="8"/>
  <c r="T153" i="8"/>
  <c r="T161" i="18"/>
  <c r="T161" i="8"/>
  <c r="T163" i="8"/>
  <c r="T128" i="18"/>
  <c r="T151" i="8"/>
  <c r="T115" i="8"/>
  <c r="T108" i="18"/>
  <c r="T129" i="8"/>
  <c r="T117" i="8"/>
  <c r="T116" i="8"/>
  <c r="T137" i="8"/>
  <c r="T112" i="18"/>
  <c r="T139" i="8"/>
  <c r="T127" i="18"/>
  <c r="T154" i="8"/>
  <c r="T162" i="8"/>
  <c r="T140" i="18"/>
  <c r="T148" i="8"/>
  <c r="T151" i="18"/>
  <c r="T110" i="18"/>
  <c r="T118" i="18"/>
  <c r="T166" i="8"/>
  <c r="T130" i="8"/>
  <c r="T159" i="8"/>
  <c r="T141" i="8"/>
  <c r="T158" i="8"/>
  <c r="T134" i="8"/>
  <c r="T159" i="18"/>
  <c r="T124" i="8"/>
  <c r="T126" i="18"/>
  <c r="T147" i="8"/>
  <c r="T135" i="18"/>
  <c r="T155" i="8"/>
  <c r="T162" i="18"/>
  <c r="T160" i="18"/>
  <c r="T143" i="18"/>
  <c r="T163" i="18"/>
  <c r="T157" i="18"/>
  <c r="T165" i="18"/>
  <c r="T109" i="18"/>
  <c r="T129" i="18"/>
  <c r="T123" i="8"/>
  <c r="T143" i="8"/>
  <c r="T118" i="8"/>
  <c r="T136" i="8"/>
  <c r="T164" i="8"/>
  <c r="T165" i="8"/>
  <c r="T125" i="18"/>
  <c r="T158" i="18"/>
  <c r="T132" i="8"/>
  <c r="T142" i="18"/>
  <c r="T140" i="8"/>
  <c r="T152" i="18"/>
  <c r="T117" i="18"/>
  <c r="T113" i="18"/>
  <c r="T135" i="8"/>
  <c r="T110" i="8"/>
  <c r="T133" i="8"/>
  <c r="T150" i="18"/>
  <c r="T157" i="8"/>
  <c r="T160" i="8"/>
  <c r="T121" i="18"/>
  <c r="T134" i="18"/>
  <c r="T141" i="18"/>
  <c r="T137" i="18"/>
  <c r="T115" i="18"/>
  <c r="T107" i="18"/>
  <c r="T119" i="18"/>
  <c r="T120" i="18"/>
  <c r="T131" i="8"/>
  <c r="T128" i="8"/>
  <c r="T156" i="8"/>
  <c r="T152" i="8"/>
  <c r="T138" i="8"/>
  <c r="T150" i="8"/>
  <c r="T138" i="18"/>
  <c r="T124" i="18"/>
  <c r="T146" i="18"/>
  <c r="T132" i="18"/>
  <c r="T114" i="8"/>
  <c r="T114" i="18"/>
  <c r="T139" i="18"/>
  <c r="T112" i="8"/>
  <c r="T147" i="18"/>
  <c r="T116" i="18"/>
  <c r="T125" i="8"/>
  <c r="T148" i="18"/>
  <c r="T149" i="8"/>
  <c r="T153" i="18"/>
  <c r="T127" i="8"/>
  <c r="T113" i="8"/>
  <c r="T122" i="18"/>
  <c r="T156" i="18"/>
  <c r="T126" i="8"/>
  <c r="T136" i="18"/>
  <c r="T108" i="8"/>
  <c r="T133" i="18"/>
  <c r="T121" i="8"/>
  <c r="T120" i="8"/>
  <c r="T144" i="8"/>
  <c r="T111" i="18"/>
  <c r="T145" i="18"/>
  <c r="T119" i="8"/>
  <c r="T123" i="18"/>
  <c r="T109" i="8"/>
  <c r="T144" i="18"/>
  <c r="T130" i="18"/>
  <c r="T111" i="8"/>
  <c r="T155" i="18"/>
  <c r="T131" i="18"/>
  <c r="T154" i="18"/>
  <c r="T122" i="8"/>
  <c r="T145" i="8"/>
  <c r="T149" i="18"/>
  <c r="T142" i="8"/>
  <c r="X32" i="18"/>
  <c r="X33" i="8"/>
  <c r="K32" i="15" s="1"/>
  <c r="R20" i="18"/>
  <c r="R21" i="8"/>
  <c r="O95" i="18"/>
  <c r="O88" i="18"/>
  <c r="O104" i="18"/>
  <c r="O103" i="18"/>
  <c r="O101" i="18"/>
  <c r="O106" i="18"/>
  <c r="O87" i="18"/>
  <c r="O91" i="18"/>
  <c r="O93" i="18"/>
  <c r="O88" i="8"/>
  <c r="O95" i="8"/>
  <c r="O102" i="18"/>
  <c r="O92" i="18"/>
  <c r="O97" i="18"/>
  <c r="O100" i="18"/>
  <c r="O89" i="8"/>
  <c r="O99" i="18"/>
  <c r="O142" i="18"/>
  <c r="O139" i="18"/>
  <c r="O89" i="18"/>
  <c r="O132" i="18"/>
  <c r="O105" i="18"/>
  <c r="O140" i="18"/>
  <c r="O130" i="18"/>
  <c r="O145" i="18"/>
  <c r="O123" i="18"/>
  <c r="O144" i="18"/>
  <c r="O131" i="18"/>
  <c r="O94" i="18"/>
  <c r="O128" i="18"/>
  <c r="O108" i="18"/>
  <c r="O112" i="18"/>
  <c r="O127" i="18"/>
  <c r="O118" i="18"/>
  <c r="O126" i="18"/>
  <c r="O135" i="18"/>
  <c r="O143" i="18"/>
  <c r="O109" i="18"/>
  <c r="O129" i="18"/>
  <c r="O125" i="18"/>
  <c r="O117" i="18"/>
  <c r="O121" i="18"/>
  <c r="O134" i="18"/>
  <c r="O141" i="18"/>
  <c r="O137" i="18"/>
  <c r="O115" i="18"/>
  <c r="O107" i="18"/>
  <c r="O119" i="18"/>
  <c r="O120" i="18"/>
  <c r="O138" i="18"/>
  <c r="O124" i="18"/>
  <c r="O146" i="18"/>
  <c r="O114" i="18"/>
  <c r="O147" i="18"/>
  <c r="O116" i="18"/>
  <c r="O136" i="18"/>
  <c r="O133" i="18"/>
  <c r="O110" i="18"/>
  <c r="O90" i="18"/>
  <c r="O111" i="18"/>
  <c r="O98" i="18"/>
  <c r="O96" i="18"/>
  <c r="O119" i="8"/>
  <c r="O100" i="8"/>
  <c r="O97" i="8"/>
  <c r="O112" i="8"/>
  <c r="O114" i="8"/>
  <c r="O122" i="8"/>
  <c r="O109" i="8"/>
  <c r="O91" i="8"/>
  <c r="O125" i="8"/>
  <c r="O136" i="8"/>
  <c r="O90" i="8"/>
  <c r="O93" i="8"/>
  <c r="O148" i="8"/>
  <c r="O108" i="8"/>
  <c r="O107" i="8"/>
  <c r="O121" i="8"/>
  <c r="O129" i="8"/>
  <c r="O138" i="8"/>
  <c r="O130" i="8"/>
  <c r="O101" i="8"/>
  <c r="O116" i="8"/>
  <c r="O111" i="8"/>
  <c r="O92" i="8"/>
  <c r="O147" i="8"/>
  <c r="O105" i="8"/>
  <c r="O142" i="8"/>
  <c r="O141" i="8"/>
  <c r="O113" i="18"/>
  <c r="O134" i="8"/>
  <c r="O120" i="8"/>
  <c r="O124" i="8"/>
  <c r="O146" i="8"/>
  <c r="O94" i="8"/>
  <c r="O115" i="8"/>
  <c r="O133" i="8"/>
  <c r="O104" i="8"/>
  <c r="O131" i="8"/>
  <c r="O145" i="8"/>
  <c r="O102" i="8"/>
  <c r="O140" i="8"/>
  <c r="O135" i="8"/>
  <c r="O99" i="8"/>
  <c r="O113" i="8"/>
  <c r="O98" i="8"/>
  <c r="O122" i="18"/>
  <c r="O143" i="8"/>
  <c r="O132" i="8"/>
  <c r="O123" i="8"/>
  <c r="O128" i="8"/>
  <c r="O110" i="8"/>
  <c r="O137" i="8"/>
  <c r="O118" i="8"/>
  <c r="O103" i="8"/>
  <c r="O96" i="8"/>
  <c r="O139" i="8"/>
  <c r="O106" i="8"/>
  <c r="O126" i="8"/>
  <c r="O144" i="8"/>
  <c r="O117" i="8"/>
  <c r="O127" i="8"/>
  <c r="P122" i="18"/>
  <c r="P102" i="18"/>
  <c r="P117" i="18"/>
  <c r="P125" i="18"/>
  <c r="P142" i="18"/>
  <c r="P135" i="18"/>
  <c r="P143" i="18"/>
  <c r="P103" i="18"/>
  <c r="P111" i="18"/>
  <c r="P144" i="18"/>
  <c r="P92" i="18"/>
  <c r="P104" i="18"/>
  <c r="P126" i="18"/>
  <c r="P128" i="18"/>
  <c r="P136" i="18"/>
  <c r="P94" i="18"/>
  <c r="P118" i="18"/>
  <c r="P95" i="18"/>
  <c r="P113" i="18"/>
  <c r="P121" i="18"/>
  <c r="P96" i="18"/>
  <c r="P112" i="18"/>
  <c r="P114" i="18"/>
  <c r="P97" i="18"/>
  <c r="P105" i="18"/>
  <c r="P123" i="18"/>
  <c r="P100" i="18"/>
  <c r="P91" i="18"/>
  <c r="P130" i="18"/>
  <c r="P115" i="18"/>
  <c r="P134" i="18"/>
  <c r="P99" i="18"/>
  <c r="P124" i="18"/>
  <c r="P129" i="18"/>
  <c r="P98" i="18"/>
  <c r="P147" i="18"/>
  <c r="P115" i="8"/>
  <c r="P118" i="8"/>
  <c r="P109" i="8"/>
  <c r="P106" i="8"/>
  <c r="P141" i="8"/>
  <c r="P128" i="8"/>
  <c r="P100" i="8"/>
  <c r="P109" i="18"/>
  <c r="P90" i="18"/>
  <c r="P139" i="18"/>
  <c r="P116" i="18"/>
  <c r="P105" i="8"/>
  <c r="P121" i="8"/>
  <c r="P120" i="8"/>
  <c r="P93" i="8"/>
  <c r="P116" i="8"/>
  <c r="P101" i="8"/>
  <c r="P134" i="8"/>
  <c r="P120" i="18"/>
  <c r="P131" i="18"/>
  <c r="P108" i="18"/>
  <c r="P92" i="8"/>
  <c r="P129" i="8"/>
  <c r="P123" i="8"/>
  <c r="P137" i="8"/>
  <c r="P110" i="8"/>
  <c r="P108" i="8"/>
  <c r="P99" i="8"/>
  <c r="P140" i="8"/>
  <c r="P110" i="18"/>
  <c r="P93" i="18"/>
  <c r="P101" i="18"/>
  <c r="P91" i="8"/>
  <c r="P126" i="8"/>
  <c r="P96" i="8"/>
  <c r="P133" i="8"/>
  <c r="P144" i="8"/>
  <c r="P119" i="8"/>
  <c r="P95" i="8"/>
  <c r="P138" i="8"/>
  <c r="P138" i="18"/>
  <c r="P107" i="18"/>
  <c r="P141" i="18"/>
  <c r="P139" i="8"/>
  <c r="P147" i="8"/>
  <c r="P135" i="8"/>
  <c r="P127" i="8"/>
  <c r="P107" i="8"/>
  <c r="P142" i="8"/>
  <c r="P114" i="8"/>
  <c r="P132" i="18"/>
  <c r="P133" i="18"/>
  <c r="P127" i="18"/>
  <c r="P148" i="8"/>
  <c r="P145" i="8"/>
  <c r="P94" i="8"/>
  <c r="P146" i="8"/>
  <c r="P143" i="8"/>
  <c r="P125" i="8"/>
  <c r="P104" i="8"/>
  <c r="P146" i="18"/>
  <c r="P119" i="18"/>
  <c r="P145" i="18"/>
  <c r="P113" i="8"/>
  <c r="P117" i="8"/>
  <c r="P132" i="8"/>
  <c r="P122" i="8"/>
  <c r="P130" i="8"/>
  <c r="P103" i="8"/>
  <c r="P131" i="8"/>
  <c r="P112" i="8"/>
  <c r="P102" i="8"/>
  <c r="P140" i="18"/>
  <c r="P124" i="8"/>
  <c r="P137" i="18"/>
  <c r="P98" i="8"/>
  <c r="P106" i="18"/>
  <c r="P97" i="8"/>
  <c r="P136" i="8"/>
  <c r="P149" i="18"/>
  <c r="P111" i="8"/>
  <c r="P148" i="18"/>
  <c r="P150" i="18"/>
  <c r="P151" i="8"/>
  <c r="P149" i="8"/>
  <c r="P150" i="8"/>
  <c r="V31" i="18"/>
  <c r="V32" i="8"/>
  <c r="S141" i="18"/>
  <c r="S129" i="18"/>
  <c r="S136" i="18"/>
  <c r="S140" i="8"/>
  <c r="S164" i="18"/>
  <c r="S165" i="18"/>
  <c r="S166" i="8"/>
  <c r="S165" i="8"/>
  <c r="Q134" i="18"/>
  <c r="Q104" i="18"/>
  <c r="Q112" i="18"/>
  <c r="Q133" i="18"/>
  <c r="Q149" i="18"/>
  <c r="Q127" i="18"/>
  <c r="Q125" i="18"/>
  <c r="Q104" i="8"/>
  <c r="Q140" i="8"/>
  <c r="Q147" i="8"/>
  <c r="Q146" i="8"/>
  <c r="Q129" i="8"/>
  <c r="Q106" i="8"/>
  <c r="Q150" i="8"/>
  <c r="Q100" i="18"/>
  <c r="Q95" i="18"/>
  <c r="Q96" i="18"/>
  <c r="Q141" i="18"/>
  <c r="Q102" i="18"/>
  <c r="Q135" i="18"/>
  <c r="Q128" i="18"/>
  <c r="Q144" i="8"/>
  <c r="Q151" i="8"/>
  <c r="Q141" i="8"/>
  <c r="Q115" i="8"/>
  <c r="Q143" i="8"/>
  <c r="Q132" i="8"/>
  <c r="Q99" i="8"/>
  <c r="Q107" i="18"/>
  <c r="Q98" i="18"/>
  <c r="Q116" i="18"/>
  <c r="Q132" i="18"/>
  <c r="Q140" i="18"/>
  <c r="Q118" i="18"/>
  <c r="Q136" i="18"/>
  <c r="Q102" i="8"/>
  <c r="Q116" i="8"/>
  <c r="Q113" i="8"/>
  <c r="Q119" i="8"/>
  <c r="Q108" i="8"/>
  <c r="Q124" i="8"/>
  <c r="Q122" i="8"/>
  <c r="Q150" i="18"/>
  <c r="Q113" i="18"/>
  <c r="Q124" i="18"/>
  <c r="Q139" i="18"/>
  <c r="Q101" i="18"/>
  <c r="Q109" i="18"/>
  <c r="Q144" i="18"/>
  <c r="Q111" i="8"/>
  <c r="Q134" i="8"/>
  <c r="Q112" i="8"/>
  <c r="Q136" i="8"/>
  <c r="Q114" i="8"/>
  <c r="Q135" i="8"/>
  <c r="Q101" i="8"/>
  <c r="Q146" i="18"/>
  <c r="Q123" i="18"/>
  <c r="Q131" i="18"/>
  <c r="Q147" i="18"/>
  <c r="Q110" i="18"/>
  <c r="Q142" i="18"/>
  <c r="Q143" i="18"/>
  <c r="Q127" i="8"/>
  <c r="Q145" i="8"/>
  <c r="Q120" i="8"/>
  <c r="Q126" i="8"/>
  <c r="Q117" i="8"/>
  <c r="Q130" i="8"/>
  <c r="Q107" i="8"/>
  <c r="Q138" i="18"/>
  <c r="Q126" i="18"/>
  <c r="Q106" i="18"/>
  <c r="Q122" i="18"/>
  <c r="Q130" i="18"/>
  <c r="Q148" i="18"/>
  <c r="Q99" i="18"/>
  <c r="Q96" i="8"/>
  <c r="Q133" i="8"/>
  <c r="Q137" i="8"/>
  <c r="Q149" i="8"/>
  <c r="Q109" i="8"/>
  <c r="Q121" i="8"/>
  <c r="Q138" i="8"/>
  <c r="Q97" i="18"/>
  <c r="Q117" i="18"/>
  <c r="Q114" i="18"/>
  <c r="Q137" i="18"/>
  <c r="Q145" i="18"/>
  <c r="Q111" i="18"/>
  <c r="Q108" i="18"/>
  <c r="Q123" i="8"/>
  <c r="Q105" i="8"/>
  <c r="Q131" i="8"/>
  <c r="Q97" i="8"/>
  <c r="Q125" i="8"/>
  <c r="Q103" i="8"/>
  <c r="Q100" i="8"/>
  <c r="Q142" i="8"/>
  <c r="Q105" i="18"/>
  <c r="Q110" i="8"/>
  <c r="Q121" i="18"/>
  <c r="Q118" i="8"/>
  <c r="Q129" i="18"/>
  <c r="Q98" i="8"/>
  <c r="Q120" i="18"/>
  <c r="Q139" i="8"/>
  <c r="Q103" i="18"/>
  <c r="Q148" i="8"/>
  <c r="Q119" i="18"/>
  <c r="Q128" i="8"/>
  <c r="Q154" i="18"/>
  <c r="Q155" i="18"/>
  <c r="Q152" i="18"/>
  <c r="Q115" i="18"/>
  <c r="Q153" i="18"/>
  <c r="Q151" i="18"/>
  <c r="Q153" i="8"/>
  <c r="Q152" i="8"/>
  <c r="Q155" i="8"/>
  <c r="Q156" i="8"/>
  <c r="Q154" i="8"/>
  <c r="Q27" i="6"/>
  <c r="O4" i="18"/>
  <c r="O5" i="8"/>
  <c r="C64" i="18"/>
  <c r="D64" i="18" s="1"/>
  <c r="E64" i="18" s="1"/>
  <c r="F64" i="18" s="1"/>
  <c r="G64" i="18" s="1"/>
  <c r="H64" i="18" s="1"/>
  <c r="I64" i="18" s="1"/>
  <c r="J64" i="18" s="1"/>
  <c r="K64" i="18" s="1"/>
  <c r="P8" i="8"/>
  <c r="P7" i="18"/>
  <c r="Y7" i="18" s="1"/>
  <c r="V144" i="18"/>
  <c r="V158" i="18"/>
  <c r="V152" i="18"/>
  <c r="V151" i="8"/>
  <c r="V145" i="8"/>
  <c r="V157" i="18"/>
  <c r="V157" i="8"/>
  <c r="V136" i="8"/>
  <c r="V115" i="18"/>
  <c r="V154" i="8"/>
  <c r="V149" i="18"/>
  <c r="V124" i="8"/>
  <c r="V118" i="18"/>
  <c r="S22" i="18"/>
  <c r="S23" i="8"/>
  <c r="L50" i="18" l="1"/>
  <c r="Q28" i="6"/>
  <c r="Q28" i="23"/>
  <c r="Q26" i="23" s="1"/>
  <c r="B149" i="8"/>
  <c r="C66" i="18"/>
  <c r="D66" i="18" s="1"/>
  <c r="E66" i="18" s="1"/>
  <c r="F66" i="18" s="1"/>
  <c r="G66" i="18" s="1"/>
  <c r="H66" i="18" s="1"/>
  <c r="I66" i="18" s="1"/>
  <c r="J66" i="18" s="1"/>
  <c r="K66" i="18" s="1"/>
  <c r="Y11" i="8"/>
  <c r="B10" i="15"/>
  <c r="L10" i="15" s="1"/>
  <c r="C70" i="18"/>
  <c r="D70" i="18" s="1"/>
  <c r="E70" i="18" s="1"/>
  <c r="F70" i="18" s="1"/>
  <c r="G70" i="18" s="1"/>
  <c r="H70" i="18" s="1"/>
  <c r="I70" i="18" s="1"/>
  <c r="J70" i="18" s="1"/>
  <c r="K70" i="18" s="1"/>
  <c r="C40" i="18"/>
  <c r="D40" i="18" s="1"/>
  <c r="E40" i="18" s="1"/>
  <c r="F40" i="18" s="1"/>
  <c r="G40" i="18" s="1"/>
  <c r="H40" i="18" s="1"/>
  <c r="I40" i="18" s="1"/>
  <c r="J40" i="18" s="1"/>
  <c r="K40" i="18" s="1"/>
  <c r="L93" i="18"/>
  <c r="L37" i="18"/>
  <c r="H110" i="8"/>
  <c r="H113" i="8"/>
  <c r="H122" i="8"/>
  <c r="H133" i="8"/>
  <c r="H144" i="8"/>
  <c r="H154" i="8"/>
  <c r="H162" i="8"/>
  <c r="H114" i="8"/>
  <c r="H125" i="8"/>
  <c r="H136" i="8"/>
  <c r="H166" i="8"/>
  <c r="H161" i="8"/>
  <c r="H142" i="8"/>
  <c r="H145" i="8"/>
  <c r="H148" i="8"/>
  <c r="H135" i="8"/>
  <c r="H140" i="8"/>
  <c r="H131" i="8"/>
  <c r="H112" i="8"/>
  <c r="H160" i="8"/>
  <c r="H156" i="8"/>
  <c r="H134" i="8"/>
  <c r="H137" i="8"/>
  <c r="H124" i="8"/>
  <c r="H127" i="8"/>
  <c r="H146" i="8"/>
  <c r="H132" i="8"/>
  <c r="H152" i="8"/>
  <c r="H151" i="8"/>
  <c r="H126" i="8"/>
  <c r="H129" i="8"/>
  <c r="H116" i="8"/>
  <c r="H119" i="8"/>
  <c r="H138" i="8"/>
  <c r="H149" i="8"/>
  <c r="H164" i="8"/>
  <c r="H157" i="8"/>
  <c r="L91" i="18"/>
  <c r="L52" i="18"/>
  <c r="H118" i="8"/>
  <c r="H121" i="8"/>
  <c r="H108" i="8"/>
  <c r="H111" i="8"/>
  <c r="H130" i="8"/>
  <c r="H141" i="8"/>
  <c r="H139" i="8"/>
  <c r="H158" i="8"/>
  <c r="L94" i="18"/>
  <c r="Y22" i="18"/>
  <c r="U160" i="18"/>
  <c r="U147" i="18"/>
  <c r="U166" i="8"/>
  <c r="U123" i="18"/>
  <c r="U157" i="8"/>
  <c r="U147" i="8"/>
  <c r="U155" i="18"/>
  <c r="U115" i="8"/>
  <c r="U125" i="18"/>
  <c r="U135" i="8"/>
  <c r="U131" i="8"/>
  <c r="U122" i="18"/>
  <c r="U152" i="8"/>
  <c r="U156" i="18"/>
  <c r="U107" i="18"/>
  <c r="U155" i="8"/>
  <c r="U151" i="18"/>
  <c r="U140" i="8"/>
  <c r="U142" i="8"/>
  <c r="U149" i="18"/>
  <c r="U125" i="8"/>
  <c r="U118" i="18"/>
  <c r="U129" i="8"/>
  <c r="U148" i="8"/>
  <c r="U152" i="18"/>
  <c r="U145" i="8"/>
  <c r="U130" i="18"/>
  <c r="U150" i="8"/>
  <c r="U112" i="8"/>
  <c r="U109" i="18"/>
  <c r="U110" i="18"/>
  <c r="U140" i="18"/>
  <c r="U159" i="8"/>
  <c r="U145" i="18"/>
  <c r="U116" i="8"/>
  <c r="U162" i="18"/>
  <c r="U133" i="8"/>
  <c r="U159" i="18"/>
  <c r="U128" i="8"/>
  <c r="U126" i="8"/>
  <c r="U161" i="18"/>
  <c r="U144" i="8"/>
  <c r="U164" i="18"/>
  <c r="U146" i="18"/>
  <c r="G36" i="9"/>
  <c r="U111" i="8"/>
  <c r="U139" i="8"/>
  <c r="U154" i="8"/>
  <c r="U142" i="18"/>
  <c r="U132" i="8"/>
  <c r="U132" i="18"/>
  <c r="U114" i="8"/>
  <c r="U162" i="8"/>
  <c r="U136" i="18"/>
  <c r="U130" i="8"/>
  <c r="U150" i="18"/>
  <c r="U126" i="18"/>
  <c r="U134" i="8"/>
  <c r="U121" i="18"/>
  <c r="U108" i="18"/>
  <c r="U134" i="18"/>
  <c r="U124" i="8"/>
  <c r="U154" i="18"/>
  <c r="U164" i="8"/>
  <c r="U139" i="18"/>
  <c r="U121" i="8"/>
  <c r="U119" i="8"/>
  <c r="U148" i="18"/>
  <c r="U137" i="8"/>
  <c r="U135" i="18"/>
  <c r="U163" i="18"/>
  <c r="U146" i="8"/>
  <c r="U144" i="18"/>
  <c r="U110" i="8"/>
  <c r="D27" i="6"/>
  <c r="B15" i="21" s="1"/>
  <c r="C15" i="21" s="1"/>
  <c r="D15" i="21" s="1"/>
  <c r="E15" i="21" s="1"/>
  <c r="F15" i="21" s="1"/>
  <c r="G15" i="21" s="1"/>
  <c r="H15" i="21" s="1"/>
  <c r="I15" i="21" s="1"/>
  <c r="J15" i="21" s="1"/>
  <c r="K15" i="21" s="1"/>
  <c r="L15" i="21" s="1"/>
  <c r="Y24" i="18"/>
  <c r="B150" i="8"/>
  <c r="B131" i="8"/>
  <c r="B151" i="8"/>
  <c r="C67" i="18"/>
  <c r="D67" i="18" s="1"/>
  <c r="E67" i="18" s="1"/>
  <c r="F67" i="18" s="1"/>
  <c r="G67" i="18" s="1"/>
  <c r="H67" i="18" s="1"/>
  <c r="I67" i="18" s="1"/>
  <c r="J67" i="18" s="1"/>
  <c r="K67" i="18" s="1"/>
  <c r="Y20" i="18"/>
  <c r="Y6" i="18"/>
  <c r="Y5" i="18"/>
  <c r="L60" i="18"/>
  <c r="L72" i="18"/>
  <c r="S149" i="18"/>
  <c r="S150" i="8"/>
  <c r="S138" i="8"/>
  <c r="S110" i="8"/>
  <c r="S149" i="8"/>
  <c r="S116" i="8"/>
  <c r="S161" i="8"/>
  <c r="S125" i="8"/>
  <c r="S112" i="8"/>
  <c r="S121" i="18"/>
  <c r="S132" i="18"/>
  <c r="S140" i="18"/>
  <c r="S143" i="8"/>
  <c r="S115" i="18"/>
  <c r="S137" i="18"/>
  <c r="S126" i="18"/>
  <c r="Y26" i="18"/>
  <c r="S110" i="18"/>
  <c r="S139" i="8"/>
  <c r="S128" i="8"/>
  <c r="S147" i="8"/>
  <c r="S131" i="8"/>
  <c r="S159" i="8"/>
  <c r="S148" i="18"/>
  <c r="S164" i="8"/>
  <c r="S162" i="18"/>
  <c r="S159" i="18"/>
  <c r="B123" i="8"/>
  <c r="B109" i="8"/>
  <c r="B90" i="8"/>
  <c r="B95" i="8"/>
  <c r="B121" i="8"/>
  <c r="B143" i="8"/>
  <c r="B141" i="8"/>
  <c r="B113" i="8"/>
  <c r="S120" i="18"/>
  <c r="S123" i="18"/>
  <c r="S156" i="18"/>
  <c r="S135" i="8"/>
  <c r="S161" i="18"/>
  <c r="S108" i="8"/>
  <c r="S155" i="18"/>
  <c r="S130" i="8"/>
  <c r="S135" i="18"/>
  <c r="S153" i="8"/>
  <c r="S150" i="18"/>
  <c r="S111" i="8"/>
  <c r="S122" i="18"/>
  <c r="S132" i="8"/>
  <c r="S145" i="18"/>
  <c r="B115" i="8"/>
  <c r="B101" i="8"/>
  <c r="B105" i="8"/>
  <c r="B102" i="8"/>
  <c r="B91" i="8"/>
  <c r="S155" i="8"/>
  <c r="S142" i="8"/>
  <c r="S146" i="18"/>
  <c r="S144" i="8"/>
  <c r="S144" i="18"/>
  <c r="S123" i="8"/>
  <c r="S147" i="18"/>
  <c r="S122" i="8"/>
  <c r="S117" i="18"/>
  <c r="S145" i="8"/>
  <c r="S154" i="18"/>
  <c r="S117" i="8"/>
  <c r="S151" i="18"/>
  <c r="S128" i="18"/>
  <c r="S105" i="8"/>
  <c r="B107" i="8"/>
  <c r="B148" i="8"/>
  <c r="B97" i="8"/>
  <c r="B89" i="8"/>
  <c r="S141" i="8"/>
  <c r="S130" i="18"/>
  <c r="S157" i="8"/>
  <c r="S134" i="18"/>
  <c r="S160" i="8"/>
  <c r="S133" i="18"/>
  <c r="S115" i="8"/>
  <c r="S105" i="18"/>
  <c r="S114" i="8"/>
  <c r="S106" i="18"/>
  <c r="S152" i="8"/>
  <c r="S158" i="18"/>
  <c r="S113" i="18"/>
  <c r="S129" i="8"/>
  <c r="S119" i="18"/>
  <c r="Y31" i="18"/>
  <c r="S104" i="8"/>
  <c r="B99" i="8"/>
  <c r="B108" i="8"/>
  <c r="B135" i="8"/>
  <c r="B94" i="8"/>
  <c r="S107" i="18"/>
  <c r="S121" i="8"/>
  <c r="S127" i="8"/>
  <c r="S112" i="18"/>
  <c r="S120" i="8"/>
  <c r="S157" i="18"/>
  <c r="S107" i="8"/>
  <c r="S142" i="18"/>
  <c r="S158" i="8"/>
  <c r="S143" i="18"/>
  <c r="S118" i="18"/>
  <c r="S124" i="8"/>
  <c r="S114" i="18"/>
  <c r="S113" i="8"/>
  <c r="S125" i="18"/>
  <c r="B132" i="8"/>
  <c r="B145" i="8"/>
  <c r="B111" i="8"/>
  <c r="S160" i="18"/>
  <c r="S108" i="18"/>
  <c r="S153" i="18"/>
  <c r="S138" i="18"/>
  <c r="S109" i="8"/>
  <c r="S136" i="8"/>
  <c r="S126" i="8"/>
  <c r="S152" i="18"/>
  <c r="S103" i="18"/>
  <c r="B147" i="8"/>
  <c r="B117" i="8"/>
  <c r="B137" i="8"/>
  <c r="B104" i="8"/>
  <c r="B125" i="8"/>
  <c r="B88" i="8"/>
  <c r="S156" i="8"/>
  <c r="S151" i="8"/>
  <c r="S137" i="8"/>
  <c r="S162" i="8"/>
  <c r="S111" i="18"/>
  <c r="S131" i="18"/>
  <c r="S133" i="8"/>
  <c r="S134" i="8"/>
  <c r="S148" i="8"/>
  <c r="S116" i="18"/>
  <c r="S106" i="8"/>
  <c r="S124" i="18"/>
  <c r="S163" i="8"/>
  <c r="S154" i="8"/>
  <c r="S163" i="18"/>
  <c r="S146" i="8"/>
  <c r="S127" i="18"/>
  <c r="S119" i="8"/>
  <c r="S109" i="18"/>
  <c r="S118" i="8"/>
  <c r="B139" i="8"/>
  <c r="B140" i="8"/>
  <c r="B129" i="8"/>
  <c r="B96" i="8"/>
  <c r="B124" i="8"/>
  <c r="B92" i="8"/>
  <c r="B100" i="8"/>
  <c r="B133" i="8"/>
  <c r="B127" i="8"/>
  <c r="B93" i="8"/>
  <c r="B119" i="8"/>
  <c r="B146" i="8"/>
  <c r="B116" i="8"/>
  <c r="B103" i="8"/>
  <c r="B138" i="8"/>
  <c r="B130" i="8"/>
  <c r="B144" i="8"/>
  <c r="B142" i="8"/>
  <c r="B122" i="8"/>
  <c r="B136" i="8"/>
  <c r="B134" i="8"/>
  <c r="B114" i="8"/>
  <c r="B128" i="8"/>
  <c r="B126" i="8"/>
  <c r="L54" i="18"/>
  <c r="B106" i="8"/>
  <c r="B120" i="8"/>
  <c r="B118" i="8"/>
  <c r="B98" i="8"/>
  <c r="B112" i="8"/>
  <c r="R43" i="5"/>
  <c r="T42" i="5"/>
  <c r="H140" i="18"/>
  <c r="H162" i="18"/>
  <c r="L162" i="18" s="1"/>
  <c r="H147" i="18"/>
  <c r="H159" i="18"/>
  <c r="L159" i="18" s="1"/>
  <c r="H123" i="18"/>
  <c r="H164" i="18"/>
  <c r="L164" i="18" s="1"/>
  <c r="H138" i="18"/>
  <c r="H156" i="18"/>
  <c r="L156" i="18" s="1"/>
  <c r="H110" i="18"/>
  <c r="H108" i="18"/>
  <c r="H151" i="18"/>
  <c r="H139" i="18"/>
  <c r="H124" i="18"/>
  <c r="H142" i="18"/>
  <c r="H155" i="18"/>
  <c r="H152" i="18"/>
  <c r="H148" i="18"/>
  <c r="H163" i="18"/>
  <c r="L163" i="18" s="1"/>
  <c r="H112" i="18"/>
  <c r="H165" i="18"/>
  <c r="L165" i="18" s="1"/>
  <c r="H122" i="18"/>
  <c r="H125" i="18"/>
  <c r="H115" i="18"/>
  <c r="H120" i="18"/>
  <c r="H136" i="18"/>
  <c r="H150" i="18"/>
  <c r="H158" i="18"/>
  <c r="H144" i="18"/>
  <c r="H121" i="18"/>
  <c r="H149" i="18"/>
  <c r="H143" i="18"/>
  <c r="H130" i="18"/>
  <c r="H111" i="18"/>
  <c r="H107" i="18"/>
  <c r="H116" i="18"/>
  <c r="H141" i="18"/>
  <c r="H133" i="18"/>
  <c r="H135" i="18"/>
  <c r="H146" i="18"/>
  <c r="H119" i="18"/>
  <c r="H134" i="18"/>
  <c r="H160" i="18"/>
  <c r="L160" i="18" s="1"/>
  <c r="H154" i="18"/>
  <c r="H132" i="18"/>
  <c r="H137" i="18"/>
  <c r="H145" i="18"/>
  <c r="H161" i="18"/>
  <c r="L161" i="18" s="1"/>
  <c r="H153" i="18"/>
  <c r="H114" i="18"/>
  <c r="H113" i="18"/>
  <c r="H109" i="18"/>
  <c r="H128" i="18"/>
  <c r="H127" i="18"/>
  <c r="H118" i="18"/>
  <c r="H117" i="18"/>
  <c r="H131" i="18"/>
  <c r="H129" i="18"/>
  <c r="H126" i="18"/>
  <c r="H157" i="18"/>
  <c r="L157" i="18" s="1"/>
  <c r="L158" i="18"/>
  <c r="V148" i="8"/>
  <c r="V162" i="18"/>
  <c r="V142" i="18"/>
  <c r="V141" i="8"/>
  <c r="V132" i="18"/>
  <c r="V148" i="18"/>
  <c r="V152" i="8"/>
  <c r="V141" i="18"/>
  <c r="V146" i="8"/>
  <c r="V162" i="8"/>
  <c r="V138" i="18"/>
  <c r="V129" i="18"/>
  <c r="V151" i="18"/>
  <c r="V109" i="18"/>
  <c r="V114" i="8"/>
  <c r="V144" i="8"/>
  <c r="V154" i="18"/>
  <c r="V160" i="8"/>
  <c r="V123" i="8"/>
  <c r="V117" i="18"/>
  <c r="V125" i="8"/>
  <c r="V140" i="18"/>
  <c r="V130" i="18"/>
  <c r="V119" i="8"/>
  <c r="V128" i="18"/>
  <c r="V134" i="8"/>
  <c r="V111" i="8"/>
  <c r="V6" i="10"/>
  <c r="I5" i="11" s="1"/>
  <c r="I3" i="10"/>
  <c r="V153" i="18"/>
  <c r="V132" i="8"/>
  <c r="V116" i="18"/>
  <c r="V135" i="8"/>
  <c r="V120" i="8"/>
  <c r="V131" i="18"/>
  <c r="V133" i="8"/>
  <c r="V125" i="18"/>
  <c r="V166" i="8"/>
  <c r="L42" i="18"/>
  <c r="S7" i="10"/>
  <c r="F6" i="11" s="1"/>
  <c r="F3" i="10"/>
  <c r="T7" i="10"/>
  <c r="G6" i="11" s="1"/>
  <c r="G3" i="10"/>
  <c r="W5" i="10"/>
  <c r="J4" i="11" s="1"/>
  <c r="J3" i="10"/>
  <c r="V117" i="8"/>
  <c r="V160" i="18"/>
  <c r="V136" i="18"/>
  <c r="V127" i="8"/>
  <c r="V150" i="18"/>
  <c r="V137" i="8"/>
  <c r="V126" i="8"/>
  <c r="V133" i="18"/>
  <c r="V153" i="8"/>
  <c r="V155" i="18"/>
  <c r="V119" i="18"/>
  <c r="U7" i="10"/>
  <c r="U3" i="10" s="1"/>
  <c r="H3" i="10"/>
  <c r="V114" i="18"/>
  <c r="V142" i="8"/>
  <c r="V163" i="8"/>
  <c r="V115" i="8"/>
  <c r="V122" i="8"/>
  <c r="V116" i="8"/>
  <c r="V134" i="18"/>
  <c r="V139" i="8"/>
  <c r="V135" i="18"/>
  <c r="V129" i="8"/>
  <c r="V159" i="8"/>
  <c r="V124" i="18"/>
  <c r="V121" i="18"/>
  <c r="V145" i="18"/>
  <c r="V137" i="18"/>
  <c r="V164" i="18"/>
  <c r="V128" i="8"/>
  <c r="V139" i="18"/>
  <c r="V131" i="8"/>
  <c r="V123" i="18"/>
  <c r="V126" i="18"/>
  <c r="V156" i="8"/>
  <c r="V165" i="8"/>
  <c r="V165" i="18"/>
  <c r="V118" i="8"/>
  <c r="V121" i="8"/>
  <c r="V143" i="18"/>
  <c r="V138" i="8"/>
  <c r="V120" i="18"/>
  <c r="V158" i="8"/>
  <c r="V147" i="8"/>
  <c r="V159" i="18"/>
  <c r="P26" i="10"/>
  <c r="C25" i="11" s="1"/>
  <c r="C3" i="10"/>
  <c r="V110" i="8"/>
  <c r="V155" i="8"/>
  <c r="V161" i="18"/>
  <c r="V164" i="8"/>
  <c r="V140" i="8"/>
  <c r="V147" i="18"/>
  <c r="V130" i="8"/>
  <c r="V127" i="18"/>
  <c r="V149" i="8"/>
  <c r="V143" i="8"/>
  <c r="V163" i="18"/>
  <c r="V150" i="8"/>
  <c r="V122" i="18"/>
  <c r="V146" i="18"/>
  <c r="V161" i="8"/>
  <c r="V156" i="18"/>
  <c r="V113" i="8"/>
  <c r="R7" i="10"/>
  <c r="R3" i="10" s="1"/>
  <c r="E3" i="10"/>
  <c r="D3" i="10"/>
  <c r="Y12" i="18"/>
  <c r="L75" i="18"/>
  <c r="L45" i="18"/>
  <c r="Y16" i="8"/>
  <c r="B15" i="15"/>
  <c r="L15" i="15" s="1"/>
  <c r="K3" i="10"/>
  <c r="X5" i="10"/>
  <c r="K4" i="11" s="1"/>
  <c r="C90" i="8"/>
  <c r="C89" i="8"/>
  <c r="C91" i="8"/>
  <c r="C88" i="8"/>
  <c r="C142" i="8"/>
  <c r="C118" i="8"/>
  <c r="C103" i="8"/>
  <c r="C93" i="8"/>
  <c r="C109" i="8"/>
  <c r="C148" i="8"/>
  <c r="C124" i="8"/>
  <c r="C150" i="8"/>
  <c r="C126" i="8"/>
  <c r="C111" i="8"/>
  <c r="C129" i="8"/>
  <c r="C121" i="8"/>
  <c r="C113" i="8"/>
  <c r="C132" i="8"/>
  <c r="C98" i="8"/>
  <c r="C97" i="8"/>
  <c r="C134" i="8"/>
  <c r="C119" i="8"/>
  <c r="C99" i="8"/>
  <c r="C100" i="8"/>
  <c r="C137" i="8"/>
  <c r="C144" i="8"/>
  <c r="C106" i="8"/>
  <c r="C117" i="8"/>
  <c r="C146" i="8"/>
  <c r="C123" i="8"/>
  <c r="C107" i="8"/>
  <c r="C108" i="8"/>
  <c r="C92" i="8"/>
  <c r="C152" i="8"/>
  <c r="C114" i="8"/>
  <c r="C141" i="8"/>
  <c r="C101" i="8"/>
  <c r="C131" i="8"/>
  <c r="C115" i="8"/>
  <c r="C120" i="8"/>
  <c r="C96" i="8"/>
  <c r="C105" i="8"/>
  <c r="C122" i="8"/>
  <c r="C94" i="8"/>
  <c r="C125" i="8"/>
  <c r="C139" i="8"/>
  <c r="C127" i="8"/>
  <c r="C128" i="8"/>
  <c r="C104" i="8"/>
  <c r="C133" i="8"/>
  <c r="C130" i="8"/>
  <c r="C102" i="8"/>
  <c r="C149" i="8"/>
  <c r="C147" i="8"/>
  <c r="C135" i="8"/>
  <c r="C136" i="8"/>
  <c r="C112" i="8"/>
  <c r="C145" i="8"/>
  <c r="C138" i="8"/>
  <c r="C110" i="8"/>
  <c r="C95" i="8"/>
  <c r="C151" i="8"/>
  <c r="C143" i="8"/>
  <c r="C140" i="8"/>
  <c r="C116" i="8"/>
  <c r="L13" i="8"/>
  <c r="D3" i="8"/>
  <c r="D133" i="18"/>
  <c r="D109" i="18"/>
  <c r="L109" i="18" s="1"/>
  <c r="D125" i="18"/>
  <c r="D116" i="18"/>
  <c r="L116" i="18" s="1"/>
  <c r="D139" i="18"/>
  <c r="D124" i="18"/>
  <c r="D129" i="18"/>
  <c r="D154" i="18"/>
  <c r="L154" i="18" s="1"/>
  <c r="D145" i="18"/>
  <c r="D143" i="18"/>
  <c r="D146" i="18"/>
  <c r="D126" i="18"/>
  <c r="D98" i="18"/>
  <c r="L98" i="18" s="1"/>
  <c r="D150" i="18"/>
  <c r="D114" i="18"/>
  <c r="D137" i="18"/>
  <c r="D118" i="18"/>
  <c r="D106" i="18"/>
  <c r="L106" i="18" s="1"/>
  <c r="D127" i="18"/>
  <c r="D128" i="18"/>
  <c r="D117" i="18"/>
  <c r="D131" i="18"/>
  <c r="D97" i="18"/>
  <c r="L97" i="18" s="1"/>
  <c r="D141" i="18"/>
  <c r="D119" i="18"/>
  <c r="L119" i="18" s="1"/>
  <c r="D144" i="18"/>
  <c r="D110" i="18"/>
  <c r="L110" i="18" s="1"/>
  <c r="D112" i="18"/>
  <c r="L112" i="18" s="1"/>
  <c r="D148" i="18"/>
  <c r="D130" i="18"/>
  <c r="L130" i="18" s="1"/>
  <c r="D113" i="18"/>
  <c r="D147" i="18"/>
  <c r="L147" i="18" s="1"/>
  <c r="D122" i="18"/>
  <c r="D99" i="18"/>
  <c r="L99" i="18" s="1"/>
  <c r="D111" i="18"/>
  <c r="L111" i="18" s="1"/>
  <c r="D95" i="18"/>
  <c r="L95" i="18" s="1"/>
  <c r="D155" i="18"/>
  <c r="D140" i="18"/>
  <c r="D120" i="18"/>
  <c r="L120" i="18" s="1"/>
  <c r="D108" i="18"/>
  <c r="D103" i="18"/>
  <c r="L103" i="18" s="1"/>
  <c r="D96" i="18"/>
  <c r="L96" i="18" s="1"/>
  <c r="D149" i="18"/>
  <c r="D138" i="18"/>
  <c r="D152" i="18"/>
  <c r="L152" i="18" s="1"/>
  <c r="D134" i="18"/>
  <c r="D102" i="18"/>
  <c r="L102" i="18" s="1"/>
  <c r="D107" i="18"/>
  <c r="D142" i="18"/>
  <c r="D123" i="18"/>
  <c r="D101" i="18"/>
  <c r="L101" i="18" s="1"/>
  <c r="D105" i="18"/>
  <c r="L105" i="18" s="1"/>
  <c r="D153" i="18"/>
  <c r="L153" i="18" s="1"/>
  <c r="D135" i="18"/>
  <c r="D115" i="18"/>
  <c r="D132" i="18"/>
  <c r="D121" i="18"/>
  <c r="D104" i="18"/>
  <c r="L104" i="18" s="1"/>
  <c r="D100" i="18"/>
  <c r="L100" i="18" s="1"/>
  <c r="D136" i="18"/>
  <c r="D151" i="18"/>
  <c r="L151" i="18" s="1"/>
  <c r="N8" i="21"/>
  <c r="I3" i="8"/>
  <c r="I150" i="8" s="1"/>
  <c r="K150" i="8"/>
  <c r="K155" i="8"/>
  <c r="K163" i="8"/>
  <c r="K151" i="8"/>
  <c r="K166" i="8"/>
  <c r="K152" i="8"/>
  <c r="K156" i="8"/>
  <c r="K158" i="8"/>
  <c r="K160" i="8"/>
  <c r="K162" i="8"/>
  <c r="K153" i="8"/>
  <c r="K157" i="8"/>
  <c r="K164" i="8"/>
  <c r="K154" i="8"/>
  <c r="K159" i="8"/>
  <c r="K161" i="8"/>
  <c r="K165" i="8"/>
  <c r="J152" i="8"/>
  <c r="J155" i="8"/>
  <c r="J157" i="8"/>
  <c r="J163" i="8"/>
  <c r="J149" i="8"/>
  <c r="J153" i="8"/>
  <c r="J159" i="8"/>
  <c r="J162" i="8"/>
  <c r="J150" i="8"/>
  <c r="J156" i="8"/>
  <c r="J161" i="8"/>
  <c r="J166" i="8"/>
  <c r="J151" i="8"/>
  <c r="J154" i="8"/>
  <c r="J158" i="8"/>
  <c r="J165" i="8"/>
  <c r="J164" i="8"/>
  <c r="J160" i="8"/>
  <c r="V112" i="8"/>
  <c r="V110" i="18"/>
  <c r="V112" i="18"/>
  <c r="G153" i="8"/>
  <c r="G159" i="8"/>
  <c r="G151" i="8"/>
  <c r="G166" i="8"/>
  <c r="G161" i="8"/>
  <c r="G164" i="8"/>
  <c r="G154" i="8"/>
  <c r="G165" i="8"/>
  <c r="G152" i="8"/>
  <c r="G156" i="8"/>
  <c r="G157" i="8"/>
  <c r="G158" i="8"/>
  <c r="G160" i="8"/>
  <c r="G162" i="8"/>
  <c r="G155" i="8"/>
  <c r="G163" i="8"/>
  <c r="Y18" i="8"/>
  <c r="E17" i="15"/>
  <c r="L17" i="15" s="1"/>
  <c r="V91" i="18"/>
  <c r="V99" i="18"/>
  <c r="V96" i="18"/>
  <c r="Y30" i="18"/>
  <c r="V111" i="18"/>
  <c r="V113" i="18"/>
  <c r="V98" i="18"/>
  <c r="L14" i="10"/>
  <c r="L13" i="10"/>
  <c r="L16" i="10"/>
  <c r="L11" i="10"/>
  <c r="O3" i="10"/>
  <c r="K90" i="8"/>
  <c r="K149" i="8"/>
  <c r="K94" i="8"/>
  <c r="K98" i="8"/>
  <c r="K102" i="8"/>
  <c r="K106" i="8"/>
  <c r="K110" i="8"/>
  <c r="K114" i="8"/>
  <c r="K118" i="8"/>
  <c r="K122" i="8"/>
  <c r="K126" i="8"/>
  <c r="K130" i="8"/>
  <c r="K134" i="8"/>
  <c r="K138" i="8"/>
  <c r="K142" i="8"/>
  <c r="K146" i="8"/>
  <c r="K103" i="8"/>
  <c r="K115" i="8"/>
  <c r="K123" i="8"/>
  <c r="K131" i="8"/>
  <c r="K139" i="8"/>
  <c r="K147" i="8"/>
  <c r="K91" i="8"/>
  <c r="K95" i="8"/>
  <c r="K99" i="8"/>
  <c r="K107" i="8"/>
  <c r="K111" i="8"/>
  <c r="K119" i="8"/>
  <c r="K127" i="8"/>
  <c r="K135" i="8"/>
  <c r="K143" i="8"/>
  <c r="K136" i="8"/>
  <c r="K89" i="8"/>
  <c r="K92" i="8"/>
  <c r="K96" i="8"/>
  <c r="K100" i="8"/>
  <c r="K104" i="8"/>
  <c r="K108" i="8"/>
  <c r="K112" i="8"/>
  <c r="K116" i="8"/>
  <c r="K120" i="8"/>
  <c r="K124" i="8"/>
  <c r="K128" i="8"/>
  <c r="K132" i="8"/>
  <c r="K140" i="8"/>
  <c r="K144" i="8"/>
  <c r="K148" i="8"/>
  <c r="K93" i="8"/>
  <c r="K97" i="8"/>
  <c r="K101" i="8"/>
  <c r="K105" i="8"/>
  <c r="K109" i="8"/>
  <c r="K113" i="8"/>
  <c r="K117" i="8"/>
  <c r="K121" i="8"/>
  <c r="K125" i="8"/>
  <c r="K129" i="8"/>
  <c r="K133" i="8"/>
  <c r="K137" i="8"/>
  <c r="K141" i="8"/>
  <c r="K145" i="8"/>
  <c r="J93" i="8"/>
  <c r="J101" i="8"/>
  <c r="J109" i="8"/>
  <c r="J117" i="8"/>
  <c r="J125" i="8"/>
  <c r="J133" i="8"/>
  <c r="J141" i="8"/>
  <c r="J97" i="8"/>
  <c r="J137" i="8"/>
  <c r="J90" i="8"/>
  <c r="J96" i="8"/>
  <c r="J104" i="8"/>
  <c r="J112" i="8"/>
  <c r="J120" i="8"/>
  <c r="J128" i="8"/>
  <c r="J136" i="8"/>
  <c r="J144" i="8"/>
  <c r="J105" i="8"/>
  <c r="J135" i="8"/>
  <c r="J89" i="8"/>
  <c r="J91" i="8"/>
  <c r="J99" i="8"/>
  <c r="J107" i="8"/>
  <c r="J115" i="8"/>
  <c r="J123" i="8"/>
  <c r="J131" i="8"/>
  <c r="J139" i="8"/>
  <c r="J147" i="8"/>
  <c r="J113" i="8"/>
  <c r="J119" i="8"/>
  <c r="J94" i="8"/>
  <c r="J102" i="8"/>
  <c r="J110" i="8"/>
  <c r="J118" i="8"/>
  <c r="J126" i="8"/>
  <c r="J134" i="8"/>
  <c r="J142" i="8"/>
  <c r="J88" i="8"/>
  <c r="J111" i="8"/>
  <c r="J143" i="8"/>
  <c r="J129" i="8"/>
  <c r="J103" i="8"/>
  <c r="J92" i="8"/>
  <c r="J100" i="8"/>
  <c r="J108" i="8"/>
  <c r="J116" i="8"/>
  <c r="J124" i="8"/>
  <c r="J132" i="8"/>
  <c r="J140" i="8"/>
  <c r="J148" i="8"/>
  <c r="J127" i="8"/>
  <c r="J98" i="8"/>
  <c r="J106" i="8"/>
  <c r="J114" i="8"/>
  <c r="J122" i="8"/>
  <c r="J130" i="8"/>
  <c r="J138" i="8"/>
  <c r="J146" i="8"/>
  <c r="J121" i="8"/>
  <c r="J145" i="8"/>
  <c r="J95" i="8"/>
  <c r="V107" i="18"/>
  <c r="I91" i="8"/>
  <c r="I93" i="8"/>
  <c r="I95" i="8"/>
  <c r="I97" i="8"/>
  <c r="I99" i="8"/>
  <c r="I101" i="8"/>
  <c r="I103" i="8"/>
  <c r="I105" i="8"/>
  <c r="I107" i="8"/>
  <c r="I109" i="8"/>
  <c r="I106" i="8"/>
  <c r="I90" i="8"/>
  <c r="I98" i="8"/>
  <c r="I102" i="8"/>
  <c r="I92" i="8"/>
  <c r="I94" i="8"/>
  <c r="I96" i="8"/>
  <c r="I100" i="8"/>
  <c r="I108" i="8"/>
  <c r="I89" i="8"/>
  <c r="I104" i="8"/>
  <c r="V89" i="8"/>
  <c r="V94" i="18"/>
  <c r="V93" i="18"/>
  <c r="V106" i="18"/>
  <c r="G150" i="8"/>
  <c r="G137" i="8"/>
  <c r="G145" i="8"/>
  <c r="G91" i="8"/>
  <c r="G103" i="8"/>
  <c r="G127" i="8"/>
  <c r="G143" i="8"/>
  <c r="G94" i="8"/>
  <c r="G114" i="8"/>
  <c r="G134" i="8"/>
  <c r="G142" i="8"/>
  <c r="G93" i="8"/>
  <c r="G97" i="8"/>
  <c r="G101" i="8"/>
  <c r="G105" i="8"/>
  <c r="G109" i="8"/>
  <c r="G113" i="8"/>
  <c r="G117" i="8"/>
  <c r="G121" i="8"/>
  <c r="G125" i="8"/>
  <c r="G129" i="8"/>
  <c r="G133" i="8"/>
  <c r="G141" i="8"/>
  <c r="G149" i="8"/>
  <c r="G95" i="8"/>
  <c r="G107" i="8"/>
  <c r="G135" i="8"/>
  <c r="G98" i="8"/>
  <c r="G122" i="8"/>
  <c r="G138" i="8"/>
  <c r="G144" i="8"/>
  <c r="G111" i="8"/>
  <c r="G123" i="8"/>
  <c r="G110" i="8"/>
  <c r="G126" i="8"/>
  <c r="G92" i="8"/>
  <c r="G96" i="8"/>
  <c r="G100" i="8"/>
  <c r="G104" i="8"/>
  <c r="G108" i="8"/>
  <c r="G112" i="8"/>
  <c r="G116" i="8"/>
  <c r="G120" i="8"/>
  <c r="G124" i="8"/>
  <c r="G128" i="8"/>
  <c r="G132" i="8"/>
  <c r="G136" i="8"/>
  <c r="G140" i="8"/>
  <c r="G148" i="8"/>
  <c r="G99" i="8"/>
  <c r="G119" i="8"/>
  <c r="G139" i="8"/>
  <c r="G147" i="8"/>
  <c r="G106" i="8"/>
  <c r="G130" i="8"/>
  <c r="G146" i="8"/>
  <c r="G115" i="8"/>
  <c r="G131" i="8"/>
  <c r="G90" i="8"/>
  <c r="G102" i="8"/>
  <c r="G118" i="8"/>
  <c r="F5" i="11"/>
  <c r="E6" i="15"/>
  <c r="L6" i="15" s="1"/>
  <c r="Y7" i="8"/>
  <c r="D4" i="11"/>
  <c r="Y6" i="8"/>
  <c r="B5" i="15"/>
  <c r="L5" i="15" s="1"/>
  <c r="H28" i="15"/>
  <c r="L28" i="15" s="1"/>
  <c r="Y29" i="8"/>
  <c r="Y27" i="8"/>
  <c r="G26" i="15"/>
  <c r="L26" i="15" s="1"/>
  <c r="L56" i="18"/>
  <c r="B56" i="11"/>
  <c r="L56" i="11" s="1"/>
  <c r="Y57" i="10"/>
  <c r="B60" i="11"/>
  <c r="L60" i="11" s="1"/>
  <c r="Y61" i="10"/>
  <c r="B68" i="11"/>
  <c r="L68" i="11" s="1"/>
  <c r="Y69" i="10"/>
  <c r="B65" i="11"/>
  <c r="L65" i="11" s="1"/>
  <c r="Y66" i="10"/>
  <c r="B66" i="11"/>
  <c r="L66" i="11" s="1"/>
  <c r="Y67" i="10"/>
  <c r="B67" i="11"/>
  <c r="L67" i="11" s="1"/>
  <c r="Y68" i="10"/>
  <c r="B62" i="11"/>
  <c r="L62" i="11" s="1"/>
  <c r="Y63" i="10"/>
  <c r="B70" i="11"/>
  <c r="L70" i="11" s="1"/>
  <c r="Y71" i="10"/>
  <c r="B57" i="11"/>
  <c r="L57" i="11" s="1"/>
  <c r="Y58" i="10"/>
  <c r="B53" i="11"/>
  <c r="L53" i="11" s="1"/>
  <c r="Y54" i="10"/>
  <c r="B69" i="11"/>
  <c r="L69" i="11" s="1"/>
  <c r="Y70" i="10"/>
  <c r="B54" i="11"/>
  <c r="L54" i="11" s="1"/>
  <c r="Y55" i="10"/>
  <c r="B55" i="11"/>
  <c r="L55" i="11" s="1"/>
  <c r="Y56" i="10"/>
  <c r="B58" i="11"/>
  <c r="L58" i="11" s="1"/>
  <c r="Y59" i="10"/>
  <c r="B59" i="11"/>
  <c r="L59" i="11" s="1"/>
  <c r="Y60" i="10"/>
  <c r="B64" i="11"/>
  <c r="L64" i="11" s="1"/>
  <c r="Y65" i="10"/>
  <c r="B72" i="11"/>
  <c r="L72" i="11" s="1"/>
  <c r="Y73" i="10"/>
  <c r="B71" i="11"/>
  <c r="L71" i="11" s="1"/>
  <c r="Y72" i="10"/>
  <c r="B61" i="11"/>
  <c r="L61" i="11" s="1"/>
  <c r="Y62" i="10"/>
  <c r="B63" i="11"/>
  <c r="L63" i="11" s="1"/>
  <c r="Y64" i="10"/>
  <c r="Y12" i="8"/>
  <c r="B11" i="15"/>
  <c r="L11" i="15" s="1"/>
  <c r="L39" i="11"/>
  <c r="L43" i="11"/>
  <c r="L34" i="11"/>
  <c r="L40" i="11"/>
  <c r="L38" i="11"/>
  <c r="L33" i="11"/>
  <c r="L41" i="11"/>
  <c r="L35" i="11"/>
  <c r="L36" i="11"/>
  <c r="L44" i="11"/>
  <c r="L42" i="11"/>
  <c r="L37" i="11"/>
  <c r="L18" i="10"/>
  <c r="L30" i="10"/>
  <c r="L34" i="10"/>
  <c r="L32" i="11"/>
  <c r="L29" i="10"/>
  <c r="Y43" i="10"/>
  <c r="Y33" i="10"/>
  <c r="L39" i="10"/>
  <c r="L43" i="10"/>
  <c r="L19" i="10"/>
  <c r="L40" i="10"/>
  <c r="Y40" i="10"/>
  <c r="B29" i="11"/>
  <c r="L29" i="11" s="1"/>
  <c r="Y30" i="10"/>
  <c r="Y13" i="10"/>
  <c r="D12" i="11"/>
  <c r="L12" i="11" s="1"/>
  <c r="Q50" i="10"/>
  <c r="L50" i="10"/>
  <c r="P49" i="10"/>
  <c r="L49" i="10"/>
  <c r="D20" i="11"/>
  <c r="L20" i="11" s="1"/>
  <c r="Y21" i="10"/>
  <c r="L20" i="10"/>
  <c r="L35" i="10"/>
  <c r="L22" i="10"/>
  <c r="L32" i="10"/>
  <c r="D18" i="11"/>
  <c r="L18" i="11" s="1"/>
  <c r="Y19" i="10"/>
  <c r="Q12" i="10"/>
  <c r="L12" i="10"/>
  <c r="Q53" i="10"/>
  <c r="L53" i="10"/>
  <c r="Y36" i="10"/>
  <c r="L47" i="10"/>
  <c r="P47" i="10"/>
  <c r="Y38" i="10"/>
  <c r="L17" i="10"/>
  <c r="D19" i="11"/>
  <c r="L19" i="11" s="1"/>
  <c r="Y20" i="10"/>
  <c r="D21" i="11"/>
  <c r="L21" i="11" s="1"/>
  <c r="Y22" i="10"/>
  <c r="L33" i="10"/>
  <c r="B26" i="11"/>
  <c r="L26" i="11" s="1"/>
  <c r="Y27" i="10"/>
  <c r="L25" i="10"/>
  <c r="D15" i="11"/>
  <c r="L15" i="11" s="1"/>
  <c r="Y16" i="10"/>
  <c r="P6" i="10"/>
  <c r="L6" i="10"/>
  <c r="Y37" i="10"/>
  <c r="Y34" i="10"/>
  <c r="D16" i="11"/>
  <c r="L16" i="11" s="1"/>
  <c r="Y17" i="10"/>
  <c r="B30" i="11"/>
  <c r="L30" i="11" s="1"/>
  <c r="Y31" i="10"/>
  <c r="L41" i="10"/>
  <c r="L36" i="10"/>
  <c r="L27" i="10"/>
  <c r="D24" i="11"/>
  <c r="L24" i="11" s="1"/>
  <c r="Y25" i="10"/>
  <c r="Q10" i="10"/>
  <c r="L10" i="10"/>
  <c r="Q51" i="10"/>
  <c r="L51" i="10"/>
  <c r="L23" i="10"/>
  <c r="P5" i="10"/>
  <c r="L5" i="10"/>
  <c r="P46" i="10"/>
  <c r="L46" i="10"/>
  <c r="L38" i="10"/>
  <c r="L31" i="10"/>
  <c r="D10" i="11"/>
  <c r="L10" i="11" s="1"/>
  <c r="Y11" i="10"/>
  <c r="Q9" i="10"/>
  <c r="L9" i="10"/>
  <c r="D22" i="11"/>
  <c r="L22" i="11" s="1"/>
  <c r="Y23" i="10"/>
  <c r="Y44" i="10"/>
  <c r="Y45" i="10"/>
  <c r="L44" i="10"/>
  <c r="B25" i="11"/>
  <c r="L25" i="11" s="1"/>
  <c r="Y26" i="10"/>
  <c r="B28" i="11"/>
  <c r="L28" i="11" s="1"/>
  <c r="Y29" i="10"/>
  <c r="Q52" i="10"/>
  <c r="L52" i="10"/>
  <c r="Y41" i="10"/>
  <c r="P48" i="10"/>
  <c r="L48" i="10"/>
  <c r="Y28" i="10"/>
  <c r="B27" i="11"/>
  <c r="L27" i="11" s="1"/>
  <c r="L26" i="10"/>
  <c r="D13" i="11"/>
  <c r="L13" i="11" s="1"/>
  <c r="Y14" i="10"/>
  <c r="Y35" i="10"/>
  <c r="Y39" i="10"/>
  <c r="P7" i="10"/>
  <c r="L7" i="10"/>
  <c r="L28" i="10"/>
  <c r="L24" i="10"/>
  <c r="L37" i="10"/>
  <c r="L42" i="10"/>
  <c r="L15" i="10"/>
  <c r="D17" i="11"/>
  <c r="L17" i="11" s="1"/>
  <c r="Y18" i="10"/>
  <c r="L45" i="10"/>
  <c r="Y42" i="10"/>
  <c r="P8" i="10"/>
  <c r="L8" i="10"/>
  <c r="L21" i="10"/>
  <c r="D23" i="11"/>
  <c r="L23" i="11" s="1"/>
  <c r="Y24" i="10"/>
  <c r="B31" i="11"/>
  <c r="L31" i="11" s="1"/>
  <c r="Y32" i="10"/>
  <c r="D14" i="11"/>
  <c r="L14" i="11" s="1"/>
  <c r="Y15" i="10"/>
  <c r="Y23" i="18"/>
  <c r="Q26" i="6"/>
  <c r="Y4" i="18"/>
  <c r="L53" i="18"/>
  <c r="Y24" i="8"/>
  <c r="F23" i="15"/>
  <c r="L23" i="15" s="1"/>
  <c r="L46" i="18"/>
  <c r="E16" i="15"/>
  <c r="L16" i="15" s="1"/>
  <c r="Y17" i="8"/>
  <c r="L38" i="18"/>
  <c r="Y9" i="8"/>
  <c r="C8" i="15"/>
  <c r="L8" i="15" s="1"/>
  <c r="X106" i="18"/>
  <c r="X108" i="18"/>
  <c r="X101" i="18"/>
  <c r="X107" i="18"/>
  <c r="X88" i="8"/>
  <c r="X112" i="18"/>
  <c r="X102" i="18"/>
  <c r="X113" i="18"/>
  <c r="X89" i="8"/>
  <c r="X99" i="18"/>
  <c r="X114" i="18"/>
  <c r="X90" i="18"/>
  <c r="X103" i="18"/>
  <c r="X97" i="18"/>
  <c r="X88" i="18"/>
  <c r="X98" i="18"/>
  <c r="X104" i="18"/>
  <c r="X105" i="18"/>
  <c r="X100" i="18"/>
  <c r="X110" i="18"/>
  <c r="X92" i="18"/>
  <c r="X95" i="18"/>
  <c r="X94" i="18"/>
  <c r="X111" i="18"/>
  <c r="X93" i="18"/>
  <c r="X89" i="18"/>
  <c r="X87" i="18"/>
  <c r="X109" i="18"/>
  <c r="X90" i="8"/>
  <c r="X96" i="18"/>
  <c r="X91" i="18"/>
  <c r="X115" i="8"/>
  <c r="X111" i="8"/>
  <c r="X110" i="8"/>
  <c r="X99" i="8"/>
  <c r="X114" i="8"/>
  <c r="X106" i="8"/>
  <c r="X101" i="8"/>
  <c r="X92" i="8"/>
  <c r="X91" i="8"/>
  <c r="X107" i="8"/>
  <c r="X112" i="8"/>
  <c r="X105" i="8"/>
  <c r="X96" i="8"/>
  <c r="X102" i="8"/>
  <c r="X108" i="8"/>
  <c r="X109" i="8"/>
  <c r="X94" i="8"/>
  <c r="X103" i="8"/>
  <c r="X100" i="8"/>
  <c r="X95" i="8"/>
  <c r="X93" i="8"/>
  <c r="X97" i="8"/>
  <c r="X104" i="8"/>
  <c r="X98" i="8"/>
  <c r="X113" i="8"/>
  <c r="W98" i="18"/>
  <c r="W94" i="18"/>
  <c r="W96" i="18"/>
  <c r="W109" i="18"/>
  <c r="W114" i="18"/>
  <c r="W108" i="18"/>
  <c r="W90" i="18"/>
  <c r="W99" i="18"/>
  <c r="W102" i="18"/>
  <c r="W89" i="8"/>
  <c r="W88" i="8"/>
  <c r="W97" i="18"/>
  <c r="W100" i="18"/>
  <c r="W106" i="18"/>
  <c r="W111" i="18"/>
  <c r="W113" i="18"/>
  <c r="Y113" i="18" s="1"/>
  <c r="W91" i="18"/>
  <c r="W93" i="18"/>
  <c r="W92" i="18"/>
  <c r="W88" i="18"/>
  <c r="W95" i="18"/>
  <c r="W104" i="18"/>
  <c r="W101" i="18"/>
  <c r="W107" i="18"/>
  <c r="W89" i="18"/>
  <c r="W105" i="18"/>
  <c r="W90" i="8"/>
  <c r="W110" i="18"/>
  <c r="W87" i="18"/>
  <c r="W112" i="18"/>
  <c r="W103" i="18"/>
  <c r="W94" i="8"/>
  <c r="Y94" i="8" s="1"/>
  <c r="W99" i="8"/>
  <c r="W98" i="8"/>
  <c r="W113" i="8"/>
  <c r="W91" i="8"/>
  <c r="W96" i="8"/>
  <c r="W104" i="8"/>
  <c r="W114" i="8"/>
  <c r="W95" i="8"/>
  <c r="W106" i="8"/>
  <c r="W115" i="8"/>
  <c r="W103" i="8"/>
  <c r="W93" i="8"/>
  <c r="Y93" i="8" s="1"/>
  <c r="W108" i="8"/>
  <c r="W111" i="8"/>
  <c r="W101" i="8"/>
  <c r="W102" i="8"/>
  <c r="W100" i="8"/>
  <c r="W107" i="8"/>
  <c r="W110" i="8"/>
  <c r="W112" i="8"/>
  <c r="W92" i="8"/>
  <c r="W97" i="8"/>
  <c r="W105" i="8"/>
  <c r="W109" i="8"/>
  <c r="L64" i="18"/>
  <c r="X118" i="8"/>
  <c r="X151" i="8"/>
  <c r="X116" i="8"/>
  <c r="X153" i="8"/>
  <c r="X123" i="8"/>
  <c r="X116" i="18"/>
  <c r="X148" i="18"/>
  <c r="X125" i="18"/>
  <c r="X124" i="18"/>
  <c r="X164" i="8"/>
  <c r="X157" i="18"/>
  <c r="X156" i="18"/>
  <c r="X138" i="8"/>
  <c r="X148" i="8"/>
  <c r="X130" i="8"/>
  <c r="X129" i="8"/>
  <c r="X160" i="8"/>
  <c r="X128" i="18"/>
  <c r="X154" i="18"/>
  <c r="X135" i="18"/>
  <c r="X140" i="18"/>
  <c r="X143" i="18"/>
  <c r="X145" i="18"/>
  <c r="X153" i="18"/>
  <c r="X141" i="18"/>
  <c r="X144" i="8"/>
  <c r="X135" i="8"/>
  <c r="X155" i="8"/>
  <c r="X119" i="8"/>
  <c r="X143" i="8"/>
  <c r="X122" i="8"/>
  <c r="X119" i="18"/>
  <c r="X127" i="18"/>
  <c r="X142" i="18"/>
  <c r="X134" i="18"/>
  <c r="X115" i="18"/>
  <c r="X162" i="18"/>
  <c r="X147" i="18"/>
  <c r="X150" i="8"/>
  <c r="X127" i="8"/>
  <c r="X140" i="8"/>
  <c r="X133" i="8"/>
  <c r="X132" i="8"/>
  <c r="X147" i="8"/>
  <c r="X139" i="18"/>
  <c r="X131" i="18"/>
  <c r="X150" i="18"/>
  <c r="X163" i="18"/>
  <c r="X121" i="18"/>
  <c r="X118" i="18"/>
  <c r="X161" i="18"/>
  <c r="X125" i="8"/>
  <c r="X141" i="8"/>
  <c r="X117" i="8"/>
  <c r="X157" i="8"/>
  <c r="X146" i="8"/>
  <c r="X128" i="8"/>
  <c r="X136" i="18"/>
  <c r="X144" i="18"/>
  <c r="X152" i="18"/>
  <c r="X149" i="18"/>
  <c r="X166" i="8"/>
  <c r="X164" i="18"/>
  <c r="X163" i="8"/>
  <c r="X124" i="8"/>
  <c r="X142" i="8"/>
  <c r="X154" i="8"/>
  <c r="X152" i="8"/>
  <c r="X134" i="8"/>
  <c r="X149" i="8"/>
  <c r="X155" i="18"/>
  <c r="X137" i="18"/>
  <c r="X117" i="18"/>
  <c r="X129" i="18"/>
  <c r="X120" i="18"/>
  <c r="X122" i="18"/>
  <c r="X160" i="18"/>
  <c r="X156" i="8"/>
  <c r="X136" i="8"/>
  <c r="X121" i="8"/>
  <c r="X159" i="8"/>
  <c r="X161" i="8"/>
  <c r="X126" i="8"/>
  <c r="X158" i="18"/>
  <c r="X146" i="18"/>
  <c r="X151" i="18"/>
  <c r="X133" i="18"/>
  <c r="X162" i="8"/>
  <c r="X132" i="18"/>
  <c r="X126" i="18"/>
  <c r="X131" i="8"/>
  <c r="X145" i="8"/>
  <c r="X165" i="18"/>
  <c r="X123" i="18"/>
  <c r="X120" i="8"/>
  <c r="X159" i="18"/>
  <c r="X137" i="8"/>
  <c r="X165" i="8"/>
  <c r="X158" i="8"/>
  <c r="X130" i="18"/>
  <c r="X139" i="8"/>
  <c r="X138" i="18"/>
  <c r="Y5" i="8"/>
  <c r="B4" i="15"/>
  <c r="L4" i="15" s="1"/>
  <c r="M4" i="15" s="1"/>
  <c r="Y33" i="8"/>
  <c r="J32" i="15"/>
  <c r="L32" i="15" s="1"/>
  <c r="Y32" i="8"/>
  <c r="I31" i="15"/>
  <c r="L31" i="15" s="1"/>
  <c r="Y32" i="18"/>
  <c r="H30" i="15"/>
  <c r="L30" i="15" s="1"/>
  <c r="Y31" i="8"/>
  <c r="Y13" i="8"/>
  <c r="D12" i="15"/>
  <c r="L12" i="15" s="1"/>
  <c r="G24" i="15"/>
  <c r="L24" i="15" s="1"/>
  <c r="Y25" i="8"/>
  <c r="Y21" i="8"/>
  <c r="E20" i="15"/>
  <c r="L20" i="15" s="1"/>
  <c r="W132" i="8"/>
  <c r="W139" i="8"/>
  <c r="W156" i="8"/>
  <c r="W145" i="8"/>
  <c r="W148" i="8"/>
  <c r="W166" i="8"/>
  <c r="W128" i="18"/>
  <c r="W125" i="18"/>
  <c r="W152" i="18"/>
  <c r="W149" i="18"/>
  <c r="W143" i="18"/>
  <c r="W121" i="18"/>
  <c r="W135" i="18"/>
  <c r="W142" i="8"/>
  <c r="W137" i="8"/>
  <c r="W159" i="8"/>
  <c r="W117" i="8"/>
  <c r="W138" i="8"/>
  <c r="W121" i="8"/>
  <c r="W134" i="18"/>
  <c r="W129" i="18"/>
  <c r="W116" i="18"/>
  <c r="W153" i="18"/>
  <c r="W146" i="18"/>
  <c r="W147" i="18"/>
  <c r="W162" i="18"/>
  <c r="W118" i="8"/>
  <c r="W116" i="8"/>
  <c r="W144" i="8"/>
  <c r="W131" i="8"/>
  <c r="W161" i="8"/>
  <c r="W143" i="8"/>
  <c r="W163" i="18"/>
  <c r="W164" i="18"/>
  <c r="W157" i="18"/>
  <c r="W122" i="18"/>
  <c r="W148" i="18"/>
  <c r="W138" i="18"/>
  <c r="W119" i="18"/>
  <c r="W129" i="8"/>
  <c r="W130" i="8"/>
  <c r="W152" i="8"/>
  <c r="W165" i="8"/>
  <c r="W155" i="8"/>
  <c r="W134" i="8"/>
  <c r="W155" i="18"/>
  <c r="W137" i="18"/>
  <c r="W118" i="18"/>
  <c r="W156" i="18"/>
  <c r="W123" i="18"/>
  <c r="W139" i="18"/>
  <c r="W115" i="18"/>
  <c r="W158" i="18"/>
  <c r="W164" i="8"/>
  <c r="W163" i="8"/>
  <c r="W122" i="8"/>
  <c r="W150" i="8"/>
  <c r="W119" i="8"/>
  <c r="W146" i="8"/>
  <c r="W127" i="18"/>
  <c r="W161" i="18"/>
  <c r="W124" i="18"/>
  <c r="W120" i="18"/>
  <c r="W136" i="18"/>
  <c r="W132" i="18"/>
  <c r="W160" i="8"/>
  <c r="W158" i="8"/>
  <c r="W126" i="8"/>
  <c r="W149" i="8"/>
  <c r="W120" i="8"/>
  <c r="W133" i="8"/>
  <c r="W124" i="8"/>
  <c r="W151" i="18"/>
  <c r="W140" i="18"/>
  <c r="W130" i="18"/>
  <c r="W126" i="18"/>
  <c r="W165" i="18"/>
  <c r="W162" i="8"/>
  <c r="W123" i="8"/>
  <c r="W141" i="8"/>
  <c r="W125" i="8"/>
  <c r="W154" i="8"/>
  <c r="W151" i="8"/>
  <c r="W140" i="8"/>
  <c r="W141" i="18"/>
  <c r="W145" i="18"/>
  <c r="W133" i="18"/>
  <c r="W154" i="18"/>
  <c r="W117" i="18"/>
  <c r="W157" i="8"/>
  <c r="W131" i="18"/>
  <c r="W135" i="8"/>
  <c r="W142" i="18"/>
  <c r="W127" i="8"/>
  <c r="W160" i="18"/>
  <c r="W153" i="8"/>
  <c r="W144" i="18"/>
  <c r="W128" i="8"/>
  <c r="W147" i="8"/>
  <c r="W150" i="18"/>
  <c r="W136" i="8"/>
  <c r="W159" i="18"/>
  <c r="Y23" i="8"/>
  <c r="F22" i="15"/>
  <c r="L22" i="15" s="1"/>
  <c r="Y8" i="8"/>
  <c r="C7" i="15"/>
  <c r="L7" i="15" s="1"/>
  <c r="L34" i="18"/>
  <c r="L66" i="18" l="1"/>
  <c r="L40" i="18"/>
  <c r="L70" i="18"/>
  <c r="E6" i="11"/>
  <c r="L124" i="18"/>
  <c r="L127" i="18"/>
  <c r="L123" i="18"/>
  <c r="L121" i="18"/>
  <c r="L122" i="18"/>
  <c r="L133" i="18"/>
  <c r="L137" i="18"/>
  <c r="Y148" i="18"/>
  <c r="V3" i="10"/>
  <c r="W3" i="10"/>
  <c r="Y156" i="18"/>
  <c r="Y93" i="18"/>
  <c r="L114" i="18"/>
  <c r="L129" i="18"/>
  <c r="Y105" i="18"/>
  <c r="L134" i="18"/>
  <c r="L140" i="18"/>
  <c r="L131" i="18"/>
  <c r="L148" i="18"/>
  <c r="L136" i="18"/>
  <c r="L67" i="18"/>
  <c r="L107" i="18"/>
  <c r="L108" i="18"/>
  <c r="L113" i="18"/>
  <c r="L150" i="18"/>
  <c r="L126" i="18"/>
  <c r="L141" i="18"/>
  <c r="H6" i="11"/>
  <c r="T3" i="10"/>
  <c r="T154" i="10" s="1"/>
  <c r="Y115" i="18"/>
  <c r="Y91" i="8"/>
  <c r="L144" i="18"/>
  <c r="Y125" i="8"/>
  <c r="L132" i="18"/>
  <c r="Y103" i="18"/>
  <c r="L139" i="18"/>
  <c r="Y155" i="8"/>
  <c r="Y122" i="18"/>
  <c r="L128" i="18"/>
  <c r="Y148" i="8"/>
  <c r="Y112" i="18"/>
  <c r="Y92" i="8"/>
  <c r="L138" i="18"/>
  <c r="L117" i="18"/>
  <c r="Y112" i="8"/>
  <c r="Y88" i="18"/>
  <c r="L146" i="18"/>
  <c r="Y108" i="18"/>
  <c r="L155" i="18"/>
  <c r="Y152" i="8"/>
  <c r="Y110" i="8"/>
  <c r="L143" i="18"/>
  <c r="Y100" i="8"/>
  <c r="Y89" i="18"/>
  <c r="Y104" i="8"/>
  <c r="Y120" i="18"/>
  <c r="Y99" i="18"/>
  <c r="L115" i="18"/>
  <c r="L149" i="18"/>
  <c r="L125" i="18"/>
  <c r="L142" i="18"/>
  <c r="L118" i="18"/>
  <c r="L145" i="18"/>
  <c r="L135" i="18"/>
  <c r="X3" i="10"/>
  <c r="X88" i="10" s="1"/>
  <c r="R44" i="5"/>
  <c r="T43" i="5"/>
  <c r="Y136" i="8"/>
  <c r="S3" i="10"/>
  <c r="S153" i="10" s="1"/>
  <c r="O157" i="10"/>
  <c r="O158" i="10"/>
  <c r="O159" i="10"/>
  <c r="I137" i="8"/>
  <c r="I121" i="8"/>
  <c r="I158" i="8"/>
  <c r="L158" i="8" s="1"/>
  <c r="AB74" i="11" s="1"/>
  <c r="AC74" i="11" s="1"/>
  <c r="I110" i="8"/>
  <c r="I124" i="8"/>
  <c r="I132" i="8"/>
  <c r="I147" i="8"/>
  <c r="I120" i="8"/>
  <c r="I135" i="8"/>
  <c r="I119" i="8"/>
  <c r="L88" i="8"/>
  <c r="I166" i="8"/>
  <c r="L166" i="8" s="1"/>
  <c r="AB82" i="11" s="1"/>
  <c r="AC82" i="11" s="1"/>
  <c r="I117" i="8"/>
  <c r="I142" i="8"/>
  <c r="I115" i="8"/>
  <c r="I148" i="8"/>
  <c r="I134" i="8"/>
  <c r="I144" i="8"/>
  <c r="I122" i="8"/>
  <c r="I145" i="8"/>
  <c r="I129" i="8"/>
  <c r="I113" i="8"/>
  <c r="I138" i="8"/>
  <c r="I126" i="8"/>
  <c r="I136" i="8"/>
  <c r="I146" i="8"/>
  <c r="I143" i="8"/>
  <c r="I127" i="8"/>
  <c r="I111" i="8"/>
  <c r="I159" i="8"/>
  <c r="L159" i="8" s="1"/>
  <c r="AB75" i="11" s="1"/>
  <c r="AC75" i="11" s="1"/>
  <c r="I149" i="8"/>
  <c r="I130" i="8"/>
  <c r="I114" i="8"/>
  <c r="I128" i="8"/>
  <c r="I112" i="8"/>
  <c r="I141" i="8"/>
  <c r="I125" i="8"/>
  <c r="I157" i="8"/>
  <c r="L157" i="8" s="1"/>
  <c r="AB73" i="11" s="1"/>
  <c r="AC73" i="11" s="1"/>
  <c r="I133" i="8"/>
  <c r="I165" i="8"/>
  <c r="L165" i="8" s="1"/>
  <c r="AB81" i="11" s="1"/>
  <c r="AC81" i="11" s="1"/>
  <c r="I131" i="8"/>
  <c r="I118" i="8"/>
  <c r="I116" i="8"/>
  <c r="I140" i="8"/>
  <c r="I139" i="8"/>
  <c r="I123" i="8"/>
  <c r="I154" i="8"/>
  <c r="I162" i="8"/>
  <c r="L162" i="8" s="1"/>
  <c r="AB78" i="11" s="1"/>
  <c r="AC78" i="11" s="1"/>
  <c r="I151" i="8"/>
  <c r="I160" i="8"/>
  <c r="L160" i="8" s="1"/>
  <c r="AB76" i="11" s="1"/>
  <c r="AC76" i="11" s="1"/>
  <c r="I153" i="8"/>
  <c r="I156" i="8"/>
  <c r="I161" i="8"/>
  <c r="L161" i="8" s="1"/>
  <c r="AB77" i="11" s="1"/>
  <c r="AC77" i="11" s="1"/>
  <c r="I163" i="8"/>
  <c r="L163" i="8" s="1"/>
  <c r="AB79" i="11" s="1"/>
  <c r="AC79" i="11" s="1"/>
  <c r="D123" i="8"/>
  <c r="D128" i="8"/>
  <c r="D105" i="8"/>
  <c r="L105" i="8" s="1"/>
  <c r="AB21" i="11" s="1"/>
  <c r="AC21" i="11" s="1"/>
  <c r="D130" i="8"/>
  <c r="D100" i="8"/>
  <c r="L100" i="8" s="1"/>
  <c r="AB16" i="11" s="1"/>
  <c r="AC16" i="11" s="1"/>
  <c r="D101" i="8"/>
  <c r="L101" i="8" s="1"/>
  <c r="AB17" i="11" s="1"/>
  <c r="AC17" i="11" s="1"/>
  <c r="D102" i="8"/>
  <c r="L102" i="8" s="1"/>
  <c r="AB18" i="11" s="1"/>
  <c r="AC18" i="11" s="1"/>
  <c r="D136" i="8"/>
  <c r="D113" i="8"/>
  <c r="D146" i="8"/>
  <c r="D108" i="8"/>
  <c r="L108" i="8" s="1"/>
  <c r="AB24" i="11" s="1"/>
  <c r="AC24" i="11" s="1"/>
  <c r="D109" i="8"/>
  <c r="L109" i="8" s="1"/>
  <c r="AB25" i="11" s="1"/>
  <c r="AC25" i="11" s="1"/>
  <c r="D110" i="8"/>
  <c r="D103" i="8"/>
  <c r="L103" i="8" s="1"/>
  <c r="AB19" i="11" s="1"/>
  <c r="AC19" i="11" s="1"/>
  <c r="D144" i="8"/>
  <c r="D121" i="8"/>
  <c r="D116" i="8"/>
  <c r="D117" i="8"/>
  <c r="D118" i="8"/>
  <c r="D119" i="8"/>
  <c r="D106" i="8"/>
  <c r="L106" i="8" s="1"/>
  <c r="AB22" i="11" s="1"/>
  <c r="AC22" i="11" s="1"/>
  <c r="D129" i="8"/>
  <c r="D124" i="8"/>
  <c r="L124" i="8" s="1"/>
  <c r="AB40" i="11" s="1"/>
  <c r="AC40" i="11" s="1"/>
  <c r="D133" i="8"/>
  <c r="D126" i="8"/>
  <c r="D96" i="8"/>
  <c r="L96" i="8" s="1"/>
  <c r="AB12" i="11" s="1"/>
  <c r="AC12" i="11" s="1"/>
  <c r="D122" i="8"/>
  <c r="D137" i="8"/>
  <c r="D140" i="8"/>
  <c r="D141" i="8"/>
  <c r="L141" i="8" s="1"/>
  <c r="AB57" i="11" s="1"/>
  <c r="AC57" i="11" s="1"/>
  <c r="D134" i="8"/>
  <c r="D104" i="8"/>
  <c r="L104" i="8" s="1"/>
  <c r="AB20" i="11" s="1"/>
  <c r="AC20" i="11" s="1"/>
  <c r="D138" i="8"/>
  <c r="L138" i="8" s="1"/>
  <c r="AB54" i="11" s="1"/>
  <c r="AC54" i="11" s="1"/>
  <c r="D145" i="8"/>
  <c r="D148" i="8"/>
  <c r="D149" i="8"/>
  <c r="D142" i="8"/>
  <c r="D112" i="8"/>
  <c r="D98" i="8"/>
  <c r="L98" i="8" s="1"/>
  <c r="AB14" i="11" s="1"/>
  <c r="AC14" i="11" s="1"/>
  <c r="D115" i="8"/>
  <c r="D135" i="8"/>
  <c r="D127" i="8"/>
  <c r="D111" i="8"/>
  <c r="D120" i="8"/>
  <c r="D97" i="8"/>
  <c r="L97" i="8" s="1"/>
  <c r="AB13" i="11" s="1"/>
  <c r="AC13" i="11" s="1"/>
  <c r="D114" i="8"/>
  <c r="D155" i="8"/>
  <c r="D150" i="8"/>
  <c r="L150" i="8" s="1"/>
  <c r="AB66" i="11" s="1"/>
  <c r="AC66" i="11" s="1"/>
  <c r="D125" i="8"/>
  <c r="D151" i="8"/>
  <c r="D132" i="8"/>
  <c r="D156" i="8"/>
  <c r="D99" i="8"/>
  <c r="L99" i="8" s="1"/>
  <c r="AB15" i="11" s="1"/>
  <c r="AC15" i="11" s="1"/>
  <c r="D152" i="8"/>
  <c r="D139" i="8"/>
  <c r="L139" i="8" s="1"/>
  <c r="AB55" i="11" s="1"/>
  <c r="AC55" i="11" s="1"/>
  <c r="D153" i="8"/>
  <c r="D143" i="8"/>
  <c r="D154" i="8"/>
  <c r="D107" i="8"/>
  <c r="L107" i="8" s="1"/>
  <c r="AB23" i="11" s="1"/>
  <c r="AC23" i="11" s="1"/>
  <c r="D131" i="8"/>
  <c r="D147" i="8"/>
  <c r="I152" i="8"/>
  <c r="I164" i="8"/>
  <c r="L164" i="8" s="1"/>
  <c r="AB80" i="11" s="1"/>
  <c r="AC80" i="11" s="1"/>
  <c r="I155" i="8"/>
  <c r="L93" i="8"/>
  <c r="L90" i="8"/>
  <c r="L89" i="8"/>
  <c r="Y140" i="18"/>
  <c r="Y138" i="8"/>
  <c r="L92" i="8"/>
  <c r="Y160" i="18"/>
  <c r="Y123" i="8"/>
  <c r="X164" i="10"/>
  <c r="W149" i="10"/>
  <c r="W150" i="10"/>
  <c r="W156" i="10"/>
  <c r="W161" i="10"/>
  <c r="W166" i="10"/>
  <c r="W151" i="10"/>
  <c r="W154" i="10"/>
  <c r="W158" i="10"/>
  <c r="W165" i="10"/>
  <c r="W164" i="10"/>
  <c r="W152" i="10"/>
  <c r="W160" i="10"/>
  <c r="W155" i="10"/>
  <c r="W157" i="10"/>
  <c r="W163" i="10"/>
  <c r="W153" i="10"/>
  <c r="W159" i="10"/>
  <c r="W162" i="10"/>
  <c r="V157" i="10"/>
  <c r="V161" i="10"/>
  <c r="V166" i="10"/>
  <c r="V155" i="10"/>
  <c r="V151" i="10"/>
  <c r="V152" i="10"/>
  <c r="V154" i="10"/>
  <c r="V156" i="10"/>
  <c r="V160" i="10"/>
  <c r="V164" i="10"/>
  <c r="V153" i="10"/>
  <c r="V163" i="10"/>
  <c r="V165" i="10"/>
  <c r="V162" i="10"/>
  <c r="V150" i="10"/>
  <c r="V159" i="10"/>
  <c r="V158" i="10"/>
  <c r="U155" i="10"/>
  <c r="U161" i="10"/>
  <c r="U162" i="10"/>
  <c r="U163" i="10"/>
  <c r="U164" i="10"/>
  <c r="U152" i="10"/>
  <c r="U160" i="10"/>
  <c r="U165" i="10"/>
  <c r="U159" i="10"/>
  <c r="U166" i="10"/>
  <c r="U154" i="10"/>
  <c r="U158" i="10"/>
  <c r="U157" i="10"/>
  <c r="U151" i="10"/>
  <c r="U156" i="10"/>
  <c r="U153" i="10"/>
  <c r="T164" i="10"/>
  <c r="T159" i="10"/>
  <c r="T153" i="10"/>
  <c r="T157" i="10"/>
  <c r="R159" i="10"/>
  <c r="R152" i="10"/>
  <c r="R153" i="10"/>
  <c r="R154" i="10"/>
  <c r="R155" i="10"/>
  <c r="R156" i="10"/>
  <c r="R160" i="10"/>
  <c r="R151" i="10"/>
  <c r="R157" i="10"/>
  <c r="R161" i="10"/>
  <c r="R158" i="10"/>
  <c r="O89" i="10"/>
  <c r="O91" i="10"/>
  <c r="O92" i="10"/>
  <c r="O94" i="10"/>
  <c r="O95" i="10"/>
  <c r="O90" i="10"/>
  <c r="O93" i="10"/>
  <c r="O88" i="10"/>
  <c r="Y94" i="18"/>
  <c r="L95" i="8"/>
  <c r="L94" i="8"/>
  <c r="AB10" i="11" s="1"/>
  <c r="AC10" i="11" s="1"/>
  <c r="Y157" i="8"/>
  <c r="Y122" i="8"/>
  <c r="Q3" i="10"/>
  <c r="Q132" i="10" s="1"/>
  <c r="Y98" i="18"/>
  <c r="L91" i="8"/>
  <c r="O103" i="10"/>
  <c r="O111" i="10"/>
  <c r="O119" i="10"/>
  <c r="O127" i="10"/>
  <c r="O135" i="10"/>
  <c r="O143" i="10"/>
  <c r="O150" i="10"/>
  <c r="O96" i="10"/>
  <c r="O104" i="10"/>
  <c r="O112" i="10"/>
  <c r="O120" i="10"/>
  <c r="O128" i="10"/>
  <c r="O136" i="10"/>
  <c r="O144" i="10"/>
  <c r="O154" i="10"/>
  <c r="O102" i="10"/>
  <c r="O97" i="10"/>
  <c r="O105" i="10"/>
  <c r="O113" i="10"/>
  <c r="O121" i="10"/>
  <c r="O129" i="10"/>
  <c r="O137" i="10"/>
  <c r="O145" i="10"/>
  <c r="O101" i="10"/>
  <c r="O133" i="10"/>
  <c r="O152" i="10"/>
  <c r="O134" i="10"/>
  <c r="O142" i="10"/>
  <c r="O98" i="10"/>
  <c r="O106" i="10"/>
  <c r="O114" i="10"/>
  <c r="O122" i="10"/>
  <c r="O130" i="10"/>
  <c r="O138" i="10"/>
  <c r="O146" i="10"/>
  <c r="O155" i="10"/>
  <c r="O117" i="10"/>
  <c r="O141" i="10"/>
  <c r="O110" i="10"/>
  <c r="O99" i="10"/>
  <c r="O107" i="10"/>
  <c r="O115" i="10"/>
  <c r="O123" i="10"/>
  <c r="O131" i="10"/>
  <c r="O139" i="10"/>
  <c r="O147" i="10"/>
  <c r="O125" i="10"/>
  <c r="O118" i="10"/>
  <c r="O100" i="10"/>
  <c r="O108" i="10"/>
  <c r="O116" i="10"/>
  <c r="O124" i="10"/>
  <c r="O132" i="10"/>
  <c r="O140" i="10"/>
  <c r="O148" i="10"/>
  <c r="O151" i="10"/>
  <c r="O156" i="10"/>
  <c r="O109" i="10"/>
  <c r="O149" i="10"/>
  <c r="O126" i="10"/>
  <c r="O153" i="10"/>
  <c r="X93" i="10"/>
  <c r="X97" i="10"/>
  <c r="X101" i="10"/>
  <c r="X105" i="10"/>
  <c r="X109" i="10"/>
  <c r="X113" i="10"/>
  <c r="X129" i="10"/>
  <c r="X133" i="10"/>
  <c r="X90" i="10"/>
  <c r="X94" i="10"/>
  <c r="X98" i="10"/>
  <c r="X102" i="10"/>
  <c r="X106" i="10"/>
  <c r="X110" i="10"/>
  <c r="X114" i="10"/>
  <c r="X130" i="10"/>
  <c r="X134" i="10"/>
  <c r="X91" i="10"/>
  <c r="X95" i="10"/>
  <c r="X99" i="10"/>
  <c r="X103" i="10"/>
  <c r="X107" i="10"/>
  <c r="X111" i="10"/>
  <c r="X115" i="10"/>
  <c r="X135" i="10"/>
  <c r="X139" i="10"/>
  <c r="X89" i="10"/>
  <c r="X92" i="10"/>
  <c r="X96" i="10"/>
  <c r="X100" i="10"/>
  <c r="X104" i="10"/>
  <c r="X108" i="10"/>
  <c r="X112" i="10"/>
  <c r="X136" i="10"/>
  <c r="X140" i="10"/>
  <c r="W94" i="10"/>
  <c r="W102" i="10"/>
  <c r="W110" i="10"/>
  <c r="W118" i="10"/>
  <c r="W126" i="10"/>
  <c r="W134" i="10"/>
  <c r="W142" i="10"/>
  <c r="W144" i="10"/>
  <c r="W97" i="10"/>
  <c r="W105" i="10"/>
  <c r="W113" i="10"/>
  <c r="W121" i="10"/>
  <c r="W129" i="10"/>
  <c r="W137" i="10"/>
  <c r="W145" i="10"/>
  <c r="W88" i="10"/>
  <c r="W112" i="10"/>
  <c r="W92" i="10"/>
  <c r="W100" i="10"/>
  <c r="W108" i="10"/>
  <c r="W116" i="10"/>
  <c r="W124" i="10"/>
  <c r="W132" i="10"/>
  <c r="W140" i="10"/>
  <c r="W148" i="10"/>
  <c r="W90" i="10"/>
  <c r="W95" i="10"/>
  <c r="W103" i="10"/>
  <c r="W111" i="10"/>
  <c r="W119" i="10"/>
  <c r="W127" i="10"/>
  <c r="W135" i="10"/>
  <c r="W143" i="10"/>
  <c r="W136" i="10"/>
  <c r="W98" i="10"/>
  <c r="W106" i="10"/>
  <c r="W114" i="10"/>
  <c r="W122" i="10"/>
  <c r="W130" i="10"/>
  <c r="W138" i="10"/>
  <c r="W146" i="10"/>
  <c r="W93" i="10"/>
  <c r="W101" i="10"/>
  <c r="W109" i="10"/>
  <c r="W117" i="10"/>
  <c r="W125" i="10"/>
  <c r="W133" i="10"/>
  <c r="W141" i="10"/>
  <c r="W96" i="10"/>
  <c r="W104" i="10"/>
  <c r="W120" i="10"/>
  <c r="W128" i="10"/>
  <c r="W89" i="10"/>
  <c r="W91" i="10"/>
  <c r="W99" i="10"/>
  <c r="W107" i="10"/>
  <c r="W115" i="10"/>
  <c r="W123" i="10"/>
  <c r="W131" i="10"/>
  <c r="W139" i="10"/>
  <c r="W147" i="10"/>
  <c r="V91" i="10"/>
  <c r="V93" i="10"/>
  <c r="V95" i="10"/>
  <c r="V97" i="10"/>
  <c r="V99" i="10"/>
  <c r="V101" i="10"/>
  <c r="V103" i="10"/>
  <c r="V105" i="10"/>
  <c r="V107" i="10"/>
  <c r="V109" i="10"/>
  <c r="V111" i="10"/>
  <c r="V113" i="10"/>
  <c r="V115" i="10"/>
  <c r="V117" i="10"/>
  <c r="V119" i="10"/>
  <c r="V121" i="10"/>
  <c r="V123" i="10"/>
  <c r="V125" i="10"/>
  <c r="V127" i="10"/>
  <c r="V129" i="10"/>
  <c r="V131" i="10"/>
  <c r="V133" i="10"/>
  <c r="V135" i="10"/>
  <c r="V137" i="10"/>
  <c r="V139" i="10"/>
  <c r="V141" i="10"/>
  <c r="V143" i="10"/>
  <c r="V145" i="10"/>
  <c r="V147" i="10"/>
  <c r="V149" i="10"/>
  <c r="V90" i="10"/>
  <c r="V92" i="10"/>
  <c r="V94" i="10"/>
  <c r="V96" i="10"/>
  <c r="V98" i="10"/>
  <c r="V100" i="10"/>
  <c r="V102" i="10"/>
  <c r="V104" i="10"/>
  <c r="V106" i="10"/>
  <c r="V108" i="10"/>
  <c r="V110" i="10"/>
  <c r="V112" i="10"/>
  <c r="V114" i="10"/>
  <c r="V116" i="10"/>
  <c r="V118" i="10"/>
  <c r="V120" i="10"/>
  <c r="V122" i="10"/>
  <c r="V124" i="10"/>
  <c r="V126" i="10"/>
  <c r="V128" i="10"/>
  <c r="V130" i="10"/>
  <c r="V132" i="10"/>
  <c r="V134" i="10"/>
  <c r="V136" i="10"/>
  <c r="V138" i="10"/>
  <c r="V140" i="10"/>
  <c r="V142" i="10"/>
  <c r="V144" i="10"/>
  <c r="V146" i="10"/>
  <c r="V148" i="10"/>
  <c r="V89" i="10"/>
  <c r="U97" i="10"/>
  <c r="U105" i="10"/>
  <c r="U113" i="10"/>
  <c r="U121" i="10"/>
  <c r="U129" i="10"/>
  <c r="U137" i="10"/>
  <c r="U145" i="10"/>
  <c r="U124" i="10"/>
  <c r="U94" i="10"/>
  <c r="U102" i="10"/>
  <c r="U110" i="10"/>
  <c r="U118" i="10"/>
  <c r="U126" i="10"/>
  <c r="U134" i="10"/>
  <c r="U142" i="10"/>
  <c r="U148" i="10"/>
  <c r="U91" i="10"/>
  <c r="U99" i="10"/>
  <c r="U107" i="10"/>
  <c r="U115" i="10"/>
  <c r="U123" i="10"/>
  <c r="U131" i="10"/>
  <c r="U139" i="10"/>
  <c r="U147" i="10"/>
  <c r="U150" i="10"/>
  <c r="U140" i="10"/>
  <c r="U96" i="10"/>
  <c r="U104" i="10"/>
  <c r="U112" i="10"/>
  <c r="U120" i="10"/>
  <c r="U128" i="10"/>
  <c r="U136" i="10"/>
  <c r="U144" i="10"/>
  <c r="U90" i="10"/>
  <c r="U93" i="10"/>
  <c r="U101" i="10"/>
  <c r="U109" i="10"/>
  <c r="U117" i="10"/>
  <c r="U125" i="10"/>
  <c r="U133" i="10"/>
  <c r="U141" i="10"/>
  <c r="U149" i="10"/>
  <c r="U98" i="10"/>
  <c r="U106" i="10"/>
  <c r="U114" i="10"/>
  <c r="U122" i="10"/>
  <c r="U130" i="10"/>
  <c r="U138" i="10"/>
  <c r="U146" i="10"/>
  <c r="U100" i="10"/>
  <c r="U116" i="10"/>
  <c r="U95" i="10"/>
  <c r="U103" i="10"/>
  <c r="U111" i="10"/>
  <c r="U119" i="10"/>
  <c r="U127" i="10"/>
  <c r="U135" i="10"/>
  <c r="U143" i="10"/>
  <c r="U92" i="10"/>
  <c r="U108" i="10"/>
  <c r="U132" i="10"/>
  <c r="T138" i="10"/>
  <c r="T97" i="10"/>
  <c r="T149" i="10"/>
  <c r="T92" i="10"/>
  <c r="T96" i="10"/>
  <c r="T100" i="10"/>
  <c r="T104" i="10"/>
  <c r="T108" i="10"/>
  <c r="T112" i="10"/>
  <c r="T120" i="10"/>
  <c r="T136" i="10"/>
  <c r="T140" i="10"/>
  <c r="T144" i="10"/>
  <c r="T94" i="10"/>
  <c r="T105" i="10"/>
  <c r="T114" i="10"/>
  <c r="T130" i="10"/>
  <c r="T146" i="10"/>
  <c r="T93" i="10"/>
  <c r="T121" i="10"/>
  <c r="T91" i="10"/>
  <c r="T95" i="10"/>
  <c r="T99" i="10"/>
  <c r="T103" i="10"/>
  <c r="T107" i="10"/>
  <c r="T115" i="10"/>
  <c r="T131" i="10"/>
  <c r="T135" i="10"/>
  <c r="T139" i="10"/>
  <c r="T147" i="10"/>
  <c r="T102" i="10"/>
  <c r="T150" i="10"/>
  <c r="T101" i="10"/>
  <c r="T117" i="10"/>
  <c r="T90" i="10"/>
  <c r="T98" i="10"/>
  <c r="T110" i="10"/>
  <c r="T122" i="10"/>
  <c r="T142" i="10"/>
  <c r="T113" i="10"/>
  <c r="T137" i="10"/>
  <c r="S95" i="10"/>
  <c r="S103" i="10"/>
  <c r="S135" i="10"/>
  <c r="S143" i="10"/>
  <c r="S94" i="10"/>
  <c r="S102" i="10"/>
  <c r="S110" i="10"/>
  <c r="S142" i="10"/>
  <c r="S93" i="10"/>
  <c r="S101" i="10"/>
  <c r="S117" i="10"/>
  <c r="S125" i="10"/>
  <c r="S133" i="10"/>
  <c r="S141" i="10"/>
  <c r="S149" i="10"/>
  <c r="S150" i="10"/>
  <c r="S92" i="10"/>
  <c r="S100" i="10"/>
  <c r="S108" i="10"/>
  <c r="S116" i="10"/>
  <c r="S124" i="10"/>
  <c r="S132" i="10"/>
  <c r="S140" i="10"/>
  <c r="S148" i="10"/>
  <c r="S90" i="10"/>
  <c r="S91" i="10"/>
  <c r="S99" i="10"/>
  <c r="S107" i="10"/>
  <c r="S115" i="10"/>
  <c r="S123" i="10"/>
  <c r="S131" i="10"/>
  <c r="S139" i="10"/>
  <c r="S147" i="10"/>
  <c r="S105" i="10"/>
  <c r="S113" i="10"/>
  <c r="S137" i="10"/>
  <c r="S145" i="10"/>
  <c r="S98" i="10"/>
  <c r="S106" i="10"/>
  <c r="S114" i="10"/>
  <c r="S122" i="10"/>
  <c r="S130" i="10"/>
  <c r="S138" i="10"/>
  <c r="S146" i="10"/>
  <c r="S97" i="10"/>
  <c r="S121" i="10"/>
  <c r="S129" i="10"/>
  <c r="S96" i="10"/>
  <c r="S104" i="10"/>
  <c r="S112" i="10"/>
  <c r="S120" i="10"/>
  <c r="S128" i="10"/>
  <c r="S136" i="10"/>
  <c r="S144" i="10"/>
  <c r="R90" i="10"/>
  <c r="R124" i="10"/>
  <c r="R133" i="10"/>
  <c r="R135" i="10"/>
  <c r="R138" i="10"/>
  <c r="R141" i="10"/>
  <c r="R144" i="10"/>
  <c r="R146" i="10"/>
  <c r="R149" i="10"/>
  <c r="R126" i="10"/>
  <c r="R137" i="10"/>
  <c r="R140" i="10"/>
  <c r="R143" i="10"/>
  <c r="R147" i="10"/>
  <c r="R91" i="10"/>
  <c r="R92" i="10"/>
  <c r="R93" i="10"/>
  <c r="R94"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5" i="10"/>
  <c r="R127" i="10"/>
  <c r="R128" i="10"/>
  <c r="R129" i="10"/>
  <c r="R130" i="10"/>
  <c r="R131" i="10"/>
  <c r="R132" i="10"/>
  <c r="R134" i="10"/>
  <c r="R136" i="10"/>
  <c r="R139" i="10"/>
  <c r="R142" i="10"/>
  <c r="R145" i="10"/>
  <c r="R148" i="10"/>
  <c r="R150" i="10"/>
  <c r="Q92" i="10"/>
  <c r="Q124" i="10"/>
  <c r="Q93" i="10"/>
  <c r="Q125" i="10"/>
  <c r="Q94" i="10"/>
  <c r="Q126" i="10"/>
  <c r="Q89" i="10"/>
  <c r="Q95" i="10"/>
  <c r="Q127" i="10"/>
  <c r="Q91" i="10"/>
  <c r="Q128" i="10"/>
  <c r="Q90" i="10"/>
  <c r="Q113" i="10"/>
  <c r="Q121" i="10"/>
  <c r="Q129" i="10"/>
  <c r="Q137" i="10"/>
  <c r="Q145" i="10"/>
  <c r="Q98" i="10"/>
  <c r="Q106" i="10"/>
  <c r="Q114" i="10"/>
  <c r="Q122" i="10"/>
  <c r="Q130" i="10"/>
  <c r="Q138" i="10"/>
  <c r="Q99" i="10"/>
  <c r="Q123" i="10"/>
  <c r="Q131" i="10"/>
  <c r="Q147" i="10"/>
  <c r="P3" i="10"/>
  <c r="Y47" i="10"/>
  <c r="C46" i="11"/>
  <c r="L46" i="11" s="1"/>
  <c r="Y48" i="10"/>
  <c r="C47" i="11"/>
  <c r="L47" i="11" s="1"/>
  <c r="Y50" i="10"/>
  <c r="D49" i="11"/>
  <c r="L49" i="11" s="1"/>
  <c r="Y51" i="10"/>
  <c r="D50" i="11"/>
  <c r="L50" i="11" s="1"/>
  <c r="Y53" i="10"/>
  <c r="D52" i="11"/>
  <c r="L52" i="11" s="1"/>
  <c r="Y52" i="10"/>
  <c r="D51" i="11"/>
  <c r="L51" i="11" s="1"/>
  <c r="Y49" i="10"/>
  <c r="C48" i="11"/>
  <c r="L48" i="11" s="1"/>
  <c r="Y46" i="10"/>
  <c r="C45" i="11"/>
  <c r="L45" i="11" s="1"/>
  <c r="C5" i="11"/>
  <c r="L5" i="11" s="1"/>
  <c r="Y6" i="10"/>
  <c r="Y8" i="10"/>
  <c r="C7" i="11"/>
  <c r="L7" i="11" s="1"/>
  <c r="D9" i="11"/>
  <c r="L9" i="11" s="1"/>
  <c r="Y10" i="10"/>
  <c r="Y107" i="8"/>
  <c r="Y111" i="8"/>
  <c r="D8" i="11"/>
  <c r="L8" i="11" s="1"/>
  <c r="Y9" i="10"/>
  <c r="D11" i="11"/>
  <c r="L11" i="11" s="1"/>
  <c r="Y12" i="10"/>
  <c r="Y115" i="8"/>
  <c r="C6" i="11"/>
  <c r="L6" i="11" s="1"/>
  <c r="Y7" i="10"/>
  <c r="Y5" i="10"/>
  <c r="C4" i="11"/>
  <c r="L4" i="11" s="1"/>
  <c r="M4" i="11" s="1"/>
  <c r="Y145" i="8"/>
  <c r="Y103" i="8"/>
  <c r="Y113" i="8"/>
  <c r="Y150" i="18"/>
  <c r="Y89" i="8"/>
  <c r="Y105" i="8"/>
  <c r="Y101" i="18"/>
  <c r="Y111" i="18"/>
  <c r="Y133" i="18"/>
  <c r="Y104" i="18"/>
  <c r="Y106" i="18"/>
  <c r="Y101" i="8"/>
  <c r="Y96" i="18"/>
  <c r="Y97" i="18"/>
  <c r="Y145" i="18"/>
  <c r="Y120" i="8"/>
  <c r="Y155" i="18"/>
  <c r="Y96" i="8"/>
  <c r="Y87" i="18"/>
  <c r="Y100" i="18"/>
  <c r="Y114" i="18"/>
  <c r="Y108" i="8"/>
  <c r="Y95" i="18"/>
  <c r="Y102" i="8"/>
  <c r="Y106" i="8"/>
  <c r="Y90" i="8"/>
  <c r="Y92" i="18"/>
  <c r="Y88" i="8"/>
  <c r="Y95" i="8"/>
  <c r="Y99" i="8"/>
  <c r="Y109" i="8"/>
  <c r="Y91" i="18"/>
  <c r="Y102" i="18"/>
  <c r="Y114" i="8"/>
  <c r="Y109" i="18"/>
  <c r="Y110" i="18"/>
  <c r="Y90" i="18"/>
  <c r="Y107" i="18"/>
  <c r="Y159" i="18"/>
  <c r="Y127" i="8"/>
  <c r="Y162" i="8"/>
  <c r="Y138" i="18"/>
  <c r="Y116" i="18"/>
  <c r="Y166" i="8"/>
  <c r="Y97" i="8"/>
  <c r="Y164" i="8"/>
  <c r="Y142" i="8"/>
  <c r="Y124" i="18"/>
  <c r="Y141" i="18"/>
  <c r="Y158" i="18"/>
  <c r="Y135" i="18"/>
  <c r="Y98" i="8"/>
  <c r="Y146" i="18"/>
  <c r="Y165" i="18"/>
  <c r="Y134" i="8"/>
  <c r="Y139" i="18"/>
  <c r="Y119" i="8"/>
  <c r="Y162" i="18"/>
  <c r="Y149" i="18"/>
  <c r="Y141" i="8"/>
  <c r="Y124" i="8"/>
  <c r="Y137" i="8"/>
  <c r="Y140" i="8"/>
  <c r="Y127" i="18"/>
  <c r="Y121" i="18"/>
  <c r="Y118" i="8"/>
  <c r="Y117" i="18"/>
  <c r="Y151" i="18"/>
  <c r="Y132" i="18"/>
  <c r="Y147" i="18"/>
  <c r="Y117" i="8"/>
  <c r="Y128" i="8"/>
  <c r="Y160" i="8"/>
  <c r="Y159" i="8"/>
  <c r="Y142" i="18"/>
  <c r="Y144" i="8"/>
  <c r="Y129" i="18"/>
  <c r="Y164" i="18"/>
  <c r="Y150" i="8"/>
  <c r="Y130" i="8"/>
  <c r="Y163" i="18"/>
  <c r="Y154" i="8"/>
  <c r="Y154" i="18"/>
  <c r="Y161" i="8"/>
  <c r="Y139" i="8"/>
  <c r="Y126" i="18"/>
  <c r="Y137" i="18"/>
  <c r="Y147" i="8"/>
  <c r="Y151" i="8"/>
  <c r="Y130" i="18"/>
  <c r="Y158" i="8"/>
  <c r="Y146" i="8"/>
  <c r="Y165" i="8"/>
  <c r="Y157" i="18"/>
  <c r="Y121" i="8"/>
  <c r="Y161" i="18"/>
  <c r="Y152" i="18"/>
  <c r="Y153" i="8"/>
  <c r="Y136" i="18"/>
  <c r="Y118" i="18"/>
  <c r="Y129" i="8"/>
  <c r="Y125" i="18"/>
  <c r="Y133" i="8"/>
  <c r="Y163" i="8"/>
  <c r="Y119" i="18"/>
  <c r="Y153" i="18"/>
  <c r="Y128" i="18"/>
  <c r="Y135" i="8"/>
  <c r="Y126" i="8"/>
  <c r="Y116" i="8"/>
  <c r="Y134" i="18"/>
  <c r="Y144" i="18"/>
  <c r="Y132" i="8"/>
  <c r="Y131" i="8"/>
  <c r="Y123" i="18"/>
  <c r="Y156" i="8"/>
  <c r="Y149" i="8"/>
  <c r="Y131" i="18"/>
  <c r="Y143" i="8"/>
  <c r="Y143" i="18"/>
  <c r="M5" i="15"/>
  <c r="AA4" i="15"/>
  <c r="D28" i="23" l="1"/>
  <c r="D26" i="23" s="1"/>
  <c r="X152" i="10"/>
  <c r="X166" i="10"/>
  <c r="L136" i="8"/>
  <c r="X155" i="10"/>
  <c r="L131" i="8"/>
  <c r="L137" i="8"/>
  <c r="AB53" i="11" s="1"/>
  <c r="AC53" i="11" s="1"/>
  <c r="S151" i="10"/>
  <c r="S162" i="10"/>
  <c r="S158" i="10"/>
  <c r="L132" i="8"/>
  <c r="L110" i="8"/>
  <c r="AB26" i="11" s="1"/>
  <c r="AC26" i="11" s="1"/>
  <c r="L129" i="8"/>
  <c r="AB45" i="11" s="1"/>
  <c r="AC45" i="11" s="1"/>
  <c r="S134" i="10"/>
  <c r="S127" i="10"/>
  <c r="T134" i="10"/>
  <c r="T127" i="10"/>
  <c r="T141" i="10"/>
  <c r="T132" i="10"/>
  <c r="T118" i="10"/>
  <c r="S161" i="10"/>
  <c r="S154" i="10"/>
  <c r="T158" i="10"/>
  <c r="T151" i="10"/>
  <c r="L140" i="8"/>
  <c r="AB56" i="11" s="1"/>
  <c r="AC56" i="11" s="1"/>
  <c r="S126" i="10"/>
  <c r="S119" i="10"/>
  <c r="T126" i="10"/>
  <c r="T123" i="10"/>
  <c r="T125" i="10"/>
  <c r="T128" i="10"/>
  <c r="T106" i="10"/>
  <c r="S160" i="10"/>
  <c r="S163" i="10"/>
  <c r="T166" i="10"/>
  <c r="T160" i="10"/>
  <c r="L156" i="8"/>
  <c r="AB72" i="11" s="1"/>
  <c r="AC72" i="11" s="1"/>
  <c r="S118" i="10"/>
  <c r="S111" i="10"/>
  <c r="T119" i="10"/>
  <c r="T145" i="10"/>
  <c r="T124" i="10"/>
  <c r="S152" i="10"/>
  <c r="S157" i="10"/>
  <c r="T165" i="10"/>
  <c r="T156" i="10"/>
  <c r="L111" i="8"/>
  <c r="AB27" i="11" s="1"/>
  <c r="AC27" i="11" s="1"/>
  <c r="S164" i="10"/>
  <c r="S155" i="10"/>
  <c r="T161" i="10"/>
  <c r="T163" i="10"/>
  <c r="L127" i="8"/>
  <c r="AB43" i="11" s="1"/>
  <c r="AC43" i="11" s="1"/>
  <c r="L145" i="8"/>
  <c r="AB61" i="11" s="1"/>
  <c r="AC61" i="11" s="1"/>
  <c r="L117" i="8"/>
  <c r="AB33" i="11" s="1"/>
  <c r="AC33" i="11" s="1"/>
  <c r="S109" i="10"/>
  <c r="T133" i="10"/>
  <c r="T143" i="10"/>
  <c r="T111" i="10"/>
  <c r="T148" i="10"/>
  <c r="T116" i="10"/>
  <c r="T129" i="10"/>
  <c r="S159" i="10"/>
  <c r="S156" i="10"/>
  <c r="T152" i="10"/>
  <c r="T155" i="10"/>
  <c r="L125" i="8"/>
  <c r="AB41" i="11" s="1"/>
  <c r="AC41" i="11" s="1"/>
  <c r="T109" i="10"/>
  <c r="T162" i="10"/>
  <c r="L119" i="8"/>
  <c r="AB35" i="11" s="1"/>
  <c r="AC35" i="11" s="1"/>
  <c r="X132" i="10"/>
  <c r="X131" i="10"/>
  <c r="X126" i="10"/>
  <c r="X125" i="10"/>
  <c r="X163" i="10"/>
  <c r="X153" i="10"/>
  <c r="X151" i="10"/>
  <c r="L151" i="8"/>
  <c r="AB67" i="11" s="1"/>
  <c r="AC67" i="11" s="1"/>
  <c r="X128" i="10"/>
  <c r="X127" i="10"/>
  <c r="X122" i="10"/>
  <c r="X149" i="10"/>
  <c r="X121" i="10"/>
  <c r="X150" i="10"/>
  <c r="X165" i="10"/>
  <c r="L135" i="8"/>
  <c r="AB51" i="11" s="1"/>
  <c r="AC51" i="11" s="1"/>
  <c r="X124" i="10"/>
  <c r="X123" i="10"/>
  <c r="X118" i="10"/>
  <c r="X117" i="10"/>
  <c r="X161" i="10"/>
  <c r="X162" i="10"/>
  <c r="X120" i="10"/>
  <c r="X119" i="10"/>
  <c r="X146" i="10"/>
  <c r="X145" i="10"/>
  <c r="X159" i="10"/>
  <c r="X160" i="10"/>
  <c r="L134" i="8"/>
  <c r="AB50" i="11" s="1"/>
  <c r="AC50" i="11" s="1"/>
  <c r="X148" i="10"/>
  <c r="X116" i="10"/>
  <c r="X147" i="10"/>
  <c r="X142" i="10"/>
  <c r="X141" i="10"/>
  <c r="X157" i="10"/>
  <c r="X158" i="10"/>
  <c r="L114" i="8"/>
  <c r="AB30" i="11" s="1"/>
  <c r="AC30" i="11" s="1"/>
  <c r="X144" i="10"/>
  <c r="X143" i="10"/>
  <c r="X138" i="10"/>
  <c r="X137" i="10"/>
  <c r="X154" i="10"/>
  <c r="X156" i="10"/>
  <c r="L133" i="8"/>
  <c r="AB49" i="11" s="1"/>
  <c r="AC49" i="11" s="1"/>
  <c r="L115" i="8"/>
  <c r="AB31" i="11" s="1"/>
  <c r="AC31" i="11" s="1"/>
  <c r="L147" i="8"/>
  <c r="AB63" i="11" s="1"/>
  <c r="AC63" i="11" s="1"/>
  <c r="L149" i="8"/>
  <c r="AB65" i="11" s="1"/>
  <c r="AC65" i="11" s="1"/>
  <c r="L154" i="8"/>
  <c r="AB70" i="11" s="1"/>
  <c r="AC70" i="11" s="1"/>
  <c r="L123" i="8"/>
  <c r="AB39" i="11" s="1"/>
  <c r="AC39" i="11" s="1"/>
  <c r="L118" i="8"/>
  <c r="AB34" i="11" s="1"/>
  <c r="AC34" i="11" s="1"/>
  <c r="L121" i="8"/>
  <c r="AB37" i="11" s="1"/>
  <c r="AC37" i="11" s="1"/>
  <c r="Q120" i="10"/>
  <c r="Q119" i="10"/>
  <c r="Q118" i="10"/>
  <c r="Q117" i="10"/>
  <c r="Q116" i="10"/>
  <c r="Q112" i="10"/>
  <c r="Q111" i="10"/>
  <c r="Q110" i="10"/>
  <c r="Q109" i="10"/>
  <c r="Q108" i="10"/>
  <c r="Q139" i="10"/>
  <c r="Q105" i="10"/>
  <c r="Q104" i="10"/>
  <c r="Q103" i="10"/>
  <c r="Q102" i="10"/>
  <c r="Q101" i="10"/>
  <c r="Q100" i="10"/>
  <c r="Q146" i="10"/>
  <c r="Q115" i="10"/>
  <c r="Q97" i="10"/>
  <c r="Q96" i="10"/>
  <c r="Q107" i="10"/>
  <c r="Q149" i="10"/>
  <c r="Q148" i="10"/>
  <c r="L144" i="8"/>
  <c r="AB60" i="11" s="1"/>
  <c r="AC60" i="11" s="1"/>
  <c r="Q144" i="10"/>
  <c r="Q143" i="10"/>
  <c r="Q142" i="10"/>
  <c r="Q141" i="10"/>
  <c r="Q140" i="10"/>
  <c r="Q136" i="10"/>
  <c r="Q135" i="10"/>
  <c r="Q134" i="10"/>
  <c r="Q133" i="10"/>
  <c r="L116" i="8"/>
  <c r="AB32" i="11" s="1"/>
  <c r="AC32" i="11" s="1"/>
  <c r="L122" i="8"/>
  <c r="AB38" i="11" s="1"/>
  <c r="AC38" i="11" s="1"/>
  <c r="L143" i="8"/>
  <c r="AB59" i="11" s="1"/>
  <c r="AC59" i="11" s="1"/>
  <c r="R45" i="5"/>
  <c r="T44" i="5"/>
  <c r="L146" i="8"/>
  <c r="AB62" i="11" s="1"/>
  <c r="AC62" i="11" s="1"/>
  <c r="L128" i="8"/>
  <c r="AB44" i="11" s="1"/>
  <c r="AC44" i="11" s="1"/>
  <c r="L130" i="8"/>
  <c r="AB46" i="11" s="1"/>
  <c r="AC46" i="11" s="1"/>
  <c r="AB5" i="11"/>
  <c r="AC5" i="11" s="1"/>
  <c r="L153" i="8"/>
  <c r="AB69" i="11" s="1"/>
  <c r="AC69" i="11" s="1"/>
  <c r="AB4" i="11"/>
  <c r="AC4" i="11" s="1"/>
  <c r="L112" i="8"/>
  <c r="AB28" i="11" s="1"/>
  <c r="AC28" i="11" s="1"/>
  <c r="L126" i="8"/>
  <c r="AB42" i="11" s="1"/>
  <c r="AC42" i="11" s="1"/>
  <c r="L148" i="8"/>
  <c r="AB64" i="11" s="1"/>
  <c r="AC64" i="11" s="1"/>
  <c r="AB9" i="11"/>
  <c r="AC9" i="11" s="1"/>
  <c r="L113" i="8"/>
  <c r="AB29" i="11" s="1"/>
  <c r="AC29" i="11" s="1"/>
  <c r="L142" i="8"/>
  <c r="AB58" i="11" s="1"/>
  <c r="AC58" i="11" s="1"/>
  <c r="L120" i="8"/>
  <c r="AB36" i="11" s="1"/>
  <c r="AC36" i="11" s="1"/>
  <c r="L155" i="8"/>
  <c r="AB71" i="11" s="1"/>
  <c r="AC71" i="11" s="1"/>
  <c r="L152" i="8"/>
  <c r="AB68" i="11" s="1"/>
  <c r="AC68" i="11" s="1"/>
  <c r="P90" i="10"/>
  <c r="P91" i="10"/>
  <c r="P89" i="10"/>
  <c r="P88" i="10"/>
  <c r="AB6" i="11"/>
  <c r="AC6" i="11" s="1"/>
  <c r="AB7" i="11"/>
  <c r="AC7" i="11" s="1"/>
  <c r="AB47" i="11"/>
  <c r="AC47" i="11" s="1"/>
  <c r="AB8" i="11"/>
  <c r="AC8" i="11" s="1"/>
  <c r="AB11" i="11"/>
  <c r="AC11" i="11" s="1"/>
  <c r="Q151" i="10"/>
  <c r="Q156" i="10"/>
  <c r="Q152" i="10"/>
  <c r="Q155" i="10"/>
  <c r="Q150" i="10"/>
  <c r="Q153" i="10"/>
  <c r="Q154" i="10"/>
  <c r="AB48" i="11"/>
  <c r="AC48" i="11" s="1"/>
  <c r="AB52" i="11"/>
  <c r="AC52" i="11" s="1"/>
  <c r="P108" i="10"/>
  <c r="P140" i="10"/>
  <c r="P93" i="10"/>
  <c r="P97" i="10"/>
  <c r="P101" i="10"/>
  <c r="P105" i="10"/>
  <c r="P109" i="10"/>
  <c r="P113" i="10"/>
  <c r="P117" i="10"/>
  <c r="P121" i="10"/>
  <c r="P125" i="10"/>
  <c r="P129" i="10"/>
  <c r="P133" i="10"/>
  <c r="P137" i="10"/>
  <c r="P141" i="10"/>
  <c r="P145" i="10"/>
  <c r="P149" i="10"/>
  <c r="P120" i="10"/>
  <c r="P144" i="10"/>
  <c r="P112" i="10"/>
  <c r="P94" i="10"/>
  <c r="P98" i="10"/>
  <c r="P102" i="10"/>
  <c r="P106" i="10"/>
  <c r="P110" i="10"/>
  <c r="P114" i="10"/>
  <c r="P118" i="10"/>
  <c r="P122" i="10"/>
  <c r="P126" i="10"/>
  <c r="P130" i="10"/>
  <c r="P134" i="10"/>
  <c r="P138" i="10"/>
  <c r="P142" i="10"/>
  <c r="P146" i="10"/>
  <c r="P150" i="10"/>
  <c r="P124" i="10"/>
  <c r="P148" i="10"/>
  <c r="P96" i="10"/>
  <c r="P136" i="10"/>
  <c r="P95" i="10"/>
  <c r="P99" i="10"/>
  <c r="P103" i="10"/>
  <c r="P107" i="10"/>
  <c r="P111" i="10"/>
  <c r="P115" i="10"/>
  <c r="P119" i="10"/>
  <c r="P123" i="10"/>
  <c r="P127" i="10"/>
  <c r="P131" i="10"/>
  <c r="P135" i="10"/>
  <c r="P139" i="10"/>
  <c r="P143" i="10"/>
  <c r="P147" i="10"/>
  <c r="P151" i="10"/>
  <c r="P116" i="10"/>
  <c r="P128" i="10"/>
  <c r="P92" i="10"/>
  <c r="P100" i="10"/>
  <c r="P104" i="10"/>
  <c r="P132" i="10"/>
  <c r="P152" i="10"/>
  <c r="D28" i="6"/>
  <c r="D26" i="6" s="1"/>
  <c r="AA4" i="11"/>
  <c r="M5" i="11"/>
  <c r="M6" i="15"/>
  <c r="AA5" i="15"/>
  <c r="R46" i="5" l="1"/>
  <c r="T45" i="5"/>
  <c r="AA5" i="11"/>
  <c r="M6" i="11"/>
  <c r="M7" i="15"/>
  <c r="AA6" i="15"/>
  <c r="R47" i="5" l="1"/>
  <c r="T46" i="5"/>
  <c r="M7" i="11"/>
  <c r="AA6" i="11"/>
  <c r="M8" i="15"/>
  <c r="AA7" i="15"/>
  <c r="R48" i="5" l="1"/>
  <c r="T47" i="5"/>
  <c r="AA7" i="11"/>
  <c r="M8" i="11"/>
  <c r="AA8" i="15"/>
  <c r="M9" i="15"/>
  <c r="R49" i="5" l="1"/>
  <c r="T48" i="5"/>
  <c r="AA8" i="11"/>
  <c r="M9" i="11"/>
  <c r="M10" i="15"/>
  <c r="AA9" i="15"/>
  <c r="R50" i="5" l="1"/>
  <c r="AA9" i="11"/>
  <c r="M10" i="11"/>
  <c r="AA10" i="15"/>
  <c r="M11" i="15"/>
  <c r="R51" i="5" l="1"/>
  <c r="T50" i="5"/>
  <c r="AA10" i="11"/>
  <c r="M11" i="11"/>
  <c r="M12" i="15"/>
  <c r="AA11" i="15"/>
  <c r="R52" i="5" l="1"/>
  <c r="T51" i="5"/>
  <c r="AA11" i="11"/>
  <c r="M12" i="11"/>
  <c r="AA12" i="15"/>
  <c r="M13" i="15"/>
  <c r="R53" i="5" l="1"/>
  <c r="T52" i="5"/>
  <c r="AA12" i="11"/>
  <c r="M13" i="11"/>
  <c r="M14" i="15"/>
  <c r="AA13" i="15"/>
  <c r="R54" i="5" l="1"/>
  <c r="T53" i="5"/>
  <c r="AA13" i="11"/>
  <c r="M14" i="11"/>
  <c r="M15" i="15"/>
  <c r="AA14" i="15"/>
  <c r="R55" i="5" l="1"/>
  <c r="T54" i="5"/>
  <c r="M15" i="11"/>
  <c r="AA14" i="11"/>
  <c r="M16" i="15"/>
  <c r="AA15" i="15"/>
  <c r="R56" i="5" l="1"/>
  <c r="T55" i="5"/>
  <c r="M16" i="11"/>
  <c r="AA15" i="11"/>
  <c r="AA16" i="15"/>
  <c r="M17" i="15"/>
  <c r="R57" i="5" l="1"/>
  <c r="T56" i="5"/>
  <c r="M17" i="11"/>
  <c r="AA16" i="11"/>
  <c r="AA17" i="15"/>
  <c r="M18" i="15"/>
  <c r="R58" i="5" l="1"/>
  <c r="T57" i="5"/>
  <c r="AA17" i="11"/>
  <c r="M18" i="11"/>
  <c r="AA18" i="15"/>
  <c r="M19" i="15"/>
  <c r="R59" i="5" l="1"/>
  <c r="T58" i="5"/>
  <c r="AA18" i="11"/>
  <c r="M19" i="11"/>
  <c r="AA19" i="15"/>
  <c r="M20" i="15"/>
  <c r="R60" i="5" l="1"/>
  <c r="T59" i="5"/>
  <c r="AA19" i="11"/>
  <c r="M20" i="11"/>
  <c r="AA20" i="15"/>
  <c r="M21" i="15"/>
  <c r="R61" i="5" l="1"/>
  <c r="T60" i="5"/>
  <c r="AA20" i="11"/>
  <c r="M21" i="11"/>
  <c r="M22" i="15"/>
  <c r="AA21" i="15"/>
  <c r="R62" i="5" l="1"/>
  <c r="T61" i="5"/>
  <c r="M22" i="11"/>
  <c r="AA21" i="11"/>
  <c r="M23" i="15"/>
  <c r="AA22" i="15"/>
  <c r="R63" i="5" l="1"/>
  <c r="T62" i="5"/>
  <c r="M23" i="11"/>
  <c r="AA22" i="11"/>
  <c r="M24" i="15"/>
  <c r="AA23" i="15"/>
  <c r="R64" i="5" l="1"/>
  <c r="T63" i="5"/>
  <c r="AA23" i="11"/>
  <c r="M24" i="11"/>
  <c r="AA24" i="15"/>
  <c r="M25" i="15"/>
  <c r="R65" i="5" l="1"/>
  <c r="T64" i="5"/>
  <c r="AA24" i="11"/>
  <c r="M25" i="11"/>
  <c r="AA25" i="15"/>
  <c r="M26" i="15"/>
  <c r="R66" i="5" l="1"/>
  <c r="T65" i="5"/>
  <c r="AA25" i="11"/>
  <c r="M26" i="11"/>
  <c r="AA26" i="15"/>
  <c r="M27" i="15"/>
  <c r="R67" i="5" l="1"/>
  <c r="T66" i="5"/>
  <c r="AA26" i="11"/>
  <c r="M27" i="11"/>
  <c r="M28" i="15"/>
  <c r="AA27" i="15"/>
  <c r="R68" i="5" l="1"/>
  <c r="T67" i="5"/>
  <c r="AA27" i="11"/>
  <c r="M28" i="11"/>
  <c r="AA28" i="15"/>
  <c r="M29" i="15"/>
  <c r="R69" i="5" l="1"/>
  <c r="T68" i="5"/>
  <c r="AA28" i="11"/>
  <c r="M29" i="11"/>
  <c r="M30" i="15"/>
  <c r="AA29" i="15"/>
  <c r="R70" i="5" l="1"/>
  <c r="T69" i="5"/>
  <c r="M30" i="11"/>
  <c r="AA29" i="11"/>
  <c r="M31" i="15"/>
  <c r="AA30" i="15"/>
  <c r="R71" i="5" l="1"/>
  <c r="T70" i="5"/>
  <c r="AA30" i="11"/>
  <c r="M31" i="11"/>
  <c r="AA31" i="15"/>
  <c r="M32" i="15"/>
  <c r="AA32" i="15" s="1"/>
  <c r="R72" i="5" l="1"/>
  <c r="T71" i="5"/>
  <c r="M32" i="11"/>
  <c r="AA31" i="11"/>
  <c r="R73" i="5" l="1"/>
  <c r="T72" i="5"/>
  <c r="AA32" i="11"/>
  <c r="M33" i="11"/>
  <c r="R74" i="5" l="1"/>
  <c r="T73" i="5"/>
  <c r="AA33" i="11"/>
  <c r="M34" i="11"/>
  <c r="R75" i="5" l="1"/>
  <c r="T74" i="5"/>
  <c r="M35" i="11"/>
  <c r="AA34" i="11"/>
  <c r="R76" i="5" l="1"/>
  <c r="T75" i="5"/>
  <c r="M36" i="11"/>
  <c r="AA35" i="11"/>
  <c r="R77" i="5" l="1"/>
  <c r="T76" i="5"/>
  <c r="M37" i="11"/>
  <c r="AA36" i="11"/>
  <c r="R78" i="5" l="1"/>
  <c r="T77" i="5"/>
  <c r="M38" i="11"/>
  <c r="AA37" i="11"/>
  <c r="R79" i="5" l="1"/>
  <c r="T78" i="5"/>
  <c r="M39" i="11"/>
  <c r="AA38" i="11"/>
  <c r="R80" i="5" l="1"/>
  <c r="T79" i="5"/>
  <c r="M40" i="11"/>
  <c r="AA39" i="11"/>
  <c r="R81" i="5" l="1"/>
  <c r="T80" i="5"/>
  <c r="M41" i="11"/>
  <c r="AA40" i="11"/>
  <c r="R82" i="5" l="1"/>
  <c r="T81" i="5"/>
  <c r="M42" i="11"/>
  <c r="AA41" i="11"/>
  <c r="R83" i="5" l="1"/>
  <c r="T82" i="5"/>
  <c r="M43" i="11"/>
  <c r="AA42" i="11"/>
  <c r="R84" i="5" l="1"/>
  <c r="T83" i="5"/>
  <c r="M44" i="11"/>
  <c r="AA43" i="11"/>
  <c r="R85" i="5" l="1"/>
  <c r="T84" i="5"/>
  <c r="M45" i="11"/>
  <c r="AA44" i="11"/>
  <c r="R86" i="5" l="1"/>
  <c r="T85" i="5"/>
  <c r="M46" i="11"/>
  <c r="AA45" i="11"/>
  <c r="R87" i="5" l="1"/>
  <c r="T86" i="5"/>
  <c r="M47" i="11"/>
  <c r="AA46" i="11"/>
  <c r="R88" i="5" l="1"/>
  <c r="T88" i="5" s="1"/>
  <c r="T87" i="5"/>
  <c r="M48" i="11"/>
  <c r="AA47" i="11"/>
  <c r="M49" i="11" l="1"/>
  <c r="AA48" i="11"/>
  <c r="M50" i="11" l="1"/>
  <c r="AA49" i="11"/>
  <c r="M51" i="11" l="1"/>
  <c r="AA50" i="11"/>
  <c r="M52" i="11" l="1"/>
  <c r="AA51" i="11"/>
  <c r="M53" i="11" l="1"/>
  <c r="AA52" i="11"/>
  <c r="M54" i="11" l="1"/>
  <c r="AA53" i="11"/>
  <c r="M55" i="11" l="1"/>
  <c r="AA54" i="11"/>
  <c r="M56" i="11" l="1"/>
  <c r="AA55" i="11"/>
  <c r="M57" i="11" l="1"/>
  <c r="AA56" i="11"/>
  <c r="M58" i="11" l="1"/>
  <c r="AA57" i="11"/>
  <c r="M59" i="11" l="1"/>
  <c r="AA58" i="11"/>
  <c r="M60" i="11" l="1"/>
  <c r="AA59" i="11"/>
  <c r="M61" i="11" l="1"/>
  <c r="AA60" i="11"/>
  <c r="M62" i="11" l="1"/>
  <c r="AA61" i="11"/>
  <c r="M63" i="11" l="1"/>
  <c r="AA62" i="11"/>
  <c r="M64" i="11" l="1"/>
  <c r="AA63" i="11"/>
  <c r="M65" i="11" l="1"/>
  <c r="AA64" i="11"/>
  <c r="M66" i="11" l="1"/>
  <c r="AA65" i="11"/>
  <c r="M67" i="11" l="1"/>
  <c r="AA66" i="11"/>
  <c r="M68" i="11" l="1"/>
  <c r="AA67" i="11"/>
  <c r="M69" i="11" l="1"/>
  <c r="AA68" i="11"/>
  <c r="M70" i="11" l="1"/>
  <c r="AA69" i="11"/>
  <c r="M71" i="11" l="1"/>
  <c r="AA70" i="11"/>
  <c r="M72" i="11" l="1"/>
  <c r="AA71" i="11"/>
  <c r="M73" i="11" l="1"/>
  <c r="AA72" i="11"/>
  <c r="M74" i="11" l="1"/>
  <c r="AA73" i="11"/>
  <c r="M75" i="11" l="1"/>
  <c r="AA74" i="11"/>
  <c r="M76" i="11" l="1"/>
  <c r="AA75" i="11"/>
  <c r="M77" i="11" l="1"/>
  <c r="AA76" i="11"/>
  <c r="M78" i="11" l="1"/>
  <c r="AA77" i="11"/>
  <c r="M79" i="11" l="1"/>
  <c r="AA78" i="11"/>
  <c r="M80" i="11" l="1"/>
  <c r="AA79" i="11"/>
  <c r="M81" i="11" l="1"/>
  <c r="AA80" i="11"/>
  <c r="M82" i="11" l="1"/>
  <c r="AA82" i="11" s="1"/>
  <c r="AA81" i="11"/>
  <c r="N13" i="21"/>
  <c r="M13"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Priore Yasmine</author>
  </authors>
  <commentList>
    <comment ref="C6" authorId="0" shapeId="0" xr:uid="{69F42791-9F14-4152-A0B8-988EDC3A225C}">
      <text>
        <r>
          <rPr>
            <b/>
            <sz val="9"/>
            <color indexed="81"/>
            <rFont val="Tahoma"/>
            <family val="2"/>
          </rPr>
          <t>Priore Yasmine:</t>
        </r>
        <r>
          <rPr>
            <sz val="9"/>
            <color indexed="81"/>
            <rFont val="Tahoma"/>
            <family val="2"/>
          </rPr>
          <t xml:space="preserve">
Surface par habitant x population
</t>
        </r>
      </text>
    </comment>
  </commentList>
</comments>
</file>

<file path=xl/sharedStrings.xml><?xml version="1.0" encoding="utf-8"?>
<sst xmlns="http://schemas.openxmlformats.org/spreadsheetml/2006/main" count="797" uniqueCount="368">
  <si>
    <t>Développement: Yasmine Priore
Supervision: Thomas Jusselme</t>
  </si>
  <si>
    <t>Objectif</t>
  </si>
  <si>
    <t>Stratégie climatique Suisse</t>
  </si>
  <si>
    <t>Budget 1.5°C</t>
  </si>
  <si>
    <t>Unité</t>
  </si>
  <si>
    <t>(choisir la programmation, le type d'intervention, l'année ciblée pour la fin des travaux et la surface de chaque batiment du développement)</t>
  </si>
  <si>
    <t>Nombre de batiments</t>
  </si>
  <si>
    <t>#</t>
  </si>
  <si>
    <t>Programmation</t>
  </si>
  <si>
    <t>Bureaux</t>
  </si>
  <si>
    <t>Résidentiel</t>
  </si>
  <si>
    <t>Type de travaux</t>
  </si>
  <si>
    <t>Neuf</t>
  </si>
  <si>
    <t>Année ciblée - livraison</t>
  </si>
  <si>
    <t>Année ciblée</t>
  </si>
  <si>
    <t>Surface</t>
  </si>
  <si>
    <t>m2</t>
  </si>
  <si>
    <t>Cibles construction par batiment</t>
  </si>
  <si>
    <t>(les cibles pour la construction sont calculées automatiquement sur la base des données ci-dessus)</t>
  </si>
  <si>
    <t>Budget "upfront" (fin de chantier)</t>
  </si>
  <si>
    <t xml:space="preserve">[kgCO2éq./m2] </t>
  </si>
  <si>
    <t>Budget global par m2</t>
  </si>
  <si>
    <t>Budget global par m2 par an</t>
  </si>
  <si>
    <t xml:space="preserve">[kgCO2éq./m2.an] </t>
  </si>
  <si>
    <t>Budget global</t>
  </si>
  <si>
    <t xml:space="preserve">[kgCO2éq.] </t>
  </si>
  <si>
    <t>Cibles exploitation par batiment</t>
  </si>
  <si>
    <t>(les cibles pour l'exploitation sont calculées automatiquement sur la base des données ci-dessus)</t>
  </si>
  <si>
    <t>[kgCO2éq./m2.an]</t>
  </si>
  <si>
    <t>Valeur moyenne sur 20ans</t>
  </si>
  <si>
    <t>(le budget total pour l'opération d'ici 2050 est ici rapporté)</t>
  </si>
  <si>
    <t>Budget global BFFSA 2022-2050</t>
  </si>
  <si>
    <t>[t.CO2éq]</t>
  </si>
  <si>
    <t xml:space="preserve">Construction </t>
  </si>
  <si>
    <t xml:space="preserve">Exploitation </t>
  </si>
  <si>
    <t>Données</t>
  </si>
  <si>
    <t>Rénovation</t>
  </si>
  <si>
    <t>Strategy</t>
  </si>
  <si>
    <t>1.5°C</t>
  </si>
  <si>
    <t>Somme</t>
  </si>
  <si>
    <t>Graphes</t>
  </si>
  <si>
    <t>Construction</t>
  </si>
  <si>
    <t>Construction ammorties par an</t>
  </si>
  <si>
    <t>Construction par an</t>
  </si>
  <si>
    <t>Construction + exploitation</t>
  </si>
  <si>
    <t>Surfaces</t>
  </si>
  <si>
    <t>Cumul par an</t>
  </si>
  <si>
    <t>somme</t>
  </si>
  <si>
    <t>Cumul</t>
  </si>
  <si>
    <t>Par m2</t>
  </si>
  <si>
    <t>Cumulatives</t>
  </si>
  <si>
    <t>Operation</t>
  </si>
  <si>
    <t>(Ref: EP2050+_Ergebnissynthese_2020-2050_ZERO-Basis)</t>
  </si>
  <si>
    <t>Upfront</t>
  </si>
  <si>
    <t>Exploitation</t>
  </si>
  <si>
    <t>Remaining budgets 2020</t>
  </si>
  <si>
    <t>kgCO2/m2</t>
  </si>
  <si>
    <t>Services</t>
  </si>
  <si>
    <t>Batiments</t>
  </si>
  <si>
    <t>Transports</t>
  </si>
  <si>
    <t>Industrie</t>
  </si>
  <si>
    <t>Autres</t>
  </si>
  <si>
    <t>NET Etranger</t>
  </si>
  <si>
    <t>NET/CCS Territoire CH</t>
  </si>
  <si>
    <t>Balance annuelle</t>
  </si>
  <si>
    <t>Population</t>
  </si>
  <si>
    <t>Carbone/habitant</t>
  </si>
  <si>
    <t>Nouvelles constructions</t>
  </si>
  <si>
    <t>Rénovations</t>
  </si>
  <si>
    <t>Moyenne</t>
  </si>
  <si>
    <t>Existing</t>
  </si>
  <si>
    <t xml:space="preserve">New </t>
  </si>
  <si>
    <t>Ren</t>
  </si>
  <si>
    <t>Global Carbon Budgets</t>
  </si>
  <si>
    <t>(Ref: IPCC 2021)</t>
  </si>
  <si>
    <t>Approximate global warming relative to 1850-1900 until temperature limit</t>
  </si>
  <si>
    <t>Additional global warming relative to 2010-2019 until temperature limit</t>
  </si>
  <si>
    <t>Estimated remaining carbon budgets from the beginning of 2020 (GtCO2)</t>
  </si>
  <si>
    <t>Likelihood of limiting global warming to temperature limit</t>
  </si>
  <si>
    <t>°C</t>
  </si>
  <si>
    <t xml:space="preserve">Global Population </t>
  </si>
  <si>
    <t>https://data.worldbank.org/indicator/SP.POP.TOTL</t>
  </si>
  <si>
    <t>Share of CH population to World population</t>
  </si>
  <si>
    <t>Swiss Population</t>
  </si>
  <si>
    <t>BFS</t>
  </si>
  <si>
    <t>Swiss Budget calculation</t>
  </si>
  <si>
    <t>Budgets MtCO2</t>
  </si>
  <si>
    <t>EPC</t>
  </si>
  <si>
    <t>1.5 °C</t>
  </si>
  <si>
    <t>2 °C</t>
  </si>
  <si>
    <t>No NET</t>
  </si>
  <si>
    <t>Accounting for NET equally</t>
  </si>
  <si>
    <t>Swiss sectors budgets calculation - Grandfathering</t>
  </si>
  <si>
    <t>20-50</t>
  </si>
  <si>
    <t>Emissions 2019 (Mt.CO2eq)</t>
  </si>
  <si>
    <t>Share</t>
  </si>
  <si>
    <t>Predicted emissions 2050</t>
  </si>
  <si>
    <t>Share in 2050</t>
  </si>
  <si>
    <t>Cumulative 2020-2050</t>
  </si>
  <si>
    <t>Cumulative share</t>
  </si>
  <si>
    <t>Budget sectors MtCO2eq</t>
  </si>
  <si>
    <t>Total</t>
  </si>
  <si>
    <t>Buildings</t>
  </si>
  <si>
    <t>(refers to the combustion of fuels in buildings - use phase)</t>
  </si>
  <si>
    <t>Industry</t>
  </si>
  <si>
    <t>Others</t>
  </si>
  <si>
    <t>NET abroad</t>
  </si>
  <si>
    <t>NET/CCS territory CH</t>
  </si>
  <si>
    <t>Total NET</t>
  </si>
  <si>
    <t>In a dynamic logic these values should be updated every year
(only territorial emissions reported - no imports)</t>
  </si>
  <si>
    <t>These predictions are based on the work conducted by the SFOE in 2020</t>
  </si>
  <si>
    <t>Depends on :
- Global carbon budget chosen
- allocation method to Switzerland</t>
  </si>
  <si>
    <t>Depends on :
- Global carbon budget chosen
- allocation method to Switzerland
- Estimate of NET by SFOE and distribution to sectors</t>
  </si>
  <si>
    <t>References</t>
  </si>
  <si>
    <t>(national inventory report / inventory SFOE)</t>
  </si>
  <si>
    <t>Industry decomposition - construction sector</t>
  </si>
  <si>
    <t xml:space="preserve">NIR Category correspondence </t>
  </si>
  <si>
    <t>(Réf: Émissions de gaz à effet de serre visées par la loi sur le CO2 révisée et par le Protocole de Kyoto, 2e période d’engagement (2013–2020))</t>
  </si>
  <si>
    <t>Mt.CO2 equivalent</t>
  </si>
  <si>
    <t>Construcion related emissions Mt.CO2</t>
  </si>
  <si>
    <t>Construction of buildings</t>
  </si>
  <si>
    <t>Infrastructure</t>
  </si>
  <si>
    <t>Residential buildings</t>
  </si>
  <si>
    <t>Other buildings</t>
  </si>
  <si>
    <t>1A1</t>
  </si>
  <si>
    <t>Energy industries</t>
  </si>
  <si>
    <t>1A2</t>
  </si>
  <si>
    <t>Manufacturing industries and construction</t>
  </si>
  <si>
    <t>1B</t>
  </si>
  <si>
    <t>Oil, natural gas and other emissions from energy production</t>
  </si>
  <si>
    <t>2 (excluding F-gases)</t>
  </si>
  <si>
    <t>Industrial processes and product use</t>
  </si>
  <si>
    <t>Reference</t>
  </si>
  <si>
    <t>MtCO2eq</t>
  </si>
  <si>
    <t>(pathways till 2050 are represented in the next tabs)</t>
  </si>
  <si>
    <t>Total Budget</t>
  </si>
  <si>
    <t>Operation of buildings</t>
  </si>
  <si>
    <t>Construction (embodied emissions)</t>
  </si>
  <si>
    <t>All buildings</t>
  </si>
  <si>
    <t>(derived from industry - production and manufacturing of materials) Disposal is excluded</t>
  </si>
  <si>
    <t>National production (share of industry's emissions)</t>
  </si>
  <si>
    <t>Emissions abroad (share of total emissions)</t>
  </si>
  <si>
    <t>Residential</t>
  </si>
  <si>
    <t>Renovation rate in 2020</t>
  </si>
  <si>
    <t>Renovation rate in 2050</t>
  </si>
  <si>
    <t>Activities in construction budgets</t>
  </si>
  <si>
    <t>Share of surfaces</t>
  </si>
  <si>
    <t>Cumulative 20-50</t>
  </si>
  <si>
    <t>NEW buildings</t>
  </si>
  <si>
    <t>Renovated buildings</t>
  </si>
  <si>
    <t>Maintenance</t>
  </si>
  <si>
    <t>Impact weighting of activities (embodied)</t>
  </si>
  <si>
    <t>SIA2040 - residential</t>
  </si>
  <si>
    <t>relative weight</t>
  </si>
  <si>
    <t>Overall weights</t>
  </si>
  <si>
    <t>Activities budgets</t>
  </si>
  <si>
    <t>Mt</t>
  </si>
  <si>
    <t>tco2</t>
  </si>
  <si>
    <t>1A2a</t>
  </si>
  <si>
    <t>1A2b</t>
  </si>
  <si>
    <t>1A2f</t>
  </si>
  <si>
    <t>Wood and wood products</t>
  </si>
  <si>
    <t>1A2giv</t>
  </si>
  <si>
    <t>1 third</t>
  </si>
  <si>
    <t>1A2gviii</t>
  </si>
  <si>
    <t>2A</t>
  </si>
  <si>
    <t>Mineral industry</t>
  </si>
  <si>
    <t>2A1</t>
  </si>
  <si>
    <t>Cement production</t>
  </si>
  <si>
    <t>(NIR - clinker production * CO2 emission factor)</t>
  </si>
  <si>
    <t>2A2</t>
  </si>
  <si>
    <t>Lime production</t>
  </si>
  <si>
    <t>(NIR - confidential data)</t>
  </si>
  <si>
    <t>2A3</t>
  </si>
  <si>
    <t>Glass production</t>
  </si>
  <si>
    <t>(only glass wool production - other data is confidential - NIR p. 208-209)</t>
  </si>
  <si>
    <t>2A4</t>
  </si>
  <si>
    <t>Other process uses of carbonates (ceramics - bricks - rock wool…)</t>
  </si>
  <si>
    <t>(only bricks and plaster - rest is confidential)</t>
  </si>
  <si>
    <t>2B</t>
  </si>
  <si>
    <t>Chemical industry</t>
  </si>
  <si>
    <t>2C</t>
  </si>
  <si>
    <t>Metal industry</t>
  </si>
  <si>
    <t>(irrelevant impact - NIR p.199)</t>
  </si>
  <si>
    <t>2D</t>
  </si>
  <si>
    <t>2E</t>
  </si>
  <si>
    <t>Electronics industry (PV manufacturing)</t>
  </si>
  <si>
    <t>2F</t>
  </si>
  <si>
    <t>(AC and refrigeration..)</t>
  </si>
  <si>
    <t>??</t>
  </si>
  <si>
    <t>2G</t>
  </si>
  <si>
    <t>2H</t>
  </si>
  <si>
    <t>residential</t>
  </si>
  <si>
    <t>other</t>
  </si>
  <si>
    <t>IMPORTED</t>
  </si>
  <si>
    <t>Environmental Impacts of Swiss Consumption and Production</t>
  </si>
  <si>
    <t>a</t>
  </si>
  <si>
    <t>x</t>
  </si>
  <si>
    <t>Dwellings per 1000 inhabitants</t>
  </si>
  <si>
    <t>Avg_Surface per dwelling</t>
  </si>
  <si>
    <t>Other non-residential buildings</t>
  </si>
  <si>
    <t>Stock</t>
  </si>
  <si>
    <t>NEW</t>
  </si>
  <si>
    <t>Surfaces stock</t>
  </si>
  <si>
    <t>New_surf_Correct</t>
  </si>
  <si>
    <t>New_surf_cum</t>
  </si>
  <si>
    <t>Ren_rate</t>
  </si>
  <si>
    <t>Ren_surfaces</t>
  </si>
  <si>
    <t>Ren_Surf_cum</t>
  </si>
  <si>
    <t>Ren_Surf</t>
  </si>
  <si>
    <t>Remaining_Stock_surfaces</t>
  </si>
  <si>
    <t>REN</t>
  </si>
  <si>
    <t>REM</t>
  </si>
  <si>
    <t>Embodied targets New construction</t>
  </si>
  <si>
    <t>Yearly budgets</t>
  </si>
  <si>
    <t xml:space="preserve">Targets </t>
  </si>
  <si>
    <t>[MtCO2eq]</t>
  </si>
  <si>
    <t>[m2]</t>
  </si>
  <si>
    <t>[kgCO2eq/m2]</t>
  </si>
  <si>
    <t>Average</t>
  </si>
  <si>
    <t>Share to average</t>
  </si>
  <si>
    <t>Current emissions [kgCO2/m2]</t>
  </si>
  <si>
    <t>Calculated values</t>
  </si>
  <si>
    <t>Values extracted from external sources</t>
  </si>
  <si>
    <t>Estimated values 1</t>
  </si>
  <si>
    <t>Variable cells</t>
  </si>
  <si>
    <t>Input parameters</t>
  </si>
  <si>
    <t>Emissions report 1990 - 2019 / Swiss climate strategy 2020 - 2050</t>
  </si>
  <si>
    <t>Carbone/habitant [tonnes/habitant]</t>
  </si>
  <si>
    <t>Pathways to net-zero</t>
  </si>
  <si>
    <t>Embodied with imports</t>
  </si>
  <si>
    <t>Embodied allocation</t>
  </si>
  <si>
    <t>Embodied targets</t>
  </si>
  <si>
    <t>[kgCO2/m2]</t>
  </si>
  <si>
    <t>+End of life</t>
  </si>
  <si>
    <t>[kgCO2/m2.year]</t>
  </si>
  <si>
    <t>Embodied targets - amortized</t>
  </si>
  <si>
    <t>years</t>
  </si>
  <si>
    <t>Years before finish</t>
  </si>
  <si>
    <t>Budget check</t>
  </si>
  <si>
    <t>Swiss strategy</t>
  </si>
  <si>
    <t>Construction sector budget 1.5°C</t>
  </si>
  <si>
    <t>Both - total stock</t>
  </si>
  <si>
    <t>New</t>
  </si>
  <si>
    <t>Renovate</t>
  </si>
  <si>
    <t xml:space="preserve">The identified targets are dependant on the following factors with a top-down perspective: </t>
  </si>
  <si>
    <t>Global carbon budgets</t>
  </si>
  <si>
    <t>Identified by the IPCC - with quantified uncertainties</t>
  </si>
  <si>
    <t>Needs to be updated every year - accounting for yearly global emissions and check if IPCC released new budgets</t>
  </si>
  <si>
    <t>National carbon budget</t>
  </si>
  <si>
    <t>Needs to be updated every year to compare budget with yearly emissions</t>
  </si>
  <si>
    <t>Sectoral budgets</t>
  </si>
  <si>
    <t>Dependant on allocation method chosen</t>
  </si>
  <si>
    <t>Construction related budgets</t>
  </si>
  <si>
    <t xml:space="preserve">Current impact of construction is extracted from impact of production of materials used in construction in the NIR (accuracy is limited as not all companies are reported for confidentiality reasons). The share of imported impact is taken from the literature and assumed constant - this might vary. </t>
  </si>
  <si>
    <t>Embodied budget share new and renovations</t>
  </si>
  <si>
    <t xml:space="preserve">Weight between new constructions and renovations is based on share of surfaces till 2050 (assuming an increase in renovation rate from 1% to 3% in 2050 and a constant surface per inhabitant till 2050 to account for new constructions) Population is assumed to increase as per BFS. </t>
  </si>
  <si>
    <t>Renovation rate and parameters for new constructions can be modified in tab "Surfaces"</t>
  </si>
  <si>
    <t>Embodied budget</t>
  </si>
  <si>
    <t>Embodied budgets are here derived from the industry's production of materials. Impact of disposal is not accounted in this budget and should, in case, be derived from the budget of the sector "others"</t>
  </si>
  <si>
    <r>
      <t xml:space="preserve">This tool calculates carbon targets for the construction and operation of buildings in Switzerland from 2020 until 2050 aligned with both the Swiss climate strategy and a 1.5°C budget </t>
    </r>
    <r>
      <rPr>
        <b/>
        <sz val="11"/>
        <color theme="1"/>
        <rFont val="Calibri"/>
        <family val="2"/>
        <scheme val="minor"/>
      </rPr>
      <t>(the 2 goals are reported separately)</t>
    </r>
    <r>
      <rPr>
        <sz val="11"/>
        <color theme="1"/>
        <rFont val="Calibri"/>
        <family val="2"/>
        <scheme val="minor"/>
      </rPr>
      <t xml:space="preserve">. The user must fill in the following information in the tab "Outil Cibles":
- Program of building (choice between residential or administrative)
- Type of work: (choice between renovation or new construction)
- Year of delivery of the finished building (2020-2050)
- Square meters of building (if possible energy reference area)
The tool then automatically calculates embodied and operational targets for each building and sums it up to an overall development budget until 2050. 
The graphs present punctual upfront embodied carbon targets for the construction or renovation at each delivery year as well as total amortized yearly targets over the time period. </t>
    </r>
  </si>
  <si>
    <t>Les cibles identifiées dépendent des facteurs suivants:</t>
  </si>
  <si>
    <t>Identifiés par le GIEC - avec des incertitudes quantifiées</t>
  </si>
  <si>
    <t>Doit etre mis à jour chaque année - comptabiliser les émissions mondiales annuelles réelles et vérifier si le GIEC a publié de nouveaux budgets</t>
  </si>
  <si>
    <t>Doit etre mis à jour chaque année pour comparer le budget aux émissions effectives annuelles.</t>
  </si>
  <si>
    <t>L'impact actuel de la construction est extrait de l'impact de la production des matériaux utilisés dans la construction dans le NIR (la précision est limitée car toutes les entreprises ne sont pas déclarées pour des raisons de confidentialité). La part de l'impact importé est tirée de la littérature et supposée constante - peut varier</t>
  </si>
  <si>
    <t xml:space="preserve">La pondération entre l'impact des nouvelles constructions et les rénovations est basée sur la part des surfaces jusqu'en 2050 (en supposant une augmentation du taux de rénovation de 1% à 3% en 2050 et une surface constante par habitant jusqu'en 2050 pour tenir compte des nouvelles constructions). La population est supposée augmenter selon l'OFS. </t>
  </si>
  <si>
    <t xml:space="preserve">Les budgets d'émissions grises sont ici dérivés de la production de matériaux par l'industrie. L'impact de l'élimination n'est pas comptabilisé dans ce budget et devrait etre dérévé du budget du secteur "autres". Un supplément de budget est considéré dans le budget total de l'opération et amoriti sur la durée de vie. </t>
  </si>
  <si>
    <t>SIA 416</t>
  </si>
  <si>
    <t>SP</t>
  </si>
  <si>
    <t>SN</t>
  </si>
  <si>
    <t>SC</t>
  </si>
  <si>
    <t>SU</t>
  </si>
  <si>
    <t>SUP</t>
  </si>
  <si>
    <t>SUS</t>
  </si>
  <si>
    <t>SD</t>
  </si>
  <si>
    <t>SI</t>
  </si>
  <si>
    <t>SCP</t>
  </si>
  <si>
    <t>SCN</t>
  </si>
  <si>
    <t>SRE</t>
  </si>
  <si>
    <t>(sauf véhicules)</t>
  </si>
  <si>
    <t>locaux sanitaires et vestiaires</t>
  </si>
  <si>
    <t>Les gaines techniques verticales d'approvisionnement ou d'évacuation et les débarras d'une surface de moins de 10m2 de surface nette font partie de la  SRE si entourés par des locaux pris en compte dans la SRE ou par enveloppe thermique</t>
  </si>
  <si>
    <t>http://www.uspi-fribourg.ch/media/1332/presentation-uspi-fr-9-10-2015.pdf</t>
  </si>
  <si>
    <t>https://www.aramis.admin.ch/Default?DocumentID=67906&amp;Load=true</t>
  </si>
  <si>
    <t>Surface de référence énergétique (SRE)</t>
  </si>
  <si>
    <t>SIA 2032</t>
  </si>
  <si>
    <t>Dépend de la méthode d'allocation choisie</t>
  </si>
  <si>
    <t xml:space="preserve">Emissions grises de construction - cycle de vie </t>
  </si>
  <si>
    <t>Amortisation sur durée de vie du batiment</t>
  </si>
  <si>
    <t>Ex</t>
  </si>
  <si>
    <t>NEW_Cum</t>
  </si>
  <si>
    <t>Total amortized</t>
  </si>
  <si>
    <t>Exploitation moyenne sur 20 ans</t>
  </si>
  <si>
    <t>Other</t>
  </si>
  <si>
    <t>New cumul</t>
  </si>
  <si>
    <t>(Valeur moyenne sur 20ans)</t>
  </si>
  <si>
    <t>Budget remplacements (30 ans)</t>
  </si>
  <si>
    <t>Budget fin de vie (60ans)</t>
  </si>
  <si>
    <t>kgCO2 / an</t>
  </si>
  <si>
    <t>Cibles</t>
  </si>
  <si>
    <t>Construction "upfront"</t>
  </si>
  <si>
    <t>Avant-projet</t>
  </si>
  <si>
    <t>Crédit / Déficit</t>
  </si>
  <si>
    <t xml:space="preserve">Références: </t>
  </si>
  <si>
    <t>Conversion</t>
  </si>
  <si>
    <t xml:space="preserve">Points de vigilance: </t>
  </si>
  <si>
    <t xml:space="preserve">- l'extension d'un batiment existant comporte le respect de deux cibles séparées
--&gt; Cible batiment neuf pour la partie ajoutée
--&gt; Cible batiment rénové pour la partie existante </t>
  </si>
  <si>
    <t>kgCO2/an</t>
  </si>
  <si>
    <t>Budget total upfront [tonnes]</t>
  </si>
  <si>
    <t>Budget remplacements (20 ans)</t>
  </si>
  <si>
    <t>Budget remplacements (40 ans)</t>
  </si>
  <si>
    <t>A1-A5</t>
  </si>
  <si>
    <t>B4</t>
  </si>
  <si>
    <t>C1-C4</t>
  </si>
  <si>
    <t>B6</t>
  </si>
  <si>
    <t>A1-A5 / B4 / C</t>
  </si>
  <si>
    <t>Moyenne sur 60ans</t>
  </si>
  <si>
    <t>600 average office</t>
  </si>
  <si>
    <t>700 average residential MFH</t>
  </si>
  <si>
    <t>Budget global par m2 sur 60 ans</t>
  </si>
  <si>
    <t xml:space="preserve">Budget global </t>
  </si>
  <si>
    <t>A-C (not B6)</t>
  </si>
  <si>
    <t>Impact relatif des remplacements pendant durée de vie</t>
  </si>
  <si>
    <t>20ans</t>
  </si>
  <si>
    <t>30ans</t>
  </si>
  <si>
    <t>40ans</t>
  </si>
  <si>
    <t>Résidentiel vs. Services dans le rapport des émissions</t>
  </si>
  <si>
    <t>Commercial and institutional</t>
  </si>
  <si>
    <t>Commercial and institutional means the category of properties being used to make, provide or distribute a product or service, such as hotels, restaurants, office buildings, commercial businesses, or other places of commerce and schools, churches and hospitals.</t>
  </si>
  <si>
    <t>(Ref: EP2050+_Ergebnissynthese_2020-2050_ZERO-Basis / Emissions de gaz à effet de serre visées par la loi sur le CO2 révisée et par le Protocole de Kyoto, 2e période d'engagement (2013-2020) 2020)</t>
  </si>
  <si>
    <t>(yearly values until 2050 are extracted from EP2050+)</t>
  </si>
  <si>
    <t>40ans (après 20ans de service)</t>
  </si>
  <si>
    <t>residential mean</t>
  </si>
  <si>
    <t>non-residential mean</t>
  </si>
  <si>
    <t>https://www.bfs.admin.ch/bfs/fr/home/statistiques/construction-logement.html</t>
  </si>
  <si>
    <t xml:space="preserve"> https://www.bafu.admin.ch/bafu/fr/home/etat/indicateurs.html/</t>
  </si>
  <si>
    <t>Remplacements 20</t>
  </si>
  <si>
    <t>Remplacements 30</t>
  </si>
  <si>
    <t>Remplacements 40</t>
  </si>
  <si>
    <t>(Remplir avec les valeurs de projet pour l'exploitation et la construction à l'année 0)</t>
  </si>
  <si>
    <t>construction</t>
  </si>
  <si>
    <t>exploitation</t>
  </si>
  <si>
    <t>SIA 2040 (Résidentiel)</t>
  </si>
  <si>
    <t>Minergie max (Résidentiel)</t>
  </si>
  <si>
    <t>Minergie min (Résidentiel/Bureaux)</t>
  </si>
  <si>
    <t>Minergie max (Bureaux)</t>
  </si>
  <si>
    <t>SIA 2040 (Bureaux)</t>
  </si>
  <si>
    <t>Nouvelles construction upfront target</t>
  </si>
  <si>
    <t>Nouvelles constructions target remplacements</t>
  </si>
  <si>
    <t>Rénovation upfront target</t>
  </si>
  <si>
    <t>Rénovations target remplacements</t>
  </si>
  <si>
    <t>Commerce</t>
  </si>
  <si>
    <t>transports et communication</t>
  </si>
  <si>
    <t>Hébergement et restauration</t>
  </si>
  <si>
    <t>Finances</t>
  </si>
  <si>
    <t>Admin publique</t>
  </si>
  <si>
    <t>Enseignement</t>
  </si>
  <si>
    <t>Santé</t>
  </si>
  <si>
    <t>Average Stock [kgCO2eq/m2]</t>
  </si>
  <si>
    <t>SRE: Surface de référence énergétique</t>
  </si>
  <si>
    <t>Ratios surfaces</t>
  </si>
  <si>
    <t>Phases ACV</t>
  </si>
  <si>
    <t>New buildings</t>
  </si>
  <si>
    <t>Renovations</t>
  </si>
  <si>
    <t xml:space="preserve">Cet outil calcule les objectifs en matière de carbone pour la construction et l'exploitation des batiments en Suisse de 2022 à 2050, conformément à la stratégie climatique Suisse et à un budget limite pour un objectif à 1.5°C (les deux objectifs sont présentés séparément). L'utilisateur doit remplir les informations suivantes dans l'onglet "Outil Cibles":
- Programme du batiment (choix entre résidentiel ou bureaux);
- Type de travaux (choix entre rénovation ou construction neuve);
- Année de livraison du batiment fini (2022-2050);
- Mètres carrés du batiment (si possible surface de référence énergétique).
L'outil calcule ensuite automatiquement les objectifs d'émissions grises pour la construction et d'émissions d'exploitation pour chaque batiment et les résume à un budget de développement global jusqu'en 2100. 
Les graphiques présentent les objectifs initiaux "upfront" de carbone pour la construction ou la rénovation à chaque année de livraison ainsi que les objectifs totaux amortis sur la durée de vie des batiments jusqu'en 2100. </t>
  </si>
  <si>
    <t>Waste management</t>
  </si>
  <si>
    <t>Fin de vie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</si>
</sst>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000"/>
    <numFmt numFmtId="167" formatCode="0.0%"/>
    <numFmt numFmtId="168" formatCode="0.000000%"/>
    <numFmt numFmtId="169" formatCode="0.000"/>
  </numFmts>
  <fonts count="1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sz val="11"/>
      <color theme="1"/>
      <name val="Franklin Gothic Demi"/>
      <family val="2"/>
    </font>
    <font>
      <u/>
      <sz val="11"/>
      <color theme="10"/>
      <name val="Calibri"/>
      <family val="2"/>
      <scheme val="minor"/>
    </font>
    <font>
      <sz val="8"/>
      <color rgb="FFFF0000"/>
      <name val="Calibri"/>
      <family val="2"/>
      <scheme val="minor"/>
    </font>
    <font>
      <sz val="8"/>
      <color theme="1"/>
      <name val="Calibri"/>
      <family val="2"/>
      <scheme val="minor"/>
    </font>
    <font>
      <b/>
      <sz val="8"/>
      <color theme="1"/>
      <name val="Calibri"/>
      <family val="2"/>
      <scheme val="minor"/>
    </font>
    <font>
      <b/>
      <sz val="16"/>
      <color theme="1"/>
      <name val="Calibri"/>
      <family val="2"/>
      <scheme val="minor"/>
    </font>
    <font>
      <b/>
      <sz val="14"/>
      <color theme="1"/>
      <name val="Calibri"/>
      <family val="2"/>
      <scheme val="minor"/>
    </font>
    <font>
      <b/>
      <sz val="20"/>
      <color theme="1"/>
      <name val="Calibri"/>
      <family val="2"/>
      <scheme val="minor"/>
    </font>
    <font>
      <sz val="9"/>
      <color indexed="81"/>
      <name val="Tahoma"/>
      <family val="2"/>
    </font>
    <font>
      <b/>
      <sz val="9"/>
      <color indexed="81"/>
      <name val="Tahoma"/>
      <family val="2"/>
    </font>
    <font>
      <sz val="10"/>
      <color theme="1"/>
      <name val="Calibri"/>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2" tint="-0.249977111117893"/>
        <bgColor indexed="64"/>
      </patternFill>
    </fill>
  </fills>
  <borders count="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1" fillId="0" borderId="0" applyFont="0" applyFill="0" applyBorder="0" applyAlignment="0" applyProtection="0"/>
    <xf numFmtId="0" fontId="6" fillId="0" borderId="0" applyNumberFormat="0" applyFill="0" applyBorder="0" applyAlignment="0" applyProtection="0"/>
  </cellStyleXfs>
  <cellXfs count="318">
    <xf numFmtId="0" fontId="0" fillId="0" borderId="0" xfId="0"/>
    <xf numFmtId="0" fontId="3" fillId="0" borderId="0" xfId="0" applyFont="1"/>
    <xf numFmtId="0" fontId="0" fillId="0" borderId="4" xfId="0" applyBorder="1"/>
    <xf numFmtId="9" fontId="4" fillId="0" borderId="0" xfId="0" applyNumberFormat="1" applyFont="1"/>
    <xf numFmtId="9" fontId="4" fillId="0" borderId="5" xfId="0" applyNumberFormat="1" applyFont="1" applyBorder="1"/>
    <xf numFmtId="0" fontId="0" fillId="0" borderId="5" xfId="0" applyBorder="1"/>
    <xf numFmtId="0" fontId="0" fillId="0" borderId="6" xfId="0" applyBorder="1"/>
    <xf numFmtId="0" fontId="0" fillId="0" borderId="7" xfId="0" applyBorder="1"/>
    <xf numFmtId="0" fontId="0" fillId="0" borderId="8" xfId="0" applyBorder="1"/>
    <xf numFmtId="164" fontId="0" fillId="0" borderId="0" xfId="0" applyNumberFormat="1"/>
    <xf numFmtId="0" fontId="0" fillId="2" borderId="0" xfId="0" applyFill="1"/>
    <xf numFmtId="165" fontId="0" fillId="0" borderId="0" xfId="0" applyNumberFormat="1"/>
    <xf numFmtId="0" fontId="0" fillId="3" borderId="0" xfId="0" applyFill="1"/>
    <xf numFmtId="164" fontId="0" fillId="2" borderId="0" xfId="0" applyNumberFormat="1" applyFill="1"/>
    <xf numFmtId="164" fontId="0" fillId="3" borderId="0" xfId="0" applyNumberFormat="1" applyFill="1"/>
    <xf numFmtId="0" fontId="0" fillId="4" borderId="0" xfId="0" applyFill="1"/>
    <xf numFmtId="164" fontId="0" fillId="4" borderId="0" xfId="0" applyNumberFormat="1" applyFill="1"/>
    <xf numFmtId="0" fontId="0" fillId="0" borderId="1" xfId="0" applyBorder="1"/>
    <xf numFmtId="0" fontId="0" fillId="0" borderId="3" xfId="0" applyBorder="1"/>
    <xf numFmtId="0" fontId="3" fillId="0" borderId="4" xfId="0" applyFont="1" applyBorder="1"/>
    <xf numFmtId="2" fontId="0" fillId="0" borderId="5" xfId="0" applyNumberFormat="1" applyBorder="1"/>
    <xf numFmtId="0" fontId="3" fillId="0" borderId="1" xfId="0" applyFont="1" applyBorder="1"/>
    <xf numFmtId="0" fontId="0" fillId="0" borderId="2" xfId="0" applyBorder="1"/>
    <xf numFmtId="2" fontId="0" fillId="0" borderId="0" xfId="0" applyNumberFormat="1"/>
    <xf numFmtId="9" fontId="0" fillId="0" borderId="0" xfId="1" applyFont="1" applyBorder="1"/>
    <xf numFmtId="9" fontId="0" fillId="0" borderId="0" xfId="0" applyNumberFormat="1"/>
    <xf numFmtId="0" fontId="0" fillId="0" borderId="9" xfId="0" applyBorder="1"/>
    <xf numFmtId="0" fontId="3" fillId="0" borderId="5" xfId="0" applyFont="1" applyBorder="1"/>
    <xf numFmtId="3" fontId="0" fillId="0" borderId="0" xfId="0" applyNumberFormat="1"/>
    <xf numFmtId="0" fontId="0" fillId="5" borderId="0" xfId="0" applyFill="1"/>
    <xf numFmtId="9" fontId="0" fillId="5" borderId="0" xfId="1" applyFont="1" applyFill="1" applyBorder="1"/>
    <xf numFmtId="2" fontId="0" fillId="0" borderId="4" xfId="0" applyNumberFormat="1" applyBorder="1"/>
    <xf numFmtId="0" fontId="0" fillId="0" borderId="10" xfId="0" applyBorder="1"/>
    <xf numFmtId="0" fontId="0" fillId="0" borderId="11" xfId="0" applyBorder="1"/>
    <xf numFmtId="0" fontId="7" fillId="0" borderId="0" xfId="0" applyFont="1"/>
    <xf numFmtId="0" fontId="8" fillId="0" borderId="0" xfId="0" applyFont="1"/>
    <xf numFmtId="9" fontId="0" fillId="0" borderId="0" xfId="1" applyFont="1"/>
    <xf numFmtId="0" fontId="7" fillId="0" borderId="15" xfId="0" applyFont="1" applyBorder="1" applyAlignment="1">
      <alignment vertical="top"/>
    </xf>
    <xf numFmtId="0" fontId="7" fillId="0" borderId="16" xfId="0" applyFont="1" applyBorder="1" applyAlignment="1">
      <alignment vertical="top" wrapText="1"/>
    </xf>
    <xf numFmtId="0" fontId="7" fillId="0" borderId="16" xfId="0" applyFont="1" applyBorder="1" applyAlignment="1">
      <alignment vertical="top"/>
    </xf>
    <xf numFmtId="0" fontId="7" fillId="0" borderId="12" xfId="0" applyFont="1" applyBorder="1"/>
    <xf numFmtId="0" fontId="7" fillId="0" borderId="17" xfId="0" applyFont="1" applyBorder="1"/>
    <xf numFmtId="2" fontId="7" fillId="0" borderId="17" xfId="0" applyNumberFormat="1" applyFont="1" applyBorder="1"/>
    <xf numFmtId="0" fontId="7" fillId="0" borderId="13" xfId="0" applyFont="1" applyBorder="1"/>
    <xf numFmtId="0" fontId="3" fillId="0" borderId="15" xfId="0" applyFont="1" applyBorder="1"/>
    <xf numFmtId="0" fontId="7" fillId="0" borderId="16" xfId="0" applyFont="1" applyBorder="1"/>
    <xf numFmtId="0" fontId="0" fillId="0" borderId="16" xfId="0" applyBorder="1"/>
    <xf numFmtId="0" fontId="0" fillId="0" borderId="0" xfId="0" applyAlignment="1">
      <alignment wrapText="1"/>
    </xf>
    <xf numFmtId="0" fontId="0" fillId="0" borderId="17" xfId="0" applyBorder="1"/>
    <xf numFmtId="0" fontId="0" fillId="0" borderId="11" xfId="0" applyBorder="1" applyAlignment="1">
      <alignment horizontal="right"/>
    </xf>
    <xf numFmtId="0" fontId="0" fillId="7" borderId="0" xfId="0" applyFill="1"/>
    <xf numFmtId="16" fontId="2" fillId="0" borderId="0" xfId="0" applyNumberFormat="1" applyFont="1"/>
    <xf numFmtId="0" fontId="2" fillId="0" borderId="0" xfId="0" applyFont="1"/>
    <xf numFmtId="9" fontId="2" fillId="0" borderId="0" xfId="1" applyFont="1"/>
    <xf numFmtId="9" fontId="0" fillId="7" borderId="0" xfId="0" applyNumberFormat="1" applyFill="1"/>
    <xf numFmtId="9" fontId="0" fillId="7" borderId="0" xfId="1" applyFont="1" applyFill="1"/>
    <xf numFmtId="0" fontId="3" fillId="0" borderId="11" xfId="0" applyFont="1" applyBorder="1"/>
    <xf numFmtId="167" fontId="0" fillId="0" borderId="0" xfId="0" applyNumberFormat="1"/>
    <xf numFmtId="167" fontId="0" fillId="0" borderId="0" xfId="1" applyNumberFormat="1" applyFont="1"/>
    <xf numFmtId="0" fontId="0" fillId="0" borderId="18" xfId="0" applyBorder="1"/>
    <xf numFmtId="0" fontId="0" fillId="0" borderId="13" xfId="0" applyBorder="1"/>
    <xf numFmtId="0" fontId="3" fillId="8" borderId="0" xfId="0" applyFont="1" applyFill="1"/>
    <xf numFmtId="0" fontId="0" fillId="8" borderId="0" xfId="0" applyFill="1"/>
    <xf numFmtId="165" fontId="0" fillId="3" borderId="4" xfId="0" applyNumberFormat="1" applyFill="1" applyBorder="1"/>
    <xf numFmtId="2" fontId="0" fillId="3" borderId="0" xfId="0" applyNumberFormat="1" applyFill="1"/>
    <xf numFmtId="3" fontId="0" fillId="8" borderId="19" xfId="0" applyNumberFormat="1" applyFill="1" applyBorder="1"/>
    <xf numFmtId="0" fontId="3" fillId="8" borderId="4" xfId="0" applyFont="1" applyFill="1" applyBorder="1"/>
    <xf numFmtId="0" fontId="9" fillId="8" borderId="0" xfId="0" applyFont="1" applyFill="1"/>
    <xf numFmtId="0" fontId="0" fillId="8" borderId="5" xfId="0" applyFill="1" applyBorder="1"/>
    <xf numFmtId="0" fontId="0" fillId="3" borderId="0" xfId="0" applyFill="1" applyProtection="1">
      <protection locked="0"/>
    </xf>
    <xf numFmtId="0" fontId="9" fillId="0" borderId="0" xfId="0" applyFont="1"/>
    <xf numFmtId="164" fontId="0" fillId="8" borderId="0" xfId="0" applyNumberFormat="1" applyFill="1"/>
    <xf numFmtId="3" fontId="0" fillId="8" borderId="0" xfId="0" applyNumberFormat="1" applyFill="1"/>
    <xf numFmtId="0" fontId="0" fillId="0" borderId="21" xfId="0" applyBorder="1"/>
    <xf numFmtId="0" fontId="0" fillId="0" borderId="22" xfId="0" applyBorder="1"/>
    <xf numFmtId="0" fontId="0" fillId="3" borderId="5" xfId="0" applyFill="1" applyBorder="1" applyProtection="1">
      <protection locked="0"/>
    </xf>
    <xf numFmtId="3" fontId="0" fillId="0" borderId="19" xfId="0" applyNumberFormat="1" applyBorder="1" applyProtection="1">
      <protection locked="0"/>
    </xf>
    <xf numFmtId="3" fontId="0" fillId="0" borderId="20" xfId="0" applyNumberFormat="1" applyBorder="1" applyProtection="1">
      <protection locked="0"/>
    </xf>
    <xf numFmtId="0" fontId="0" fillId="0" borderId="2" xfId="0" applyBorder="1" applyAlignment="1">
      <alignment wrapText="1"/>
    </xf>
    <xf numFmtId="0" fontId="3" fillId="0" borderId="0" xfId="0" applyFont="1" applyAlignment="1">
      <alignment wrapText="1"/>
    </xf>
    <xf numFmtId="0" fontId="0" fillId="0" borderId="16"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0" borderId="6" xfId="0" applyBorder="1" applyAlignment="1">
      <alignment wrapText="1"/>
    </xf>
    <xf numFmtId="0" fontId="0" fillId="8" borderId="0" xfId="0" applyFill="1" applyAlignment="1">
      <alignment wrapText="1"/>
    </xf>
    <xf numFmtId="0" fontId="0" fillId="8" borderId="6" xfId="0" applyFill="1" applyBorder="1"/>
    <xf numFmtId="0" fontId="0" fillId="8" borderId="7" xfId="0" applyFill="1" applyBorder="1"/>
    <xf numFmtId="165" fontId="0" fillId="8" borderId="0" xfId="0" applyNumberFormat="1" applyFill="1"/>
    <xf numFmtId="2" fontId="0" fillId="8" borderId="0" xfId="0" applyNumberFormat="1" applyFill="1"/>
    <xf numFmtId="165" fontId="0" fillId="8" borderId="17" xfId="0" applyNumberFormat="1" applyFill="1" applyBorder="1"/>
    <xf numFmtId="10" fontId="0" fillId="8" borderId="4" xfId="0" applyNumberFormat="1" applyFill="1" applyBorder="1"/>
    <xf numFmtId="10" fontId="0" fillId="8" borderId="5" xfId="0" applyNumberFormat="1" applyFill="1" applyBorder="1"/>
    <xf numFmtId="9" fontId="0" fillId="8" borderId="7" xfId="0" applyNumberFormat="1" applyFill="1" applyBorder="1"/>
    <xf numFmtId="166" fontId="0" fillId="8" borderId="0" xfId="0" applyNumberFormat="1" applyFill="1"/>
    <xf numFmtId="164" fontId="5" fillId="8" borderId="4" xfId="0" applyNumberFormat="1" applyFont="1" applyFill="1" applyBorder="1"/>
    <xf numFmtId="164" fontId="5" fillId="8" borderId="0" xfId="0" applyNumberFormat="1" applyFont="1" applyFill="1"/>
    <xf numFmtId="164" fontId="5" fillId="8" borderId="6" xfId="0" applyNumberFormat="1" applyFont="1" applyFill="1" applyBorder="1"/>
    <xf numFmtId="164" fontId="5" fillId="8" borderId="7" xfId="0" applyNumberFormat="1" applyFont="1" applyFill="1" applyBorder="1"/>
    <xf numFmtId="165" fontId="0" fillId="8" borderId="1" xfId="0" applyNumberFormat="1" applyFill="1" applyBorder="1"/>
    <xf numFmtId="165" fontId="0" fillId="8" borderId="2" xfId="0" applyNumberFormat="1" applyFill="1" applyBorder="1"/>
    <xf numFmtId="165" fontId="0" fillId="8" borderId="3" xfId="0" applyNumberFormat="1" applyFill="1" applyBorder="1"/>
    <xf numFmtId="165" fontId="0" fillId="8" borderId="4" xfId="0" applyNumberFormat="1" applyFill="1" applyBorder="1"/>
    <xf numFmtId="165" fontId="0" fillId="8" borderId="5" xfId="0" applyNumberFormat="1" applyFill="1" applyBorder="1"/>
    <xf numFmtId="164" fontId="5" fillId="8" borderId="5" xfId="0" applyNumberFormat="1" applyFont="1" applyFill="1" applyBorder="1"/>
    <xf numFmtId="164" fontId="5" fillId="8" borderId="8" xfId="0" applyNumberFormat="1" applyFont="1" applyFill="1" applyBorder="1"/>
    <xf numFmtId="0" fontId="0" fillId="8" borderId="11" xfId="0" applyFill="1" applyBorder="1"/>
    <xf numFmtId="0" fontId="0" fillId="8" borderId="0" xfId="0" applyFill="1" applyAlignment="1">
      <alignment horizontal="right"/>
    </xf>
    <xf numFmtId="0" fontId="0" fillId="8" borderId="12" xfId="0" applyFill="1" applyBorder="1" applyAlignment="1">
      <alignment horizontal="left"/>
    </xf>
    <xf numFmtId="0" fontId="0" fillId="8" borderId="17" xfId="0" applyFill="1" applyBorder="1" applyAlignment="1">
      <alignment wrapText="1"/>
    </xf>
    <xf numFmtId="2" fontId="0" fillId="3" borderId="5" xfId="0" applyNumberFormat="1" applyFill="1" applyBorder="1"/>
    <xf numFmtId="2" fontId="0" fillId="3" borderId="7" xfId="0" applyNumberFormat="1" applyFill="1" applyBorder="1"/>
    <xf numFmtId="2" fontId="0" fillId="3" borderId="8" xfId="0" applyNumberFormat="1" applyFill="1" applyBorder="1"/>
    <xf numFmtId="9" fontId="0" fillId="3" borderId="0" xfId="1" applyFont="1" applyFill="1" applyBorder="1"/>
    <xf numFmtId="2" fontId="0" fillId="3" borderId="9" xfId="0" applyNumberFormat="1" applyFill="1" applyBorder="1"/>
    <xf numFmtId="9" fontId="0" fillId="3" borderId="0" xfId="0" applyNumberFormat="1" applyFill="1"/>
    <xf numFmtId="9" fontId="0" fillId="3" borderId="17" xfId="0" applyNumberFormat="1" applyFill="1" applyBorder="1"/>
    <xf numFmtId="0" fontId="0" fillId="9" borderId="0" xfId="0" applyFill="1"/>
    <xf numFmtId="2" fontId="0" fillId="9" borderId="4" xfId="0" applyNumberFormat="1" applyFill="1" applyBorder="1"/>
    <xf numFmtId="2" fontId="0" fillId="9" borderId="6" xfId="0" applyNumberFormat="1" applyFill="1" applyBorder="1"/>
    <xf numFmtId="9" fontId="0" fillId="3" borderId="5" xfId="1" applyFont="1" applyFill="1" applyBorder="1"/>
    <xf numFmtId="2" fontId="0" fillId="3" borderId="4" xfId="0" applyNumberFormat="1" applyFill="1" applyBorder="1"/>
    <xf numFmtId="2" fontId="0" fillId="3" borderId="3" xfId="0" applyNumberFormat="1" applyFill="1" applyBorder="1"/>
    <xf numFmtId="9" fontId="0" fillId="3" borderId="2" xfId="0" applyNumberFormat="1" applyFill="1" applyBorder="1"/>
    <xf numFmtId="0" fontId="0" fillId="9" borderId="5" xfId="0" applyFill="1" applyBorder="1"/>
    <xf numFmtId="9" fontId="0" fillId="0" borderId="5" xfId="1" applyFont="1" applyBorder="1"/>
    <xf numFmtId="9" fontId="0" fillId="3" borderId="7" xfId="1" applyFont="1" applyFill="1" applyBorder="1"/>
    <xf numFmtId="0" fontId="0" fillId="0" borderId="4" xfId="0" applyBorder="1" applyAlignment="1">
      <alignment wrapText="1"/>
    </xf>
    <xf numFmtId="2" fontId="0" fillId="0" borderId="23" xfId="0" applyNumberFormat="1" applyBorder="1"/>
    <xf numFmtId="0" fontId="0" fillId="0" borderId="24" xfId="0" applyBorder="1"/>
    <xf numFmtId="0" fontId="0" fillId="0" borderId="23" xfId="0" applyBorder="1"/>
    <xf numFmtId="2" fontId="0" fillId="3" borderId="25" xfId="0" applyNumberFormat="1" applyFill="1" applyBorder="1"/>
    <xf numFmtId="10" fontId="0" fillId="8" borderId="5" xfId="1" applyNumberFormat="1" applyFont="1" applyFill="1" applyBorder="1"/>
    <xf numFmtId="168" fontId="0" fillId="0" borderId="4" xfId="0" applyNumberFormat="1" applyBorder="1"/>
    <xf numFmtId="0" fontId="3" fillId="8" borderId="7" xfId="0" applyFont="1" applyFill="1" applyBorder="1"/>
    <xf numFmtId="0" fontId="3" fillId="8" borderId="5" xfId="0" applyFont="1" applyFill="1" applyBorder="1"/>
    <xf numFmtId="0" fontId="3" fillId="8" borderId="8" xfId="0" applyFont="1" applyFill="1" applyBorder="1"/>
    <xf numFmtId="2" fontId="3" fillId="3" borderId="0" xfId="0" applyNumberFormat="1" applyFont="1" applyFill="1"/>
    <xf numFmtId="0" fontId="0" fillId="8" borderId="8" xfId="0" applyFill="1" applyBorder="1"/>
    <xf numFmtId="2" fontId="3" fillId="3" borderId="9" xfId="0" applyNumberFormat="1" applyFont="1" applyFill="1" applyBorder="1"/>
    <xf numFmtId="2" fontId="3" fillId="3" borderId="8" xfId="0" applyNumberFormat="1" applyFont="1" applyFill="1" applyBorder="1"/>
    <xf numFmtId="0" fontId="0" fillId="6" borderId="0" xfId="0" applyFill="1"/>
    <xf numFmtId="3" fontId="0" fillId="3" borderId="0" xfId="0" applyNumberFormat="1" applyFill="1"/>
    <xf numFmtId="166" fontId="0" fillId="3" borderId="0" xfId="0" applyNumberFormat="1" applyFill="1"/>
    <xf numFmtId="0" fontId="0" fillId="0" borderId="0" xfId="0" applyAlignment="1">
      <alignment horizontal="center"/>
    </xf>
    <xf numFmtId="2" fontId="0" fillId="3" borderId="1" xfId="0" applyNumberFormat="1" applyFill="1" applyBorder="1"/>
    <xf numFmtId="3" fontId="0" fillId="0" borderId="2" xfId="0" applyNumberFormat="1" applyBorder="1"/>
    <xf numFmtId="3" fontId="0" fillId="3" borderId="2" xfId="0" applyNumberFormat="1" applyFill="1" applyBorder="1"/>
    <xf numFmtId="166" fontId="0" fillId="3" borderId="2" xfId="0" applyNumberFormat="1" applyFill="1" applyBorder="1"/>
    <xf numFmtId="3" fontId="0" fillId="0" borderId="3" xfId="0" applyNumberFormat="1" applyBorder="1"/>
    <xf numFmtId="3" fontId="0" fillId="0" borderId="5" xfId="0" applyNumberFormat="1" applyBorder="1"/>
    <xf numFmtId="3" fontId="0" fillId="0" borderId="7" xfId="0" applyNumberFormat="1" applyBorder="1"/>
    <xf numFmtId="3" fontId="0" fillId="3" borderId="7" xfId="0" applyNumberFormat="1" applyFill="1" applyBorder="1"/>
    <xf numFmtId="166" fontId="0" fillId="3" borderId="7" xfId="0" applyNumberFormat="1" applyFill="1" applyBorder="1"/>
    <xf numFmtId="3" fontId="0" fillId="0" borderId="8" xfId="0" applyNumberFormat="1" applyBorder="1"/>
    <xf numFmtId="0" fontId="0" fillId="6" borderId="24" xfId="0" applyFill="1" applyBorder="1" applyAlignment="1">
      <alignment wrapText="1"/>
    </xf>
    <xf numFmtId="0" fontId="0" fillId="0" borderId="26" xfId="0" applyBorder="1"/>
    <xf numFmtId="0" fontId="0" fillId="0" borderId="27" xfId="0" applyBorder="1"/>
    <xf numFmtId="0" fontId="0" fillId="0" borderId="27" xfId="0" applyBorder="1" applyAlignment="1">
      <alignment wrapText="1"/>
    </xf>
    <xf numFmtId="0" fontId="0" fillId="0" borderId="28" xfId="0" applyBorder="1"/>
    <xf numFmtId="0" fontId="0" fillId="10" borderId="4" xfId="0" applyFill="1" applyBorder="1"/>
    <xf numFmtId="0" fontId="0" fillId="10" borderId="5" xfId="0" applyFill="1" applyBorder="1"/>
    <xf numFmtId="0" fontId="3" fillId="0" borderId="26" xfId="0" applyFont="1" applyBorder="1"/>
    <xf numFmtId="164" fontId="0" fillId="0" borderId="4" xfId="0" applyNumberFormat="1" applyBorder="1"/>
    <xf numFmtId="164" fontId="0" fillId="3" borderId="4" xfId="0" applyNumberFormat="1" applyFill="1" applyBorder="1"/>
    <xf numFmtId="164" fontId="0" fillId="3" borderId="6" xfId="0" applyNumberFormat="1" applyFill="1" applyBorder="1"/>
    <xf numFmtId="1" fontId="0" fillId="3" borderId="0" xfId="0" applyNumberFormat="1" applyFill="1"/>
    <xf numFmtId="1" fontId="0" fillId="3" borderId="7" xfId="0" applyNumberFormat="1" applyFill="1" applyBorder="1"/>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165" fontId="0" fillId="3" borderId="26" xfId="0" applyNumberFormat="1" applyFill="1" applyBorder="1"/>
    <xf numFmtId="165" fontId="0" fillId="3" borderId="27" xfId="0" applyNumberFormat="1" applyFill="1" applyBorder="1"/>
    <xf numFmtId="165" fontId="0" fillId="3" borderId="28" xfId="0" applyNumberFormat="1" applyFill="1" applyBorder="1"/>
    <xf numFmtId="165" fontId="0" fillId="3" borderId="0" xfId="0" applyNumberFormat="1" applyFill="1"/>
    <xf numFmtId="165" fontId="0" fillId="3" borderId="7" xfId="0" applyNumberFormat="1" applyFill="1" applyBorder="1"/>
    <xf numFmtId="165" fontId="0" fillId="3" borderId="6" xfId="0" applyNumberFormat="1" applyFill="1" applyBorder="1"/>
    <xf numFmtId="9" fontId="3" fillId="3" borderId="5" xfId="1" applyFont="1" applyFill="1" applyBorder="1"/>
    <xf numFmtId="9" fontId="3" fillId="3" borderId="8" xfId="1" applyFont="1" applyFill="1" applyBorder="1"/>
    <xf numFmtId="2" fontId="0" fillId="3" borderId="6" xfId="0" applyNumberFormat="1" applyFill="1" applyBorder="1"/>
    <xf numFmtId="1" fontId="0" fillId="3" borderId="4" xfId="0" applyNumberFormat="1" applyFill="1" applyBorder="1"/>
    <xf numFmtId="1" fontId="0" fillId="3" borderId="5" xfId="0" applyNumberFormat="1" applyFill="1" applyBorder="1"/>
    <xf numFmtId="0" fontId="0" fillId="0" borderId="0" xfId="0" quotePrefix="1"/>
    <xf numFmtId="9" fontId="2" fillId="3" borderId="4" xfId="0" applyNumberFormat="1" applyFont="1" applyFill="1" applyBorder="1"/>
    <xf numFmtId="9" fontId="2" fillId="3" borderId="5" xfId="0" applyNumberFormat="1" applyFont="1" applyFill="1" applyBorder="1"/>
    <xf numFmtId="0" fontId="0" fillId="11" borderId="0" xfId="0" applyFill="1"/>
    <xf numFmtId="9" fontId="0" fillId="11" borderId="0" xfId="0" applyNumberFormat="1" applyFill="1"/>
    <xf numFmtId="0" fontId="3" fillId="0" borderId="2" xfId="0" applyFont="1" applyBorder="1"/>
    <xf numFmtId="0" fontId="3" fillId="0" borderId="3" xfId="0" applyFont="1" applyBorder="1"/>
    <xf numFmtId="9" fontId="0" fillId="0" borderId="4" xfId="0" applyNumberFormat="1" applyBorder="1"/>
    <xf numFmtId="169" fontId="0" fillId="0" borderId="0" xfId="0" applyNumberFormat="1"/>
    <xf numFmtId="167" fontId="0" fillId="0" borderId="5" xfId="0" applyNumberFormat="1" applyBorder="1"/>
    <xf numFmtId="165" fontId="0" fillId="0" borderId="27" xfId="0" applyNumberFormat="1" applyBorder="1"/>
    <xf numFmtId="165" fontId="0" fillId="0" borderId="28" xfId="0" applyNumberFormat="1" applyBorder="1"/>
    <xf numFmtId="2" fontId="0" fillId="0" borderId="27" xfId="0" applyNumberFormat="1" applyBorder="1"/>
    <xf numFmtId="164" fontId="0" fillId="0" borderId="27" xfId="0" applyNumberFormat="1" applyBorder="1"/>
    <xf numFmtId="0" fontId="0" fillId="2" borderId="4" xfId="0" applyFill="1" applyBorder="1"/>
    <xf numFmtId="0" fontId="0" fillId="2" borderId="5" xfId="0" applyFill="1" applyBorder="1"/>
    <xf numFmtId="164" fontId="0" fillId="10" borderId="4" xfId="0" applyNumberFormat="1" applyFill="1" applyBorder="1"/>
    <xf numFmtId="165" fontId="0" fillId="3" borderId="5" xfId="0" applyNumberFormat="1" applyFill="1" applyBorder="1"/>
    <xf numFmtId="165" fontId="0" fillId="3" borderId="8" xfId="0" applyNumberFormat="1" applyFill="1" applyBorder="1"/>
    <xf numFmtId="0" fontId="8" fillId="0" borderId="2" xfId="0" applyFont="1" applyBorder="1"/>
    <xf numFmtId="164" fontId="0" fillId="8" borderId="5" xfId="0" applyNumberFormat="1" applyFill="1" applyBorder="1"/>
    <xf numFmtId="165" fontId="0" fillId="12" borderId="0" xfId="0" applyNumberFormat="1" applyFill="1"/>
    <xf numFmtId="3" fontId="0" fillId="0" borderId="4" xfId="0" applyNumberFormat="1" applyBorder="1"/>
    <xf numFmtId="3" fontId="0" fillId="0" borderId="6" xfId="0" applyNumberFormat="1" applyBorder="1"/>
    <xf numFmtId="0" fontId="0" fillId="0" borderId="0" xfId="0" applyAlignment="1">
      <alignment horizontal="left" vertical="top"/>
    </xf>
    <xf numFmtId="0" fontId="0" fillId="0" borderId="0" xfId="0" applyAlignment="1">
      <alignment vertical="top"/>
    </xf>
    <xf numFmtId="0" fontId="0" fillId="0" borderId="1" xfId="0"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0" fillId="0" borderId="5" xfId="0" applyBorder="1" applyAlignment="1">
      <alignment horizontal="left" vertical="top"/>
    </xf>
    <xf numFmtId="0" fontId="0" fillId="0" borderId="0" xfId="0" applyAlignment="1">
      <alignment horizontal="left" vertical="top" wrapText="1"/>
    </xf>
    <xf numFmtId="0" fontId="0" fillId="0" borderId="6" xfId="0" applyBorder="1" applyAlignment="1">
      <alignment horizontal="left" vertical="top"/>
    </xf>
    <xf numFmtId="0" fontId="0" fillId="0" borderId="7" xfId="0" applyBorder="1" applyAlignment="1">
      <alignment horizontal="left" vertical="top" wrapText="1"/>
    </xf>
    <xf numFmtId="0" fontId="0" fillId="0" borderId="8" xfId="0" applyBorder="1" applyAlignment="1">
      <alignment horizontal="left" vertical="top"/>
    </xf>
    <xf numFmtId="0" fontId="0" fillId="0" borderId="7" xfId="0" applyBorder="1" applyAlignment="1">
      <alignment horizontal="left" vertical="top"/>
    </xf>
    <xf numFmtId="0" fontId="3" fillId="0" borderId="0" xfId="0" applyFont="1" applyAlignment="1">
      <alignment horizontal="left" vertical="top"/>
    </xf>
    <xf numFmtId="2" fontId="3" fillId="0" borderId="0" xfId="0" applyNumberFormat="1" applyFont="1"/>
    <xf numFmtId="0" fontId="12" fillId="0" borderId="0" xfId="0" applyFont="1"/>
    <xf numFmtId="0" fontId="2" fillId="0" borderId="2" xfId="0" applyFont="1" applyBorder="1"/>
    <xf numFmtId="9" fontId="0" fillId="0" borderId="0" xfId="1" applyFont="1" applyFill="1"/>
    <xf numFmtId="2" fontId="0" fillId="0" borderId="6" xfId="0" applyNumberFormat="1" applyBorder="1"/>
    <xf numFmtId="2" fontId="0" fillId="0" borderId="8" xfId="0" applyNumberFormat="1" applyBorder="1"/>
    <xf numFmtId="169" fontId="0" fillId="0" borderId="7" xfId="0" applyNumberFormat="1" applyBorder="1"/>
    <xf numFmtId="2" fontId="0" fillId="0" borderId="7" xfId="0" applyNumberFormat="1" applyBorder="1"/>
    <xf numFmtId="9" fontId="0" fillId="0" borderId="7" xfId="1" applyFont="1" applyBorder="1"/>
    <xf numFmtId="9" fontId="0" fillId="0" borderId="8" xfId="1" applyFont="1" applyBorder="1"/>
    <xf numFmtId="4" fontId="0" fillId="8" borderId="0" xfId="0" applyNumberFormat="1" applyFill="1"/>
    <xf numFmtId="4" fontId="0" fillId="5" borderId="0" xfId="0" applyNumberFormat="1" applyFill="1"/>
    <xf numFmtId="165" fontId="0" fillId="5" borderId="0" xfId="0" applyNumberFormat="1" applyFill="1"/>
    <xf numFmtId="0" fontId="3" fillId="8" borderId="1" xfId="0" applyFont="1" applyFill="1" applyBorder="1"/>
    <xf numFmtId="0" fontId="9" fillId="8" borderId="2" xfId="0" applyFont="1" applyFill="1" applyBorder="1"/>
    <xf numFmtId="164" fontId="0" fillId="8" borderId="2" xfId="0" applyNumberFormat="1" applyFill="1" applyBorder="1"/>
    <xf numFmtId="0" fontId="3" fillId="8" borderId="6" xfId="0" applyFont="1" applyFill="1" applyBorder="1"/>
    <xf numFmtId="0" fontId="9" fillId="8" borderId="7" xfId="0" applyFont="1" applyFill="1" applyBorder="1"/>
    <xf numFmtId="0" fontId="3" fillId="8" borderId="26" xfId="0" applyFont="1" applyFill="1" applyBorder="1"/>
    <xf numFmtId="0" fontId="9" fillId="8" borderId="27" xfId="0" applyFont="1" applyFill="1" applyBorder="1"/>
    <xf numFmtId="164" fontId="0" fillId="8" borderId="27" xfId="0" applyNumberFormat="1" applyFill="1" applyBorder="1"/>
    <xf numFmtId="0" fontId="3" fillId="0" borderId="1" xfId="0" applyFont="1" applyBorder="1" applyAlignment="1">
      <alignment horizontal="left" vertical="top"/>
    </xf>
    <xf numFmtId="9" fontId="0" fillId="0" borderId="0" xfId="0" applyNumberFormat="1" applyAlignment="1">
      <alignment horizontal="left" vertical="top"/>
    </xf>
    <xf numFmtId="0" fontId="3" fillId="4" borderId="5" xfId="0" applyFont="1" applyFill="1" applyBorder="1"/>
    <xf numFmtId="0" fontId="0" fillId="13" borderId="5" xfId="0" applyFill="1" applyBorder="1"/>
    <xf numFmtId="0" fontId="0" fillId="13" borderId="0" xfId="0" applyFill="1"/>
    <xf numFmtId="0" fontId="0" fillId="5" borderId="4" xfId="0" applyFill="1" applyBorder="1" applyAlignment="1">
      <alignment horizontal="left" vertical="top"/>
    </xf>
    <xf numFmtId="9" fontId="0" fillId="0" borderId="0" xfId="0" applyNumberFormat="1" applyAlignment="1">
      <alignment vertical="top"/>
    </xf>
    <xf numFmtId="167" fontId="0" fillId="0" borderId="0" xfId="0" applyNumberFormat="1" applyAlignment="1">
      <alignment vertical="top"/>
    </xf>
    <xf numFmtId="0" fontId="0" fillId="5" borderId="6" xfId="0" applyFill="1" applyBorder="1"/>
    <xf numFmtId="167" fontId="0" fillId="0" borderId="7" xfId="0" applyNumberFormat="1" applyBorder="1"/>
    <xf numFmtId="0" fontId="3" fillId="0" borderId="5" xfId="0" applyFont="1" applyBorder="1" applyAlignment="1">
      <alignment horizontal="left" vertical="top"/>
    </xf>
    <xf numFmtId="0" fontId="0" fillId="0" borderId="0" xfId="0" quotePrefix="1" applyAlignment="1">
      <alignment wrapText="1"/>
    </xf>
    <xf numFmtId="4" fontId="0" fillId="0" borderId="2" xfId="0" applyNumberFormat="1" applyBorder="1"/>
    <xf numFmtId="4" fontId="0" fillId="0" borderId="3" xfId="0" applyNumberFormat="1" applyBorder="1"/>
    <xf numFmtId="165" fontId="0" fillId="0" borderId="7" xfId="0" applyNumberFormat="1" applyBorder="1"/>
    <xf numFmtId="165" fontId="0" fillId="0" borderId="4" xfId="0" applyNumberFormat="1" applyBorder="1"/>
    <xf numFmtId="165" fontId="0" fillId="0" borderId="1" xfId="0" applyNumberFormat="1" applyBorder="1"/>
    <xf numFmtId="165" fontId="0" fillId="0" borderId="2" xfId="0" applyNumberFormat="1" applyBorder="1"/>
    <xf numFmtId="165" fontId="0" fillId="0" borderId="6" xfId="0" applyNumberFormat="1" applyBorder="1"/>
    <xf numFmtId="165" fontId="0" fillId="0" borderId="3" xfId="0" applyNumberFormat="1" applyBorder="1"/>
    <xf numFmtId="165" fontId="0" fillId="0" borderId="5" xfId="0" applyNumberFormat="1" applyBorder="1"/>
    <xf numFmtId="165" fontId="0" fillId="0" borderId="8" xfId="0" applyNumberFormat="1" applyBorder="1"/>
    <xf numFmtId="3" fontId="0" fillId="5" borderId="0" xfId="0" applyNumberFormat="1" applyFill="1"/>
    <xf numFmtId="2" fontId="0" fillId="11" borderId="0" xfId="0" applyNumberFormat="1" applyFill="1"/>
    <xf numFmtId="165" fontId="0" fillId="11" borderId="0" xfId="0" applyNumberFormat="1" applyFill="1"/>
    <xf numFmtId="0" fontId="15" fillId="0" borderId="0" xfId="0" applyFont="1"/>
    <xf numFmtId="0" fontId="0" fillId="0" borderId="1" xfId="0" applyBorder="1" applyAlignment="1">
      <alignment horizontal="center"/>
    </xf>
    <xf numFmtId="0" fontId="3" fillId="0" borderId="4" xfId="0" applyFont="1" applyBorder="1" applyAlignment="1">
      <alignment horizontal="center"/>
    </xf>
    <xf numFmtId="0" fontId="0" fillId="0" borderId="3" xfId="0" applyBorder="1" applyAlignment="1">
      <alignment horizontal="center"/>
    </xf>
    <xf numFmtId="0" fontId="3" fillId="0" borderId="5" xfId="0" applyFont="1" applyBorder="1" applyAlignment="1">
      <alignment horizontal="center"/>
    </xf>
    <xf numFmtId="1" fontId="0" fillId="3" borderId="6" xfId="0" applyNumberFormat="1" applyFill="1" applyBorder="1"/>
    <xf numFmtId="1" fontId="0" fillId="3" borderId="8" xfId="0" applyNumberFormat="1" applyFill="1" applyBorder="1"/>
    <xf numFmtId="9" fontId="0" fillId="0" borderId="5" xfId="0" applyNumberFormat="1" applyBorder="1"/>
    <xf numFmtId="0" fontId="0" fillId="0" borderId="2" xfId="0" applyBorder="1" applyAlignment="1">
      <alignment horizontal="center"/>
    </xf>
    <xf numFmtId="0" fontId="3" fillId="0" borderId="0" xfId="0" applyFont="1" applyAlignment="1">
      <alignment horizontal="center"/>
    </xf>
    <xf numFmtId="1" fontId="0" fillId="0" borderId="0" xfId="0" applyNumberFormat="1"/>
    <xf numFmtId="0" fontId="0" fillId="14" borderId="0" xfId="0" applyFill="1" applyProtection="1">
      <protection locked="0"/>
    </xf>
    <xf numFmtId="3" fontId="0" fillId="14" borderId="19" xfId="0" applyNumberFormat="1" applyFill="1" applyBorder="1" applyProtection="1">
      <protection locked="0"/>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2" xfId="0" applyBorder="1" applyAlignment="1">
      <alignment horizontal="left" vertical="center" wrapText="1"/>
    </xf>
    <xf numFmtId="0" fontId="11" fillId="12" borderId="0" xfId="0" applyFont="1" applyFill="1" applyAlignment="1">
      <alignment horizontal="center"/>
    </xf>
    <xf numFmtId="0" fontId="0" fillId="0" borderId="2" xfId="0" applyBorder="1" applyAlignment="1">
      <alignment horizontal="center"/>
    </xf>
    <xf numFmtId="0" fontId="3" fillId="0" borderId="0" xfId="0" applyFont="1" applyAlignment="1">
      <alignment horizontal="center"/>
    </xf>
    <xf numFmtId="0" fontId="0" fillId="0" borderId="3" xfId="0" applyBorder="1" applyAlignment="1">
      <alignment horizontal="center"/>
    </xf>
    <xf numFmtId="0" fontId="3" fillId="0" borderId="5" xfId="0" applyFont="1" applyBorder="1" applyAlignment="1">
      <alignment horizontal="center"/>
    </xf>
    <xf numFmtId="0" fontId="10" fillId="0" borderId="0" xfId="0" applyFont="1" applyAlignment="1">
      <alignment horizontal="center" vertical="center"/>
    </xf>
    <xf numFmtId="0" fontId="3" fillId="0" borderId="1" xfId="0" applyFont="1" applyBorder="1" applyAlignment="1">
      <alignment horizontal="center"/>
    </xf>
    <xf numFmtId="0" fontId="3" fillId="0" borderId="3" xfId="0" applyFont="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0" fontId="3" fillId="0" borderId="4" xfId="0" applyFont="1" applyBorder="1" applyAlignment="1">
      <alignment horizontal="center"/>
    </xf>
    <xf numFmtId="0" fontId="0" fillId="0" borderId="7" xfId="0" applyBorder="1" applyAlignment="1">
      <alignment horizontal="center"/>
    </xf>
    <xf numFmtId="0" fontId="7" fillId="0" borderId="17" xfId="0" applyFont="1" applyBorder="1" applyAlignment="1">
      <alignment horizontal="center" wrapText="1"/>
    </xf>
    <xf numFmtId="2" fontId="7" fillId="0" borderId="0" xfId="0" applyNumberFormat="1" applyFont="1" applyAlignment="1">
      <alignment horizontal="center" vertical="top" wrapText="1"/>
    </xf>
    <xf numFmtId="2" fontId="7" fillId="0" borderId="18" xfId="0" applyNumberFormat="1" applyFont="1" applyBorder="1" applyAlignment="1">
      <alignment horizontal="center" vertical="top" wrapText="1"/>
    </xf>
    <xf numFmtId="0" fontId="0" fillId="0" borderId="2" xfId="0" applyBorder="1" applyAlignment="1">
      <alignment horizontal="center" wrapText="1"/>
    </xf>
    <xf numFmtId="0" fontId="0" fillId="0" borderId="3" xfId="0" applyBorder="1" applyAlignment="1">
      <alignment horizontal="center" wrapText="1"/>
    </xf>
    <xf numFmtId="0" fontId="4" fillId="0" borderId="0" xfId="0" applyFont="1" applyAlignment="1">
      <alignment horizontal="center" wrapText="1"/>
    </xf>
    <xf numFmtId="0" fontId="4" fillId="0" borderId="5" xfId="0" applyFont="1" applyBorder="1" applyAlignment="1">
      <alignment horizontal="center" wrapText="1"/>
    </xf>
    <xf numFmtId="0" fontId="7" fillId="0" borderId="16" xfId="0" applyFont="1" applyBorder="1" applyAlignment="1">
      <alignment horizontal="center" vertical="top" wrapText="1"/>
    </xf>
    <xf numFmtId="0" fontId="6" fillId="0" borderId="2" xfId="2" applyBorder="1" applyAlignment="1">
      <alignment horizontal="center"/>
    </xf>
    <xf numFmtId="0" fontId="6" fillId="0" borderId="3" xfId="2" applyBorder="1" applyAlignment="1">
      <alignment horizontal="center"/>
    </xf>
    <xf numFmtId="10" fontId="3" fillId="3" borderId="6" xfId="1" applyNumberFormat="1" applyFont="1" applyFill="1" applyBorder="1" applyAlignment="1">
      <alignment horizontal="center"/>
    </xf>
    <xf numFmtId="10" fontId="3" fillId="3" borderId="7" xfId="1" applyNumberFormat="1" applyFont="1" applyFill="1" applyBorder="1" applyAlignment="1">
      <alignment horizontal="center"/>
    </xf>
    <xf numFmtId="10" fontId="3" fillId="3" borderId="8" xfId="1" applyNumberFormat="1" applyFont="1" applyFill="1" applyBorder="1" applyAlignment="1">
      <alignment horizontal="center"/>
    </xf>
    <xf numFmtId="0" fontId="0" fillId="0" borderId="21" xfId="0"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horizontal="center"/>
    </xf>
  </cellXfs>
  <cellStyles count="3">
    <cellStyle name="Lien hypertexte" xfId="2" builtinId="8"/>
    <cellStyle name="Normal" xfId="0" builtinId="0"/>
    <cellStyle name="Pourcentage" xfId="1" builtinId="5"/>
  </cellStyles>
  <dxfs count="4">
    <dxf>
      <fill>
        <patternFill>
          <bgColor rgb="FFFF0000"/>
        </patternFill>
      </fill>
    </dxf>
    <dxf>
      <fill>
        <patternFill>
          <bgColor rgb="FF00B050"/>
        </patternFill>
      </fill>
    </dxf>
    <dxf>
      <fill>
        <patternFill>
          <bgColor rgb="FFFF00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Développement des budgets selon la stratégie Suisse pour la programmation choisie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422299677868178E-2"/>
          <c:y val="8.5944295110712027E-2"/>
          <c:w val="0.8563436588265454"/>
          <c:h val="0.79631181037611654"/>
        </c:manualLayout>
      </c:layout>
      <c:barChart>
        <c:barDir val="col"/>
        <c:grouping val="clustered"/>
        <c:varyColors val="0"/>
        <c:ser>
          <c:idx val="0"/>
          <c:order val="0"/>
          <c:tx>
            <c:v>Construction + remplacements + fin de vie</c:v>
          </c:tx>
          <c:spPr>
            <a:solidFill>
              <a:schemeClr val="accent1"/>
            </a:solidFill>
            <a:ln>
              <a:noFill/>
            </a:ln>
            <a:effectLst/>
          </c:spPr>
          <c:invertIfNegative val="0"/>
          <c:cat>
            <c:numRef>
              <c:f>'Background graphEXPL_CH'!$N$5:$N$83</c:f>
              <c:numCache>
                <c:formatCode>General</c:formatCode>
                <c:ptCount val="7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pt idx="51">
                  <c:v>2073</c:v>
                </c:pt>
                <c:pt idx="52">
                  <c:v>2074</c:v>
                </c:pt>
                <c:pt idx="53">
                  <c:v>2075</c:v>
                </c:pt>
                <c:pt idx="54">
                  <c:v>2076</c:v>
                </c:pt>
                <c:pt idx="55">
                  <c:v>2077</c:v>
                </c:pt>
                <c:pt idx="56">
                  <c:v>2078</c:v>
                </c:pt>
                <c:pt idx="57">
                  <c:v>2079</c:v>
                </c:pt>
                <c:pt idx="58">
                  <c:v>2080</c:v>
                </c:pt>
                <c:pt idx="59">
                  <c:v>2081</c:v>
                </c:pt>
                <c:pt idx="60">
                  <c:v>2082</c:v>
                </c:pt>
                <c:pt idx="61">
                  <c:v>2083</c:v>
                </c:pt>
                <c:pt idx="62">
                  <c:v>2084</c:v>
                </c:pt>
                <c:pt idx="63">
                  <c:v>2085</c:v>
                </c:pt>
                <c:pt idx="64">
                  <c:v>2086</c:v>
                </c:pt>
                <c:pt idx="65">
                  <c:v>2087</c:v>
                </c:pt>
                <c:pt idx="66">
                  <c:v>2088</c:v>
                </c:pt>
                <c:pt idx="67">
                  <c:v>2089</c:v>
                </c:pt>
                <c:pt idx="68">
                  <c:v>2090</c:v>
                </c:pt>
                <c:pt idx="69">
                  <c:v>2091</c:v>
                </c:pt>
                <c:pt idx="70">
                  <c:v>2092</c:v>
                </c:pt>
                <c:pt idx="71">
                  <c:v>2093</c:v>
                </c:pt>
                <c:pt idx="72">
                  <c:v>2094</c:v>
                </c:pt>
                <c:pt idx="73">
                  <c:v>2095</c:v>
                </c:pt>
                <c:pt idx="74">
                  <c:v>2096</c:v>
                </c:pt>
                <c:pt idx="75">
                  <c:v>2097</c:v>
                </c:pt>
                <c:pt idx="76">
                  <c:v>2098</c:v>
                </c:pt>
                <c:pt idx="77">
                  <c:v>2099</c:v>
                </c:pt>
                <c:pt idx="78">
                  <c:v>2100</c:v>
                </c:pt>
              </c:numCache>
            </c:numRef>
          </c:cat>
          <c:val>
            <c:numRef>
              <c:f>'Background graphCON'!$L$5:$L$83</c:f>
              <c:numCache>
                <c:formatCode>General</c:formatCode>
                <c:ptCount val="79"/>
                <c:pt idx="0">
                  <c:v>0</c:v>
                </c:pt>
                <c:pt idx="1">
                  <c:v>0</c:v>
                </c:pt>
                <c:pt idx="2">
                  <c:v>478962.11255367054</c:v>
                </c:pt>
                <c:pt idx="3">
                  <c:v>0</c:v>
                </c:pt>
                <c:pt idx="4">
                  <c:v>423488.90835140692</c:v>
                </c:pt>
                <c:pt idx="5">
                  <c:v>0</c:v>
                </c:pt>
                <c:pt idx="6">
                  <c:v>0</c:v>
                </c:pt>
                <c:pt idx="7">
                  <c:v>0</c:v>
                </c:pt>
                <c:pt idx="8">
                  <c:v>374068.54553324112</c:v>
                </c:pt>
                <c:pt idx="9">
                  <c:v>0</c:v>
                </c:pt>
                <c:pt idx="10">
                  <c:v>0</c:v>
                </c:pt>
                <c:pt idx="11">
                  <c:v>0</c:v>
                </c:pt>
                <c:pt idx="12">
                  <c:v>0</c:v>
                </c:pt>
                <c:pt idx="13">
                  <c:v>311043.20690378203</c:v>
                </c:pt>
                <c:pt idx="14">
                  <c:v>0</c:v>
                </c:pt>
                <c:pt idx="15">
                  <c:v>0</c:v>
                </c:pt>
                <c:pt idx="16">
                  <c:v>275560.62827607454</c:v>
                </c:pt>
                <c:pt idx="17">
                  <c:v>0</c:v>
                </c:pt>
                <c:pt idx="18">
                  <c:v>252356.02516880044</c:v>
                </c:pt>
                <c:pt idx="19">
                  <c:v>0</c:v>
                </c:pt>
                <c:pt idx="20">
                  <c:v>230797.81632642163</c:v>
                </c:pt>
                <c:pt idx="21">
                  <c:v>0</c:v>
                </c:pt>
                <c:pt idx="22">
                  <c:v>220268.83053760952</c:v>
                </c:pt>
                <c:pt idx="23">
                  <c:v>0</c:v>
                </c:pt>
                <c:pt idx="24">
                  <c:v>6173.3431244843987</c:v>
                </c:pt>
                <c:pt idx="25">
                  <c:v>0</c:v>
                </c:pt>
                <c:pt idx="26">
                  <c:v>157687.96679973201</c:v>
                </c:pt>
                <c:pt idx="27">
                  <c:v>0</c:v>
                </c:pt>
                <c:pt idx="28">
                  <c:v>147027.44994619663</c:v>
                </c:pt>
                <c:pt idx="29">
                  <c:v>0</c:v>
                </c:pt>
                <c:pt idx="30">
                  <c:v>0</c:v>
                </c:pt>
                <c:pt idx="31">
                  <c:v>0</c:v>
                </c:pt>
                <c:pt idx="32">
                  <c:v>27378.470370472191</c:v>
                </c:pt>
                <c:pt idx="33">
                  <c:v>3648.9079156922339</c:v>
                </c:pt>
                <c:pt idx="34">
                  <c:v>23726.589121132678</c:v>
                </c:pt>
                <c:pt idx="35">
                  <c:v>0</c:v>
                </c:pt>
                <c:pt idx="36">
                  <c:v>2879.2520443425633</c:v>
                </c:pt>
                <c:pt idx="37">
                  <c:v>0</c:v>
                </c:pt>
                <c:pt idx="38">
                  <c:v>19040.447985854542</c:v>
                </c:pt>
                <c:pt idx="39">
                  <c:v>0</c:v>
                </c:pt>
                <c:pt idx="40">
                  <c:v>1891.5685600772872</c:v>
                </c:pt>
                <c:pt idx="41">
                  <c:v>0</c:v>
                </c:pt>
                <c:pt idx="42">
                  <c:v>4240.3464289163448</c:v>
                </c:pt>
                <c:pt idx="43">
                  <c:v>8247.2195111804449</c:v>
                </c:pt>
                <c:pt idx="44">
                  <c:v>1890.740292284363</c:v>
                </c:pt>
                <c:pt idx="45">
                  <c:v>0</c:v>
                </c:pt>
                <c:pt idx="46">
                  <c:v>3896.1563542167878</c:v>
                </c:pt>
                <c:pt idx="47">
                  <c:v>0</c:v>
                </c:pt>
                <c:pt idx="48">
                  <c:v>380.96856105173606</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D1BD-4523-8625-68C451B72F18}"/>
            </c:ext>
          </c:extLst>
        </c:ser>
        <c:ser>
          <c:idx val="1"/>
          <c:order val="1"/>
          <c:tx>
            <c:v>Exploitation batiments</c:v>
          </c:tx>
          <c:spPr>
            <a:solidFill>
              <a:schemeClr val="accent2"/>
            </a:solidFill>
            <a:ln>
              <a:noFill/>
            </a:ln>
            <a:effectLst/>
          </c:spPr>
          <c:invertIfNegative val="0"/>
          <c:cat>
            <c:numRef>
              <c:f>'Background graphEXPL_CH'!$N$5:$N$83</c:f>
              <c:numCache>
                <c:formatCode>General</c:formatCode>
                <c:ptCount val="7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pt idx="51">
                  <c:v>2073</c:v>
                </c:pt>
                <c:pt idx="52">
                  <c:v>2074</c:v>
                </c:pt>
                <c:pt idx="53">
                  <c:v>2075</c:v>
                </c:pt>
                <c:pt idx="54">
                  <c:v>2076</c:v>
                </c:pt>
                <c:pt idx="55">
                  <c:v>2077</c:v>
                </c:pt>
                <c:pt idx="56">
                  <c:v>2078</c:v>
                </c:pt>
                <c:pt idx="57">
                  <c:v>2079</c:v>
                </c:pt>
                <c:pt idx="58">
                  <c:v>2080</c:v>
                </c:pt>
                <c:pt idx="59">
                  <c:v>2081</c:v>
                </c:pt>
                <c:pt idx="60">
                  <c:v>2082</c:v>
                </c:pt>
                <c:pt idx="61">
                  <c:v>2083</c:v>
                </c:pt>
                <c:pt idx="62">
                  <c:v>2084</c:v>
                </c:pt>
                <c:pt idx="63">
                  <c:v>2085</c:v>
                </c:pt>
                <c:pt idx="64">
                  <c:v>2086</c:v>
                </c:pt>
                <c:pt idx="65">
                  <c:v>2087</c:v>
                </c:pt>
                <c:pt idx="66">
                  <c:v>2088</c:v>
                </c:pt>
                <c:pt idx="67">
                  <c:v>2089</c:v>
                </c:pt>
                <c:pt idx="68">
                  <c:v>2090</c:v>
                </c:pt>
                <c:pt idx="69">
                  <c:v>2091</c:v>
                </c:pt>
                <c:pt idx="70">
                  <c:v>2092</c:v>
                </c:pt>
                <c:pt idx="71">
                  <c:v>2093</c:v>
                </c:pt>
                <c:pt idx="72">
                  <c:v>2094</c:v>
                </c:pt>
                <c:pt idx="73">
                  <c:v>2095</c:v>
                </c:pt>
                <c:pt idx="74">
                  <c:v>2096</c:v>
                </c:pt>
                <c:pt idx="75">
                  <c:v>2097</c:v>
                </c:pt>
                <c:pt idx="76">
                  <c:v>2098</c:v>
                </c:pt>
                <c:pt idx="77">
                  <c:v>2099</c:v>
                </c:pt>
                <c:pt idx="78">
                  <c:v>2100</c:v>
                </c:pt>
              </c:numCache>
            </c:numRef>
          </c:cat>
          <c:val>
            <c:numRef>
              <c:f>'Background graphEXPL_CH'!$Y$5:$Y$83</c:f>
              <c:numCache>
                <c:formatCode>General</c:formatCode>
                <c:ptCount val="79"/>
                <c:pt idx="0">
                  <c:v>0</c:v>
                </c:pt>
                <c:pt idx="1">
                  <c:v>0</c:v>
                </c:pt>
                <c:pt idx="2">
                  <c:v>2585.5157380365981</c:v>
                </c:pt>
                <c:pt idx="3">
                  <c:v>2585.5157380365981</c:v>
                </c:pt>
                <c:pt idx="4">
                  <c:v>9548.1880004227605</c:v>
                </c:pt>
                <c:pt idx="5">
                  <c:v>9548.1880004227605</c:v>
                </c:pt>
                <c:pt idx="6">
                  <c:v>9548.1880004227605</c:v>
                </c:pt>
                <c:pt idx="7">
                  <c:v>9548.1880004227605</c:v>
                </c:pt>
                <c:pt idx="8">
                  <c:v>14733.201753933019</c:v>
                </c:pt>
                <c:pt idx="9">
                  <c:v>14733.201753933019</c:v>
                </c:pt>
                <c:pt idx="10">
                  <c:v>14733.201753933019</c:v>
                </c:pt>
                <c:pt idx="11">
                  <c:v>14733.201753933019</c:v>
                </c:pt>
                <c:pt idx="12">
                  <c:v>14733.201753933019</c:v>
                </c:pt>
                <c:pt idx="13">
                  <c:v>18324.643073872088</c:v>
                </c:pt>
                <c:pt idx="14">
                  <c:v>18324.643073872088</c:v>
                </c:pt>
                <c:pt idx="15">
                  <c:v>18324.643073872088</c:v>
                </c:pt>
                <c:pt idx="16">
                  <c:v>21143.390185768891</c:v>
                </c:pt>
                <c:pt idx="17">
                  <c:v>21143.390185768891</c:v>
                </c:pt>
                <c:pt idx="18">
                  <c:v>23516.604921991937</c:v>
                </c:pt>
                <c:pt idx="19">
                  <c:v>23516.604921991937</c:v>
                </c:pt>
                <c:pt idx="20">
                  <c:v>25462.094374500339</c:v>
                </c:pt>
                <c:pt idx="21">
                  <c:v>25462.094374500339</c:v>
                </c:pt>
                <c:pt idx="22">
                  <c:v>26947.883270677783</c:v>
                </c:pt>
                <c:pt idx="23">
                  <c:v>24777.067110288397</c:v>
                </c:pt>
                <c:pt idx="24">
                  <c:v>24777.067110288397</c:v>
                </c:pt>
                <c:pt idx="25">
                  <c:v>18813.83525773064</c:v>
                </c:pt>
                <c:pt idx="26">
                  <c:v>19383.819307886086</c:v>
                </c:pt>
                <c:pt idx="27">
                  <c:v>19383.819307886086</c:v>
                </c:pt>
                <c:pt idx="28">
                  <c:v>19667.042632667206</c:v>
                </c:pt>
                <c:pt idx="29">
                  <c:v>14765.252203938067</c:v>
                </c:pt>
                <c:pt idx="30">
                  <c:v>14765.252203938067</c:v>
                </c:pt>
                <c:pt idx="31">
                  <c:v>14765.252203938067</c:v>
                </c:pt>
                <c:pt idx="32">
                  <c:v>14765.252203938067</c:v>
                </c:pt>
                <c:pt idx="33">
                  <c:v>14765.252203938067</c:v>
                </c:pt>
                <c:pt idx="34">
                  <c:v>11173.810883999002</c:v>
                </c:pt>
                <c:pt idx="35">
                  <c:v>11173.810883999002</c:v>
                </c:pt>
                <c:pt idx="36">
                  <c:v>11173.810883999002</c:v>
                </c:pt>
                <c:pt idx="37">
                  <c:v>8355.0637721022013</c:v>
                </c:pt>
                <c:pt idx="38">
                  <c:v>8355.0637721022013</c:v>
                </c:pt>
                <c:pt idx="39">
                  <c:v>5981.8490358791551</c:v>
                </c:pt>
                <c:pt idx="40">
                  <c:v>5981.8490358791551</c:v>
                </c:pt>
                <c:pt idx="41">
                  <c:v>4036.3595833707523</c:v>
                </c:pt>
                <c:pt idx="42">
                  <c:v>4036.3595833707523</c:v>
                </c:pt>
                <c:pt idx="43">
                  <c:v>2135.871109546094</c:v>
                </c:pt>
                <c:pt idx="44">
                  <c:v>2135.871109546094</c:v>
                </c:pt>
                <c:pt idx="45">
                  <c:v>1136.4306997176877</c:v>
                </c:pt>
                <c:pt idx="46">
                  <c:v>1136.4306997176877</c:v>
                </c:pt>
                <c:pt idx="47">
                  <c:v>566.44664956224142</c:v>
                </c:pt>
                <c:pt idx="48">
                  <c:v>566.44664956224142</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1-C278-48C0-9F77-2C7C7EE06181}"/>
            </c:ext>
          </c:extLst>
        </c:ser>
        <c:dLbls>
          <c:showLegendKey val="0"/>
          <c:showVal val="0"/>
          <c:showCatName val="0"/>
          <c:showSerName val="0"/>
          <c:showPercent val="0"/>
          <c:showBubbleSize val="0"/>
        </c:dLbls>
        <c:gapWidth val="150"/>
        <c:axId val="1611687215"/>
        <c:axId val="1611685135"/>
      </c:barChart>
      <c:lineChart>
        <c:grouping val="standard"/>
        <c:varyColors val="0"/>
        <c:ser>
          <c:idx val="2"/>
          <c:order val="2"/>
          <c:tx>
            <c:v>Amortisation</c:v>
          </c:tx>
          <c:spPr>
            <a:ln w="28575" cap="rnd">
              <a:solidFill>
                <a:schemeClr val="accent3"/>
              </a:solidFill>
              <a:round/>
            </a:ln>
            <a:effectLst/>
          </c:spPr>
          <c:marker>
            <c:symbol val="none"/>
          </c:marker>
          <c:val>
            <c:numRef>
              <c:f>'Background cumul_CH'!$AC$4:$AC$82</c:f>
              <c:numCache>
                <c:formatCode>General</c:formatCode>
                <c:ptCount val="79"/>
                <c:pt idx="0">
                  <c:v>0</c:v>
                </c:pt>
                <c:pt idx="1">
                  <c:v>0</c:v>
                </c:pt>
                <c:pt idx="2">
                  <c:v>11.1962485424369</c:v>
                </c:pt>
                <c:pt idx="3">
                  <c:v>11.1962485424369</c:v>
                </c:pt>
                <c:pt idx="4">
                  <c:v>12.873456909822435</c:v>
                </c:pt>
                <c:pt idx="5">
                  <c:v>12.873456909822435</c:v>
                </c:pt>
                <c:pt idx="6">
                  <c:v>12.873456909822435</c:v>
                </c:pt>
                <c:pt idx="7">
                  <c:v>12.873456909822435</c:v>
                </c:pt>
                <c:pt idx="8">
                  <c:v>12.509507074886463</c:v>
                </c:pt>
                <c:pt idx="9">
                  <c:v>12.509507074886463</c:v>
                </c:pt>
                <c:pt idx="10">
                  <c:v>12.509507074886463</c:v>
                </c:pt>
                <c:pt idx="11">
                  <c:v>12.509507074886463</c:v>
                </c:pt>
                <c:pt idx="12">
                  <c:v>12.509507074886463</c:v>
                </c:pt>
                <c:pt idx="13">
                  <c:v>11.625571195860678</c:v>
                </c:pt>
                <c:pt idx="14">
                  <c:v>11.625571195860678</c:v>
                </c:pt>
                <c:pt idx="15">
                  <c:v>11.625571195860678</c:v>
                </c:pt>
                <c:pt idx="16">
                  <c:v>10.803703102835756</c:v>
                </c:pt>
                <c:pt idx="17">
                  <c:v>10.803703102835756</c:v>
                </c:pt>
                <c:pt idx="18">
                  <c:v>10.106962706066328</c:v>
                </c:pt>
                <c:pt idx="19">
                  <c:v>10.106962706066328</c:v>
                </c:pt>
                <c:pt idx="20">
                  <c:v>9.4950603005259069</c:v>
                </c:pt>
                <c:pt idx="21">
                  <c:v>9.4950603005259069</c:v>
                </c:pt>
                <c:pt idx="22">
                  <c:v>8.9401634408712045</c:v>
                </c:pt>
                <c:pt idx="23">
                  <c:v>8.6688114208225322</c:v>
                </c:pt>
                <c:pt idx="24">
                  <c:v>8.6688114208225322</c:v>
                </c:pt>
                <c:pt idx="25">
                  <c:v>7.9234074392528129</c:v>
                </c:pt>
                <c:pt idx="26">
                  <c:v>7.3992770373975674</c:v>
                </c:pt>
                <c:pt idx="27">
                  <c:v>7.3992770373975674</c:v>
                </c:pt>
                <c:pt idx="28">
                  <c:v>6.9244634310444555</c:v>
                </c:pt>
                <c:pt idx="29">
                  <c:v>6.434284388171541</c:v>
                </c:pt>
                <c:pt idx="30">
                  <c:v>6.434284388171541</c:v>
                </c:pt>
                <c:pt idx="31">
                  <c:v>6.434284388171541</c:v>
                </c:pt>
                <c:pt idx="32">
                  <c:v>6.434284388171541</c:v>
                </c:pt>
                <c:pt idx="33">
                  <c:v>6.434284388171541</c:v>
                </c:pt>
                <c:pt idx="34">
                  <c:v>6.0751402561776349</c:v>
                </c:pt>
                <c:pt idx="35">
                  <c:v>6.0751402561776349</c:v>
                </c:pt>
                <c:pt idx="36">
                  <c:v>6.0751402561776349</c:v>
                </c:pt>
                <c:pt idx="37">
                  <c:v>5.7932655449879542</c:v>
                </c:pt>
                <c:pt idx="38">
                  <c:v>5.7932655449879542</c:v>
                </c:pt>
                <c:pt idx="39">
                  <c:v>5.5559440713656496</c:v>
                </c:pt>
                <c:pt idx="40">
                  <c:v>5.5559440713656496</c:v>
                </c:pt>
                <c:pt idx="41">
                  <c:v>5.3613951261148101</c:v>
                </c:pt>
                <c:pt idx="42">
                  <c:v>5.3613951261148101</c:v>
                </c:pt>
                <c:pt idx="43">
                  <c:v>5.1713462787323445</c:v>
                </c:pt>
                <c:pt idx="44">
                  <c:v>5.1713462787323445</c:v>
                </c:pt>
                <c:pt idx="45">
                  <c:v>5.0714022377495036</c:v>
                </c:pt>
                <c:pt idx="46">
                  <c:v>5.0714022377495036</c:v>
                </c:pt>
                <c:pt idx="47">
                  <c:v>5.0144038327339588</c:v>
                </c:pt>
                <c:pt idx="48">
                  <c:v>5.0144038327339588</c:v>
                </c:pt>
                <c:pt idx="49">
                  <c:v>4.9577591677777342</c:v>
                </c:pt>
                <c:pt idx="50">
                  <c:v>4.9577591677777342</c:v>
                </c:pt>
                <c:pt idx="51">
                  <c:v>4.9577591677777342</c:v>
                </c:pt>
                <c:pt idx="52">
                  <c:v>4.9577591677777342</c:v>
                </c:pt>
                <c:pt idx="53">
                  <c:v>4.9577591677777342</c:v>
                </c:pt>
                <c:pt idx="54">
                  <c:v>4.9577591677777342</c:v>
                </c:pt>
                <c:pt idx="55">
                  <c:v>4.9577591677777342</c:v>
                </c:pt>
                <c:pt idx="56">
                  <c:v>4.9577591677777342</c:v>
                </c:pt>
                <c:pt idx="57">
                  <c:v>4.9577591677777342</c:v>
                </c:pt>
                <c:pt idx="58">
                  <c:v>4.9577591677777342</c:v>
                </c:pt>
                <c:pt idx="59">
                  <c:v>4.9577591677777342</c:v>
                </c:pt>
                <c:pt idx="60">
                  <c:v>4.9577591677777342</c:v>
                </c:pt>
                <c:pt idx="61">
                  <c:v>4.9577591677777342</c:v>
                </c:pt>
                <c:pt idx="62">
                  <c:v>4.9577591677777342</c:v>
                </c:pt>
                <c:pt idx="63">
                  <c:v>4.0966858873377046</c:v>
                </c:pt>
                <c:pt idx="64">
                  <c:v>4.0966858873377046</c:v>
                </c:pt>
                <c:pt idx="65">
                  <c:v>3.3378865858555242</c:v>
                </c:pt>
                <c:pt idx="66">
                  <c:v>3.3378865858555242</c:v>
                </c:pt>
                <c:pt idx="67">
                  <c:v>3.3378865858555242</c:v>
                </c:pt>
                <c:pt idx="68">
                  <c:v>3.3378865858555242</c:v>
                </c:pt>
                <c:pt idx="69">
                  <c:v>2.6782272207050979</c:v>
                </c:pt>
                <c:pt idx="70">
                  <c:v>2.6782272207050979</c:v>
                </c:pt>
                <c:pt idx="71">
                  <c:v>2.6782272207050979</c:v>
                </c:pt>
                <c:pt idx="72">
                  <c:v>2.6782272207050979</c:v>
                </c:pt>
                <c:pt idx="73">
                  <c:v>2.6782272207050979</c:v>
                </c:pt>
                <c:pt idx="74">
                  <c:v>2.1399949968206733</c:v>
                </c:pt>
                <c:pt idx="75">
                  <c:v>2.1399949968206733</c:v>
                </c:pt>
                <c:pt idx="76">
                  <c:v>2.1399949968206733</c:v>
                </c:pt>
                <c:pt idx="77">
                  <c:v>1.6702466349367453</c:v>
                </c:pt>
                <c:pt idx="78">
                  <c:v>1.6702466349367453</c:v>
                </c:pt>
              </c:numCache>
            </c:numRef>
          </c:val>
          <c:smooth val="0"/>
          <c:extLst>
            <c:ext xmlns:c16="http://schemas.microsoft.com/office/drawing/2014/chart" uri="{C3380CC4-5D6E-409C-BE32-E72D297353CC}">
              <c16:uniqueId val="{00000002-C278-48C0-9F77-2C7C7EE06181}"/>
            </c:ext>
          </c:extLst>
        </c:ser>
        <c:dLbls>
          <c:showLegendKey val="0"/>
          <c:showVal val="0"/>
          <c:showCatName val="0"/>
          <c:showSerName val="0"/>
          <c:showPercent val="0"/>
          <c:showBubbleSize val="0"/>
        </c:dLbls>
        <c:marker val="1"/>
        <c:smooth val="0"/>
        <c:axId val="1781200127"/>
        <c:axId val="1781180991"/>
      </c:lineChart>
      <c:catAx>
        <c:axId val="1611687215"/>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11685135"/>
        <c:crosses val="autoZero"/>
        <c:auto val="1"/>
        <c:lblAlgn val="ctr"/>
        <c:lblOffset val="100"/>
        <c:tickLblSkip val="10"/>
        <c:tickMarkSkip val="10"/>
        <c:noMultiLvlLbl val="0"/>
      </c:catAx>
      <c:valAx>
        <c:axId val="16116851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fr-CH" sz="1800"/>
                  <a:t>kgCO2éq</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11687215"/>
        <c:crosses val="autoZero"/>
        <c:crossBetween val="between"/>
      </c:valAx>
      <c:valAx>
        <c:axId val="178118099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800" b="0" i="0" baseline="0">
                    <a:effectLst/>
                  </a:rPr>
                  <a:t>kgCO2éq/m2.an</a:t>
                </a:r>
                <a:endParaRPr lang="fr-CH">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81200127"/>
        <c:crosses val="max"/>
        <c:crossBetween val="between"/>
      </c:valAx>
      <c:catAx>
        <c:axId val="1781200127"/>
        <c:scaling>
          <c:orientation val="minMax"/>
        </c:scaling>
        <c:delete val="1"/>
        <c:axPos val="b"/>
        <c:majorTickMark val="out"/>
        <c:minorTickMark val="none"/>
        <c:tickLblPos val="nextTo"/>
        <c:crossAx val="178118099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Embodied targets - amortized</a:t>
            </a:r>
            <a:r>
              <a:rPr lang="fr-CH" baseline="0"/>
              <a:t> - CH</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'Swiss Climate Strategy'!$Y$6</c:f>
              <c:strCache>
                <c:ptCount val="1"/>
                <c:pt idx="0">
                  <c:v>Nouvelles constructions</c:v>
                </c:pt>
              </c:strCache>
            </c:strRef>
          </c:tx>
          <c:spPr>
            <a:solidFill>
              <a:schemeClr val="accent1"/>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Strategy'!$Y$37:$Y$67</c:f>
              <c:numCache>
                <c:formatCode>0.00</c:formatCode>
                <c:ptCount val="31"/>
                <c:pt idx="0">
                  <c:v>3.0588575428429561</c:v>
                </c:pt>
                <c:pt idx="1">
                  <c:v>2.9915076446332831</c:v>
                </c:pt>
                <c:pt idx="2">
                  <c:v>2.9285007377312797</c:v>
                </c:pt>
                <c:pt idx="3">
                  <c:v>2.8670384704655851</c:v>
                </c:pt>
                <c:pt idx="4">
                  <c:v>2.8047330915305033</c:v>
                </c:pt>
                <c:pt idx="5">
                  <c:v>2.571709331898071</c:v>
                </c:pt>
                <c:pt idx="6">
                  <c:v>2.4798900038595897</c:v>
                </c:pt>
                <c:pt idx="7">
                  <c:v>2.4002717660729807</c:v>
                </c:pt>
                <c:pt idx="8">
                  <c:v>2.3314771008263877</c:v>
                </c:pt>
                <c:pt idx="9">
                  <c:v>2.2598768824549667</c:v>
                </c:pt>
                <c:pt idx="10">
                  <c:v>2.1904914828523134</c:v>
                </c:pt>
                <c:pt idx="11">
                  <c:v>2.1198646771955247</c:v>
                </c:pt>
                <c:pt idx="12">
                  <c:v>2.0351916498521274</c:v>
                </c:pt>
                <c:pt idx="13">
                  <c:v>1.9659613939564904</c:v>
                </c:pt>
                <c:pt idx="14">
                  <c:v>1.9013038997541085</c:v>
                </c:pt>
                <c:pt idx="15">
                  <c:v>1.8214241845716967</c:v>
                </c:pt>
                <c:pt idx="16">
                  <c:v>1.7496174198308381</c:v>
                </c:pt>
                <c:pt idx="17">
                  <c:v>1.68317969869455</c:v>
                </c:pt>
                <c:pt idx="18">
                  <c:v>1.6136433187337702</c:v>
                </c:pt>
                <c:pt idx="19">
                  <c:v>1.5456100995848099</c:v>
                </c:pt>
                <c:pt idx="20">
                  <c:v>1.4777605077452278</c:v>
                </c:pt>
                <c:pt idx="21">
                  <c:v>1.4100980802520668</c:v>
                </c:pt>
                <c:pt idx="22">
                  <c:v>1.3515187442538206</c:v>
                </c:pt>
                <c:pt idx="23">
                  <c:v>1.295099142859899</c:v>
                </c:pt>
                <c:pt idx="24">
                  <c:v>1.2460812867662854</c:v>
                </c:pt>
                <c:pt idx="25">
                  <c:v>1.1888070498394143</c:v>
                </c:pt>
                <c:pt idx="26">
                  <c:v>1.0288905207473997</c:v>
                </c:pt>
                <c:pt idx="27">
                  <c:v>0.97385074009570516</c:v>
                </c:pt>
                <c:pt idx="28">
                  <c:v>0.92339800378221448</c:v>
                </c:pt>
                <c:pt idx="29">
                  <c:v>0.87616238840713434</c:v>
                </c:pt>
                <c:pt idx="30">
                  <c:v>0.83174797619693486</c:v>
                </c:pt>
              </c:numCache>
            </c:numRef>
          </c:val>
          <c:extLst>
            <c:ext xmlns:c16="http://schemas.microsoft.com/office/drawing/2014/chart" uri="{C3380CC4-5D6E-409C-BE32-E72D297353CC}">
              <c16:uniqueId val="{00000000-1A11-4814-A26F-3061E87F2B11}"/>
            </c:ext>
          </c:extLst>
        </c:ser>
        <c:ser>
          <c:idx val="1"/>
          <c:order val="1"/>
          <c:tx>
            <c:strRef>
              <c:f>'Swiss Climate Strategy'!$Z$6</c:f>
              <c:strCache>
                <c:ptCount val="1"/>
                <c:pt idx="0">
                  <c:v>Rénovations</c:v>
                </c:pt>
              </c:strCache>
            </c:strRef>
          </c:tx>
          <c:spPr>
            <a:solidFill>
              <a:schemeClr val="accent2"/>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Strategy'!$Z$37:$Z$67</c:f>
              <c:numCache>
                <c:formatCode>0.00</c:formatCode>
                <c:ptCount val="31"/>
                <c:pt idx="0">
                  <c:v>2.3494967531633582</c:v>
                </c:pt>
                <c:pt idx="1">
                  <c:v>2.19189871110382</c:v>
                </c:pt>
                <c:pt idx="2">
                  <c:v>2.0524597312571968</c:v>
                </c:pt>
                <c:pt idx="3">
                  <c:v>1.9267644343246071</c:v>
                </c:pt>
                <c:pt idx="4">
                  <c:v>1.811416727819295</c:v>
                </c:pt>
                <c:pt idx="5">
                  <c:v>1.5994069479604998</c:v>
                </c:pt>
                <c:pt idx="6">
                  <c:v>1.4879285820617578</c:v>
                </c:pt>
                <c:pt idx="7">
                  <c:v>1.3917400059098883</c:v>
                </c:pt>
                <c:pt idx="8">
                  <c:v>1.3084386740208134</c:v>
                </c:pt>
                <c:pt idx="9">
                  <c:v>1.2292939965821115</c:v>
                </c:pt>
                <c:pt idx="10">
                  <c:v>1.1564823837647247</c:v>
                </c:pt>
                <c:pt idx="11">
                  <c:v>1.0875974007945588</c:v>
                </c:pt>
                <c:pt idx="12">
                  <c:v>1.0158431237427628</c:v>
                </c:pt>
                <c:pt idx="13">
                  <c:v>0.95570246537395742</c:v>
                </c:pt>
                <c:pt idx="14">
                  <c:v>0.90107364449672711</c:v>
                </c:pt>
                <c:pt idx="15">
                  <c:v>0.84234092606058608</c:v>
                </c:pt>
                <c:pt idx="16">
                  <c:v>0.79025974050510894</c:v>
                </c:pt>
                <c:pt idx="17">
                  <c:v>0.74313239099761974</c:v>
                </c:pt>
                <c:pt idx="18">
                  <c:v>0.69693168110094372</c:v>
                </c:pt>
                <c:pt idx="19">
                  <c:v>0.65350414272612456</c:v>
                </c:pt>
                <c:pt idx="20">
                  <c:v>0.61209564114155834</c:v>
                </c:pt>
                <c:pt idx="21">
                  <c:v>0.5725536538154361</c:v>
                </c:pt>
                <c:pt idx="22">
                  <c:v>0.53828260359860669</c:v>
                </c:pt>
                <c:pt idx="23">
                  <c:v>0.5062540785273475</c:v>
                </c:pt>
                <c:pt idx="24">
                  <c:v>0.47833491976965548</c:v>
                </c:pt>
                <c:pt idx="25">
                  <c:v>0.44838207656722084</c:v>
                </c:pt>
                <c:pt idx="26">
                  <c:v>0.38148460726258643</c:v>
                </c:pt>
                <c:pt idx="27">
                  <c:v>0.35512452868916966</c:v>
                </c:pt>
                <c:pt idx="28">
                  <c:v>0.33132741269970917</c:v>
                </c:pt>
                <c:pt idx="29">
                  <c:v>0.30947380908687</c:v>
                </c:pt>
                <c:pt idx="30">
                  <c:v>0.28932377117545732</c:v>
                </c:pt>
              </c:numCache>
            </c:numRef>
          </c:val>
          <c:extLst>
            <c:ext xmlns:c16="http://schemas.microsoft.com/office/drawing/2014/chart" uri="{C3380CC4-5D6E-409C-BE32-E72D297353CC}">
              <c16:uniqueId val="{00000001-1A11-4814-A26F-3061E87F2B11}"/>
            </c:ext>
          </c:extLst>
        </c:ser>
        <c:dLbls>
          <c:showLegendKey val="0"/>
          <c:showVal val="0"/>
          <c:showCatName val="0"/>
          <c:showSerName val="0"/>
          <c:showPercent val="0"/>
          <c:showBubbleSize val="0"/>
        </c:dLbls>
        <c:gapWidth val="219"/>
        <c:overlap val="-27"/>
        <c:axId val="1696790176"/>
        <c:axId val="1696786848"/>
      </c:barChart>
      <c:catAx>
        <c:axId val="169679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96786848"/>
        <c:crosses val="autoZero"/>
        <c:auto val="1"/>
        <c:lblAlgn val="ctr"/>
        <c:lblOffset val="100"/>
        <c:noMultiLvlLbl val="0"/>
      </c:catAx>
      <c:valAx>
        <c:axId val="1696786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9679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Cibles pour la construction de nouvelles constructions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2"/>
          <c:order val="0"/>
          <c:tx>
            <c:v>Nouvelles constructions</c:v>
          </c:tx>
          <c:spPr>
            <a:solidFill>
              <a:schemeClr val="accent3"/>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Strategy'!$AZ$37:$AZ$67</c:f>
              <c:numCache>
                <c:formatCode>0.00</c:formatCode>
                <c:ptCount val="31"/>
                <c:pt idx="0">
                  <c:v>10.112202422933617</c:v>
                </c:pt>
                <c:pt idx="1">
                  <c:v>9.6282033440339099</c:v>
                </c:pt>
                <c:pt idx="2">
                  <c:v>9.0511307566196031</c:v>
                </c:pt>
                <c:pt idx="3">
                  <c:v>8.5293246484668686</c:v>
                </c:pt>
                <c:pt idx="4">
                  <c:v>8.0172801700467886</c:v>
                </c:pt>
                <c:pt idx="5">
                  <c:v>7.4941677819849621</c:v>
                </c:pt>
                <c:pt idx="6">
                  <c:v>6.9626722623861621</c:v>
                </c:pt>
                <c:pt idx="7">
                  <c:v>6.4511416239160333</c:v>
                </c:pt>
                <c:pt idx="8">
                  <c:v>6.0146843137685932</c:v>
                </c:pt>
                <c:pt idx="9">
                  <c:v>5.6027933441467388</c:v>
                </c:pt>
                <c:pt idx="10">
                  <c:v>5.1850137535102592</c:v>
                </c:pt>
                <c:pt idx="11">
                  <c:v>4.8211109213855083</c:v>
                </c:pt>
                <c:pt idx="12">
                  <c:v>4.4739330122315559</c:v>
                </c:pt>
                <c:pt idx="13">
                  <c:v>4.1602054566310009</c:v>
                </c:pt>
                <c:pt idx="14">
                  <c:v>3.8658354686270622</c:v>
                </c:pt>
                <c:pt idx="15">
                  <c:v>3.5914413199390673</c:v>
                </c:pt>
                <c:pt idx="16">
                  <c:v>3.3174804982693598</c:v>
                </c:pt>
                <c:pt idx="17">
                  <c:v>3.0571067032644637</c:v>
                </c:pt>
                <c:pt idx="18">
                  <c:v>2.8187471118968008</c:v>
                </c:pt>
                <c:pt idx="19">
                  <c:v>2.5897462520142773</c:v>
                </c:pt>
                <c:pt idx="20">
                  <c:v>2.3732147362230469</c:v>
                </c:pt>
                <c:pt idx="21">
                  <c:v>2.1439305940488822</c:v>
                </c:pt>
                <c:pt idx="22">
                  <c:v>1.9454894525084028</c:v>
                </c:pt>
                <c:pt idx="23">
                  <c:v>1.7102637617747873</c:v>
                </c:pt>
                <c:pt idx="24">
                  <c:v>1.4857888961774444</c:v>
                </c:pt>
                <c:pt idx="25">
                  <c:v>1.2726008243748819</c:v>
                </c:pt>
                <c:pt idx="26">
                  <c:v>0.99944040982840654</c:v>
                </c:pt>
                <c:pt idx="27">
                  <c:v>0.76740457353729308</c:v>
                </c:pt>
                <c:pt idx="28">
                  <c:v>0.56998405015544618</c:v>
                </c:pt>
                <c:pt idx="29">
                  <c:v>0.40777413769572873</c:v>
                </c:pt>
                <c:pt idx="30">
                  <c:v>0.28322332478112072</c:v>
                </c:pt>
              </c:numCache>
            </c:numRef>
          </c:val>
          <c:extLst>
            <c:ext xmlns:c16="http://schemas.microsoft.com/office/drawing/2014/chart" uri="{C3380CC4-5D6E-409C-BE32-E72D297353CC}">
              <c16:uniqueId val="{00000003-A156-45EF-99C4-EEA1847ED2EC}"/>
            </c:ext>
          </c:extLst>
        </c:ser>
        <c:dLbls>
          <c:showLegendKey val="0"/>
          <c:showVal val="0"/>
          <c:showCatName val="0"/>
          <c:showSerName val="0"/>
          <c:showPercent val="0"/>
          <c:showBubbleSize val="0"/>
        </c:dLbls>
        <c:gapWidth val="219"/>
        <c:axId val="633900720"/>
        <c:axId val="633895728"/>
      </c:barChart>
      <c:catAx>
        <c:axId val="63390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3895728"/>
        <c:crosses val="autoZero"/>
        <c:auto val="1"/>
        <c:lblAlgn val="ctr"/>
        <c:lblOffset val="100"/>
        <c:noMultiLvlLbl val="0"/>
      </c:catAx>
      <c:valAx>
        <c:axId val="633895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kgCO2éq./m2 . an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390072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Cibles pour l'opération de nouvelles construcitons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2"/>
          <c:order val="0"/>
          <c:tx>
            <c:v>Nouvelles constructions</c:v>
          </c:tx>
          <c:spPr>
            <a:solidFill>
              <a:schemeClr val="accent3"/>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Strategy'!$AN$37:$AN$67</c:f>
              <c:numCache>
                <c:formatCode>0.00</c:formatCode>
                <c:ptCount val="31"/>
                <c:pt idx="0">
                  <c:v>1.8236496090057166</c:v>
                </c:pt>
                <c:pt idx="1">
                  <c:v>1.6892224893090575</c:v>
                </c:pt>
                <c:pt idx="2">
                  <c:v>1.5606812942436188</c:v>
                </c:pt>
                <c:pt idx="3">
                  <c:v>1.4398795674585234</c:v>
                </c:pt>
                <c:pt idx="4">
                  <c:v>1.325267163737154</c:v>
                </c:pt>
                <c:pt idx="5">
                  <c:v>1.2167263557176846</c:v>
                </c:pt>
                <c:pt idx="6">
                  <c:v>1.1144838676807058</c:v>
                </c:pt>
                <c:pt idx="7">
                  <c:v>1.0177378634428962</c:v>
                </c:pt>
                <c:pt idx="8">
                  <c:v>0.92663947879867747</c:v>
                </c:pt>
                <c:pt idx="9">
                  <c:v>0.84038923700072699</c:v>
                </c:pt>
                <c:pt idx="10">
                  <c:v>0.75899956460510509</c:v>
                </c:pt>
                <c:pt idx="11">
                  <c:v>0.68298654693441085</c:v>
                </c:pt>
                <c:pt idx="12">
                  <c:v>0.60932258252016691</c:v>
                </c:pt>
                <c:pt idx="13">
                  <c:v>0.54146664618108786</c:v>
                </c:pt>
                <c:pt idx="14">
                  <c:v>0.47882904329649295</c:v>
                </c:pt>
                <c:pt idx="15">
                  <c:v>0.42104380475354758</c:v>
                </c:pt>
                <c:pt idx="16">
                  <c:v>0.36774390717774785</c:v>
                </c:pt>
                <c:pt idx="17">
                  <c:v>0.31885835275511865</c:v>
                </c:pt>
                <c:pt idx="18">
                  <c:v>0.27412540717673484</c:v>
                </c:pt>
                <c:pt idx="19">
                  <c:v>0.23316657450980166</c:v>
                </c:pt>
                <c:pt idx="20">
                  <c:v>0.19579402604668861</c:v>
                </c:pt>
                <c:pt idx="21">
                  <c:v>0.1617793973656719</c:v>
                </c:pt>
                <c:pt idx="22">
                  <c:v>0.13125820887210229</c:v>
                </c:pt>
                <c:pt idx="23">
                  <c:v>0.1037469717980265</c:v>
                </c:pt>
                <c:pt idx="24">
                  <c:v>7.9721992155490529E-2</c:v>
                </c:pt>
                <c:pt idx="25">
                  <c:v>5.8987013273129885E-2</c:v>
                </c:pt>
                <c:pt idx="26">
                  <c:v>4.1342373844381775E-2</c:v>
                </c:pt>
                <c:pt idx="27">
                  <c:v>2.7574121240646267E-2</c:v>
                </c:pt>
                <c:pt idx="28">
                  <c:v>1.7069641126550305E-2</c:v>
                </c:pt>
                <c:pt idx="29">
                  <c:v>9.3166771308421555E-3</c:v>
                </c:pt>
                <c:pt idx="30">
                  <c:v>3.8047184788318673E-3</c:v>
                </c:pt>
              </c:numCache>
            </c:numRef>
          </c:val>
          <c:extLst>
            <c:ext xmlns:c16="http://schemas.microsoft.com/office/drawing/2014/chart" uri="{C3380CC4-5D6E-409C-BE32-E72D297353CC}">
              <c16:uniqueId val="{00000000-4501-4C48-A988-14D346CD7979}"/>
            </c:ext>
          </c:extLst>
        </c:ser>
        <c:dLbls>
          <c:showLegendKey val="0"/>
          <c:showVal val="0"/>
          <c:showCatName val="0"/>
          <c:showSerName val="0"/>
          <c:showPercent val="0"/>
          <c:showBubbleSize val="0"/>
        </c:dLbls>
        <c:gapWidth val="219"/>
        <c:axId val="633900720"/>
        <c:axId val="633895728"/>
      </c:barChart>
      <c:catAx>
        <c:axId val="63390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3895728"/>
        <c:crosses val="autoZero"/>
        <c:auto val="1"/>
        <c:lblAlgn val="ctr"/>
        <c:lblOffset val="100"/>
        <c:noMultiLvlLbl val="0"/>
      </c:catAx>
      <c:valAx>
        <c:axId val="633895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kgCO2éq./m2 . an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390072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Cibles opérationnelles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1"/>
          <c:order val="0"/>
          <c:tx>
            <c:v>Cibles pour les batiments résidentiels existants</c:v>
          </c:tx>
          <c:spPr>
            <a:ln w="28575" cap="rnd">
              <a:solidFill>
                <a:schemeClr val="accent2"/>
              </a:solidFill>
              <a:round/>
            </a:ln>
            <a:effectLst/>
          </c:spPr>
          <c:marker>
            <c:symbol val="none"/>
          </c:marker>
          <c:cat>
            <c:numRef>
              <c:f>'Swiss Climate Strategy'!$AB$37:$AB$67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Strategy'!$AE$37:$AE$67</c:f>
              <c:numCache>
                <c:formatCode>0.00</c:formatCode>
                <c:ptCount val="31"/>
                <c:pt idx="0">
                  <c:v>20.34074524685062</c:v>
                </c:pt>
                <c:pt idx="1">
                  <c:v>19.587574836636577</c:v>
                </c:pt>
                <c:pt idx="2">
                  <c:v>18.636989253391484</c:v>
                </c:pt>
                <c:pt idx="3">
                  <c:v>17.789443939827141</c:v>
                </c:pt>
                <c:pt idx="4">
                  <c:v>16.951271850294265</c:v>
                </c:pt>
                <c:pt idx="5">
                  <c:v>16.076651556853548</c:v>
                </c:pt>
                <c:pt idx="6">
                  <c:v>15.168159263656076</c:v>
                </c:pt>
                <c:pt idx="7">
                  <c:v>14.285191885867745</c:v>
                </c:pt>
                <c:pt idx="8">
                  <c:v>13.551418136257874</c:v>
                </c:pt>
                <c:pt idx="9">
                  <c:v>12.857393204677509</c:v>
                </c:pt>
                <c:pt idx="10">
                  <c:v>12.132639612299316</c:v>
                </c:pt>
                <c:pt idx="11">
                  <c:v>11.51647729461623</c:v>
                </c:pt>
                <c:pt idx="12">
                  <c:v>10.923752591431752</c:v>
                </c:pt>
                <c:pt idx="13">
                  <c:v>10.396471186049554</c:v>
                </c:pt>
                <c:pt idx="14">
                  <c:v>9.9019954064961446</c:v>
                </c:pt>
                <c:pt idx="15">
                  <c:v>9.4432383594064202</c:v>
                </c:pt>
                <c:pt idx="16">
                  <c:v>8.9691005644505459</c:v>
                </c:pt>
                <c:pt idx="17">
                  <c:v>8.5135833740363811</c:v>
                </c:pt>
                <c:pt idx="18">
                  <c:v>8.1013477672433396</c:v>
                </c:pt>
                <c:pt idx="19">
                  <c:v>7.6978616229919838</c:v>
                </c:pt>
                <c:pt idx="20">
                  <c:v>7.3123873462339404</c:v>
                </c:pt>
                <c:pt idx="21">
                  <c:v>6.8649595227312767</c:v>
                </c:pt>
                <c:pt idx="22">
                  <c:v>6.4918926013084715</c:v>
                </c:pt>
                <c:pt idx="23">
                  <c:v>5.9657437128347652</c:v>
                </c:pt>
                <c:pt idx="24">
                  <c:v>5.4365020893604692</c:v>
                </c:pt>
                <c:pt idx="25">
                  <c:v>4.9034978213213032</c:v>
                </c:pt>
                <c:pt idx="26">
                  <c:v>4.0732368760848159</c:v>
                </c:pt>
                <c:pt idx="27">
                  <c:v>3.3248431980508282</c:v>
                </c:pt>
                <c:pt idx="28">
                  <c:v>2.6406570783567727</c:v>
                </c:pt>
                <c:pt idx="29">
                  <c:v>2.0339590401983805</c:v>
                </c:pt>
                <c:pt idx="30">
                  <c:v>1.5333802498574935</c:v>
                </c:pt>
              </c:numCache>
            </c:numRef>
          </c:val>
          <c:smooth val="0"/>
          <c:extLst>
            <c:ext xmlns:c16="http://schemas.microsoft.com/office/drawing/2014/chart" uri="{C3380CC4-5D6E-409C-BE32-E72D297353CC}">
              <c16:uniqueId val="{00000001-85C4-4764-9F48-5A15A49985EB}"/>
            </c:ext>
          </c:extLst>
        </c:ser>
        <c:ser>
          <c:idx val="2"/>
          <c:order val="1"/>
          <c:tx>
            <c:v>Cibles pour les nouvelles constructions résidentielles</c:v>
          </c:tx>
          <c:spPr>
            <a:ln w="28575" cap="rnd">
              <a:solidFill>
                <a:schemeClr val="accent3"/>
              </a:solidFill>
              <a:round/>
            </a:ln>
            <a:effectLst/>
          </c:spPr>
          <c:marker>
            <c:symbol val="none"/>
          </c:marker>
          <c:cat>
            <c:numRef>
              <c:f>'Swiss Climate Strategy'!$AB$37:$AB$67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Strategy'!$AF$37:$AF$67</c:f>
              <c:numCache>
                <c:formatCode>0.00</c:formatCode>
                <c:ptCount val="31"/>
                <c:pt idx="0">
                  <c:v>3.3688349675535139</c:v>
                </c:pt>
                <c:pt idx="1">
                  <c:v>3.1812476711801705</c:v>
                </c:pt>
                <c:pt idx="2">
                  <c:v>2.9662592771834229</c:v>
                </c:pt>
                <c:pt idx="3">
                  <c:v>2.7727476672781104</c:v>
                </c:pt>
                <c:pt idx="4">
                  <c:v>2.5855157380365981</c:v>
                </c:pt>
                <c:pt idx="5">
                  <c:v>2.3977425493145423</c:v>
                </c:pt>
                <c:pt idx="6">
                  <c:v>2.210285136830906</c:v>
                </c:pt>
                <c:pt idx="7">
                  <c:v>2.0320572951662945</c:v>
                </c:pt>
                <c:pt idx="8">
                  <c:v>1.8800641158731679</c:v>
                </c:pt>
                <c:pt idx="9">
                  <c:v>1.7380326209526451</c:v>
                </c:pt>
                <c:pt idx="10">
                  <c:v>1.5963547229905199</c:v>
                </c:pt>
                <c:pt idx="11">
                  <c:v>1.4732792882848795</c:v>
                </c:pt>
                <c:pt idx="12">
                  <c:v>1.3571187267815823</c:v>
                </c:pt>
                <c:pt idx="13">
                  <c:v>1.2527520576918982</c:v>
                </c:pt>
                <c:pt idx="14">
                  <c:v>1.1557047708589088</c:v>
                </c:pt>
                <c:pt idx="15">
                  <c:v>1.0659979515159952</c:v>
                </c:pt>
                <c:pt idx="16">
                  <c:v>0.97771108845258337</c:v>
                </c:pt>
                <c:pt idx="17">
                  <c:v>0.89465891156767596</c:v>
                </c:pt>
                <c:pt idx="18">
                  <c:v>0.81917665333866352</c:v>
                </c:pt>
                <c:pt idx="19">
                  <c:v>0.74745096926226096</c:v>
                </c:pt>
                <c:pt idx="20">
                  <c:v>0.68029257362033402</c:v>
                </c:pt>
                <c:pt idx="21">
                  <c:v>0.61042376987139224</c:v>
                </c:pt>
                <c:pt idx="22">
                  <c:v>0.5502247414815159</c:v>
                </c:pt>
                <c:pt idx="23">
                  <c:v>0.48049959285071964</c:v>
                </c:pt>
                <c:pt idx="24">
                  <c:v>0.41469957764721316</c:v>
                </c:pt>
                <c:pt idx="25">
                  <c:v>0.35289278857496215</c:v>
                </c:pt>
                <c:pt idx="26">
                  <c:v>0.27536505207470996</c:v>
                </c:pt>
                <c:pt idx="27">
                  <c:v>0.21008960228191928</c:v>
                </c:pt>
                <c:pt idx="28">
                  <c:v>0.15505927991416299</c:v>
                </c:pt>
                <c:pt idx="29">
                  <c:v>0.11023917304020578</c:v>
                </c:pt>
                <c:pt idx="30">
                  <c:v>7.6094369576637344E-2</c:v>
                </c:pt>
              </c:numCache>
            </c:numRef>
          </c:val>
          <c:smooth val="0"/>
          <c:extLst>
            <c:ext xmlns:c16="http://schemas.microsoft.com/office/drawing/2014/chart" uri="{C3380CC4-5D6E-409C-BE32-E72D297353CC}">
              <c16:uniqueId val="{00000002-85C4-4764-9F48-5A15A49985EB}"/>
            </c:ext>
          </c:extLst>
        </c:ser>
        <c:ser>
          <c:idx val="3"/>
          <c:order val="2"/>
          <c:tx>
            <c:v>Cibles pour les batiments résidentiels rénovés</c:v>
          </c:tx>
          <c:spPr>
            <a:ln w="28575" cap="rnd">
              <a:solidFill>
                <a:schemeClr val="accent4"/>
              </a:solidFill>
              <a:round/>
            </a:ln>
            <a:effectLst/>
          </c:spPr>
          <c:marker>
            <c:symbol val="none"/>
          </c:marker>
          <c:cat>
            <c:numRef>
              <c:f>'Swiss Climate Strategy'!$AB$37:$AB$67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Strategy'!$AG$37:$AG$67</c:f>
              <c:numCache>
                <c:formatCode>0.00</c:formatCode>
                <c:ptCount val="31"/>
                <c:pt idx="0">
                  <c:v>5.5826408033743942</c:v>
                </c:pt>
                <c:pt idx="1">
                  <c:v>5.2717818550985678</c:v>
                </c:pt>
                <c:pt idx="2">
                  <c:v>4.9155153736182431</c:v>
                </c:pt>
                <c:pt idx="3">
                  <c:v>4.5948389914894401</c:v>
                </c:pt>
                <c:pt idx="4">
                  <c:v>4.2845689373177915</c:v>
                </c:pt>
                <c:pt idx="5">
                  <c:v>3.9734019388640989</c:v>
                </c:pt>
                <c:pt idx="6">
                  <c:v>3.6627582267483585</c:v>
                </c:pt>
                <c:pt idx="7">
                  <c:v>3.3674092319898592</c:v>
                </c:pt>
                <c:pt idx="8">
                  <c:v>3.1155348205898208</c:v>
                </c:pt>
                <c:pt idx="9">
                  <c:v>2.8801683432929548</c:v>
                </c:pt>
                <c:pt idx="10">
                  <c:v>2.6453878266700044</c:v>
                </c:pt>
                <c:pt idx="11">
                  <c:v>2.4414342491578003</c:v>
                </c:pt>
                <c:pt idx="12">
                  <c:v>2.2489396043809076</c:v>
                </c:pt>
                <c:pt idx="13">
                  <c:v>2.0759891241751456</c:v>
                </c:pt>
                <c:pt idx="14">
                  <c:v>1.9151679059947633</c:v>
                </c:pt>
                <c:pt idx="15">
                  <c:v>1.7665108910836491</c:v>
                </c:pt>
                <c:pt idx="16">
                  <c:v>1.6202069465785667</c:v>
                </c:pt>
                <c:pt idx="17">
                  <c:v>1.4825776248835774</c:v>
                </c:pt>
                <c:pt idx="18">
                  <c:v>1.3574927398183567</c:v>
                </c:pt>
                <c:pt idx="19">
                  <c:v>1.238633034777461</c:v>
                </c:pt>
                <c:pt idx="20">
                  <c:v>1.1273419791422676</c:v>
                </c:pt>
                <c:pt idx="21">
                  <c:v>1.0115593900725928</c:v>
                </c:pt>
                <c:pt idx="22">
                  <c:v>0.91180100016936916</c:v>
                </c:pt>
                <c:pt idx="23">
                  <c:v>0.79625646815262108</c:v>
                </c:pt>
                <c:pt idx="24">
                  <c:v>0.68721644295823892</c:v>
                </c:pt>
                <c:pt idx="25">
                  <c:v>0.584793763924223</c:v>
                </c:pt>
                <c:pt idx="26">
                  <c:v>0.45631922915237649</c:v>
                </c:pt>
                <c:pt idx="27">
                  <c:v>0.34814848378146623</c:v>
                </c:pt>
                <c:pt idx="28">
                  <c:v>0.25695537814347008</c:v>
                </c:pt>
                <c:pt idx="29">
                  <c:v>0.18268205818091243</c:v>
                </c:pt>
                <c:pt idx="30">
                  <c:v>0.1260992410127133</c:v>
                </c:pt>
              </c:numCache>
            </c:numRef>
          </c:val>
          <c:smooth val="0"/>
          <c:extLst>
            <c:ext xmlns:c16="http://schemas.microsoft.com/office/drawing/2014/chart" uri="{C3380CC4-5D6E-409C-BE32-E72D297353CC}">
              <c16:uniqueId val="{00000003-85C4-4764-9F48-5A15A49985EB}"/>
            </c:ext>
          </c:extLst>
        </c:ser>
        <c:ser>
          <c:idx val="5"/>
          <c:order val="3"/>
          <c:tx>
            <c:v>Cibles pour les batiments non-résidentiels existants</c:v>
          </c:tx>
          <c:spPr>
            <a:ln w="28575" cap="rnd">
              <a:solidFill>
                <a:schemeClr val="accent2"/>
              </a:solidFill>
              <a:prstDash val="sysDash"/>
              <a:round/>
            </a:ln>
            <a:effectLst/>
          </c:spPr>
          <c:marker>
            <c:symbol val="none"/>
          </c:marker>
          <c:val>
            <c:numRef>
              <c:f>'Swiss Climate Strategy'!$AJ$37:$AJ$67</c:f>
              <c:numCache>
                <c:formatCode>0.00</c:formatCode>
                <c:ptCount val="31"/>
                <c:pt idx="0">
                  <c:v>27.041860151679327</c:v>
                </c:pt>
                <c:pt idx="1">
                  <c:v>25.747558983868004</c:v>
                </c:pt>
                <c:pt idx="2">
                  <c:v>24.204362402791428</c:v>
                </c:pt>
                <c:pt idx="3">
                  <c:v>22.80895839357612</c:v>
                </c:pt>
                <c:pt idx="4">
                  <c:v>21.439658749665472</c:v>
                </c:pt>
                <c:pt idx="5">
                  <c:v>20.040761511463721</c:v>
                </c:pt>
                <c:pt idx="6">
                  <c:v>18.619446261717634</c:v>
                </c:pt>
                <c:pt idx="7">
                  <c:v>17.25152071886685</c:v>
                </c:pt>
                <c:pt idx="8">
                  <c:v>16.084354848411383</c:v>
                </c:pt>
                <c:pt idx="9">
                  <c:v>14.982883820399417</c:v>
                </c:pt>
                <c:pt idx="10">
                  <c:v>13.865665553625439</c:v>
                </c:pt>
                <c:pt idx="11">
                  <c:v>12.892523493810668</c:v>
                </c:pt>
                <c:pt idx="12">
                  <c:v>11.964106906163877</c:v>
                </c:pt>
                <c:pt idx="13">
                  <c:v>11.125142620298918</c:v>
                </c:pt>
                <c:pt idx="14">
                  <c:v>10.337943974986922</c:v>
                </c:pt>
                <c:pt idx="15">
                  <c:v>9.6041643407470421</c:v>
                </c:pt>
                <c:pt idx="16">
                  <c:v>8.8715435014104251</c:v>
                </c:pt>
                <c:pt idx="17">
                  <c:v>8.1752568313853029</c:v>
                </c:pt>
                <c:pt idx="18">
                  <c:v>7.5378401276850777</c:v>
                </c:pt>
                <c:pt idx="19">
                  <c:v>6.9254503664285982</c:v>
                </c:pt>
                <c:pt idx="20">
                  <c:v>6.3464058889191284</c:v>
                </c:pt>
                <c:pt idx="21">
                  <c:v>5.7332585795249029</c:v>
                </c:pt>
                <c:pt idx="22">
                  <c:v>5.2025910381288627</c:v>
                </c:pt>
                <c:pt idx="23">
                  <c:v>4.5735549521349235</c:v>
                </c:pt>
                <c:pt idx="24">
                  <c:v>3.9732685190544674</c:v>
                </c:pt>
                <c:pt idx="25">
                  <c:v>3.4031650161205733</c:v>
                </c:pt>
                <c:pt idx="26">
                  <c:v>2.6726846103498203</c:v>
                </c:pt>
                <c:pt idx="27">
                  <c:v>2.0521787726767329</c:v>
                </c:pt>
                <c:pt idx="28">
                  <c:v>1.5242405490257001</c:v>
                </c:pt>
                <c:pt idx="29">
                  <c:v>1.0904618740652672</c:v>
                </c:pt>
                <c:pt idx="30">
                  <c:v>0.75739044968631342</c:v>
                </c:pt>
              </c:numCache>
            </c:numRef>
          </c:val>
          <c:smooth val="0"/>
          <c:extLst>
            <c:ext xmlns:c16="http://schemas.microsoft.com/office/drawing/2014/chart" uri="{C3380CC4-5D6E-409C-BE32-E72D297353CC}">
              <c16:uniqueId val="{00000006-85C4-4764-9F48-5A15A49985EB}"/>
            </c:ext>
          </c:extLst>
        </c:ser>
        <c:ser>
          <c:idx val="6"/>
          <c:order val="4"/>
          <c:tx>
            <c:v>Cibles pour les nouvelles constructions non-résidentielles</c:v>
          </c:tx>
          <c:spPr>
            <a:ln w="28575" cap="rnd">
              <a:solidFill>
                <a:schemeClr val="accent3"/>
              </a:solidFill>
              <a:prstDash val="sysDash"/>
              <a:round/>
            </a:ln>
            <a:effectLst/>
          </c:spPr>
          <c:marker>
            <c:symbol val="none"/>
          </c:marker>
          <c:val>
            <c:numRef>
              <c:f>'Swiss Climate Strategy'!$AK$37:$AK$67</c:f>
              <c:numCache>
                <c:formatCode>0.00</c:formatCode>
                <c:ptCount val="31"/>
                <c:pt idx="0">
                  <c:v>10.112202422933617</c:v>
                </c:pt>
                <c:pt idx="1">
                  <c:v>9.6282033440339099</c:v>
                </c:pt>
                <c:pt idx="2">
                  <c:v>9.0511307566196031</c:v>
                </c:pt>
                <c:pt idx="3">
                  <c:v>8.5293246484668686</c:v>
                </c:pt>
                <c:pt idx="4">
                  <c:v>8.0172801700467886</c:v>
                </c:pt>
                <c:pt idx="5">
                  <c:v>7.4941677819849621</c:v>
                </c:pt>
                <c:pt idx="6">
                  <c:v>6.9626722623861621</c:v>
                </c:pt>
                <c:pt idx="7">
                  <c:v>6.4511416239160333</c:v>
                </c:pt>
                <c:pt idx="8">
                  <c:v>6.0146843137685932</c:v>
                </c:pt>
                <c:pt idx="9">
                  <c:v>5.6027933441467388</c:v>
                </c:pt>
                <c:pt idx="10">
                  <c:v>5.1850137535102592</c:v>
                </c:pt>
                <c:pt idx="11">
                  <c:v>4.8211109213855083</c:v>
                </c:pt>
                <c:pt idx="12">
                  <c:v>4.4739330122315559</c:v>
                </c:pt>
                <c:pt idx="13">
                  <c:v>4.1602054566310009</c:v>
                </c:pt>
                <c:pt idx="14">
                  <c:v>3.8658354686270622</c:v>
                </c:pt>
                <c:pt idx="15">
                  <c:v>3.5914413199390673</c:v>
                </c:pt>
                <c:pt idx="16">
                  <c:v>3.3174804982693598</c:v>
                </c:pt>
                <c:pt idx="17">
                  <c:v>3.0571067032644637</c:v>
                </c:pt>
                <c:pt idx="18">
                  <c:v>2.8187471118968008</c:v>
                </c:pt>
                <c:pt idx="19">
                  <c:v>2.5897462520142773</c:v>
                </c:pt>
                <c:pt idx="20">
                  <c:v>2.3732147362230469</c:v>
                </c:pt>
                <c:pt idx="21">
                  <c:v>2.1439305940488822</c:v>
                </c:pt>
                <c:pt idx="22">
                  <c:v>1.9454894525084028</c:v>
                </c:pt>
                <c:pt idx="23">
                  <c:v>1.7102637617747873</c:v>
                </c:pt>
                <c:pt idx="24">
                  <c:v>1.4857888961774444</c:v>
                </c:pt>
                <c:pt idx="25">
                  <c:v>1.2726008243748819</c:v>
                </c:pt>
                <c:pt idx="26">
                  <c:v>0.99944040982840654</c:v>
                </c:pt>
                <c:pt idx="27">
                  <c:v>0.76740457353729308</c:v>
                </c:pt>
                <c:pt idx="28">
                  <c:v>0.56998405015544618</c:v>
                </c:pt>
                <c:pt idx="29">
                  <c:v>0.40777413769572873</c:v>
                </c:pt>
                <c:pt idx="30">
                  <c:v>0.28322332478112072</c:v>
                </c:pt>
              </c:numCache>
            </c:numRef>
          </c:val>
          <c:smooth val="0"/>
          <c:extLst>
            <c:ext xmlns:c16="http://schemas.microsoft.com/office/drawing/2014/chart" uri="{C3380CC4-5D6E-409C-BE32-E72D297353CC}">
              <c16:uniqueId val="{00000007-85C4-4764-9F48-5A15A49985EB}"/>
            </c:ext>
          </c:extLst>
        </c:ser>
        <c:ser>
          <c:idx val="7"/>
          <c:order val="5"/>
          <c:tx>
            <c:v>Cibles pour les batiments non-résidentiels rénovés</c:v>
          </c:tx>
          <c:spPr>
            <a:ln w="28575" cap="rnd">
              <a:solidFill>
                <a:schemeClr val="accent4"/>
              </a:solidFill>
              <a:prstDash val="sysDash"/>
              <a:round/>
            </a:ln>
            <a:effectLst/>
          </c:spPr>
          <c:marker>
            <c:symbol val="none"/>
          </c:marker>
          <c:val>
            <c:numRef>
              <c:f>'Swiss Climate Strategy'!$AL$37:$AL$67</c:f>
              <c:numCache>
                <c:formatCode>0.00</c:formatCode>
                <c:ptCount val="31"/>
                <c:pt idx="0">
                  <c:v>11.896708732863079</c:v>
                </c:pt>
                <c:pt idx="1">
                  <c:v>11.327298051804599</c:v>
                </c:pt>
                <c:pt idx="2">
                  <c:v>10.648389125434827</c:v>
                </c:pt>
                <c:pt idx="3">
                  <c:v>10.034499586431609</c:v>
                </c:pt>
                <c:pt idx="4">
                  <c:v>9.4320943177021039</c:v>
                </c:pt>
                <c:pt idx="5">
                  <c:v>8.8166679788058371</c:v>
                </c:pt>
                <c:pt idx="6">
                  <c:v>8.1913791322190157</c:v>
                </c:pt>
                <c:pt idx="7">
                  <c:v>7.5895783810776862</c:v>
                </c:pt>
                <c:pt idx="8">
                  <c:v>7.0760991926689334</c:v>
                </c:pt>
                <c:pt idx="9">
                  <c:v>6.591521581349105</c:v>
                </c:pt>
                <c:pt idx="10">
                  <c:v>6.1000161806003055</c:v>
                </c:pt>
                <c:pt idx="11">
                  <c:v>5.6718952016300106</c:v>
                </c:pt>
                <c:pt idx="12">
                  <c:v>5.26345060262536</c:v>
                </c:pt>
                <c:pt idx="13">
                  <c:v>4.8943593607423539</c:v>
                </c:pt>
                <c:pt idx="14">
                  <c:v>4.5480417277965435</c:v>
                </c:pt>
                <c:pt idx="15">
                  <c:v>4.2252250822812556</c:v>
                </c:pt>
                <c:pt idx="16">
                  <c:v>3.9029182332580703</c:v>
                </c:pt>
                <c:pt idx="17">
                  <c:v>3.5965961214876043</c:v>
                </c:pt>
                <c:pt idx="18">
                  <c:v>3.3161730728197654</c:v>
                </c:pt>
                <c:pt idx="19">
                  <c:v>3.0467602964873852</c:v>
                </c:pt>
                <c:pt idx="20">
                  <c:v>2.7920173367329966</c:v>
                </c:pt>
                <c:pt idx="21">
                  <c:v>2.5222712871163324</c:v>
                </c:pt>
                <c:pt idx="22">
                  <c:v>2.2888111205981208</c:v>
                </c:pt>
                <c:pt idx="23">
                  <c:v>2.0120750138526908</c:v>
                </c:pt>
                <c:pt idx="24">
                  <c:v>1.7479869366793463</c:v>
                </c:pt>
                <c:pt idx="25">
                  <c:v>1.4971774404410374</c:v>
                </c:pt>
                <c:pt idx="26">
                  <c:v>1.175812246856949</c:v>
                </c:pt>
                <c:pt idx="27">
                  <c:v>0.90282891004387422</c:v>
                </c:pt>
                <c:pt idx="28">
                  <c:v>0.67056947077111317</c:v>
                </c:pt>
                <c:pt idx="29">
                  <c:v>0.47973427964203386</c:v>
                </c:pt>
                <c:pt idx="30">
                  <c:v>0.33320391150720086</c:v>
                </c:pt>
              </c:numCache>
            </c:numRef>
          </c:val>
          <c:smooth val="0"/>
          <c:extLst>
            <c:ext xmlns:c16="http://schemas.microsoft.com/office/drawing/2014/chart" uri="{C3380CC4-5D6E-409C-BE32-E72D297353CC}">
              <c16:uniqueId val="{00000008-85C4-4764-9F48-5A15A49985EB}"/>
            </c:ext>
          </c:extLst>
        </c:ser>
        <c:dLbls>
          <c:showLegendKey val="0"/>
          <c:showVal val="0"/>
          <c:showCatName val="0"/>
          <c:showSerName val="0"/>
          <c:showPercent val="0"/>
          <c:showBubbleSize val="0"/>
        </c:dLbls>
        <c:smooth val="0"/>
        <c:axId val="223635280"/>
        <c:axId val="223635696"/>
      </c:lineChart>
      <c:catAx>
        <c:axId val="22363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3635696"/>
        <c:crosses val="autoZero"/>
        <c:auto val="1"/>
        <c:lblAlgn val="ctr"/>
        <c:lblOffset val="100"/>
        <c:tickLblSkip val="10"/>
        <c:noMultiLvlLbl val="0"/>
      </c:catAx>
      <c:valAx>
        <c:axId val="223635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kgCO2éq/m2.an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23635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Emissions GES par secteur 1990-2019:</a:t>
            </a:r>
            <a:r>
              <a:rPr lang="fr-CH" baseline="0"/>
              <a:t> rapport ¦ 2020-2050 prévisions selon EP2050+</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'Swiss Climate Strategy'!$C$6</c:f>
              <c:strCache>
                <c:ptCount val="1"/>
                <c:pt idx="0">
                  <c:v>Batiments</c:v>
                </c:pt>
              </c:strCache>
            </c:strRef>
          </c:tx>
          <c:spPr>
            <a:solidFill>
              <a:schemeClr val="accent1"/>
            </a:solidFill>
            <a:ln>
              <a:noFill/>
            </a:ln>
            <a:effectLst/>
          </c:spPr>
          <c:invertIfNegative val="0"/>
          <c:cat>
            <c:numRef>
              <c:f>'Swiss Climate Strategy'!$B$7:$B$67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'Swiss Climate Strategy'!$C$7:$C$67</c:f>
              <c:numCache>
                <c:formatCode>#\ ##0.0</c:formatCode>
                <c:ptCount val="61"/>
                <c:pt idx="0">
                  <c:v>16.687078235646027</c:v>
                </c:pt>
                <c:pt idx="1">
                  <c:v>18.051942742427364</c:v>
                </c:pt>
                <c:pt idx="2">
                  <c:v>18.093297250529066</c:v>
                </c:pt>
                <c:pt idx="3">
                  <c:v>17.485075012567854</c:v>
                </c:pt>
                <c:pt idx="4">
                  <c:v>16.209921061568444</c:v>
                </c:pt>
                <c:pt idx="5">
                  <c:v>17.260064665282986</c:v>
                </c:pt>
                <c:pt idx="6">
                  <c:v>18.117080989434818</c:v>
                </c:pt>
                <c:pt idx="7">
                  <c:v>16.688995474624683</c:v>
                </c:pt>
                <c:pt idx="8">
                  <c:v>17.508047098826466</c:v>
                </c:pt>
                <c:pt idx="9">
                  <c:v>16.84181695077201</c:v>
                </c:pt>
                <c:pt idx="10">
                  <c:v>15.751205335392848</c:v>
                </c:pt>
                <c:pt idx="11">
                  <c:v>17.107314778556216</c:v>
                </c:pt>
                <c:pt idx="12">
                  <c:v>15.973871460915685</c:v>
                </c:pt>
                <c:pt idx="13">
                  <c:v>16.976063024906125</c:v>
                </c:pt>
                <c:pt idx="14">
                  <c:v>16.837575010093495</c:v>
                </c:pt>
                <c:pt idx="15">
                  <c:v>17.071414391412919</c:v>
                </c:pt>
                <c:pt idx="16">
                  <c:v>16.225671639286766</c:v>
                </c:pt>
                <c:pt idx="17">
                  <c:v>14.412889708381268</c:v>
                </c:pt>
                <c:pt idx="18">
                  <c:v>15.284010507785457</c:v>
                </c:pt>
                <c:pt idx="19">
                  <c:v>14.862959406654983</c:v>
                </c:pt>
                <c:pt idx="20">
                  <c:v>16.046705847967111</c:v>
                </c:pt>
                <c:pt idx="21">
                  <c:v>12.882899967868637</c:v>
                </c:pt>
                <c:pt idx="22">
                  <c:v>14.114883355140179</c:v>
                </c:pt>
                <c:pt idx="23">
                  <c:v>15.034452271656201</c:v>
                </c:pt>
                <c:pt idx="24">
                  <c:v>11.667553231058934</c:v>
                </c:pt>
                <c:pt idx="25">
                  <c:v>12.514840793891644</c:v>
                </c:pt>
                <c:pt idx="26">
                  <c:v>12.978612372273911</c:v>
                </c:pt>
                <c:pt idx="27">
                  <c:v>12.358619709962349</c:v>
                </c:pt>
                <c:pt idx="28">
                  <c:v>11.195800617960556</c:v>
                </c:pt>
                <c:pt idx="29">
                  <c:v>11.469993986771833</c:v>
                </c:pt>
                <c:pt idx="30" formatCode="0.0">
                  <c:v>11.390585114632525</c:v>
                </c:pt>
                <c:pt idx="31" formatCode="0.0">
                  <c:v>10.892561753547378</c:v>
                </c:pt>
                <c:pt idx="32" formatCode="0.0">
                  <c:v>10.284349872217231</c:v>
                </c:pt>
                <c:pt idx="33" formatCode="0.0">
                  <c:v>9.7338020092581026</c:v>
                </c:pt>
                <c:pt idx="34" formatCode="0.0">
                  <c:v>9.1895304073203974</c:v>
                </c:pt>
                <c:pt idx="35" formatCode="0.0">
                  <c:v>8.6276497692208025</c:v>
                </c:pt>
                <c:pt idx="36" formatCode="0.0">
                  <c:v>8.0510445815980916</c:v>
                </c:pt>
                <c:pt idx="37" formatCode="0.0">
                  <c:v>7.4924575542051368</c:v>
                </c:pt>
                <c:pt idx="38" formatCode="0.0">
                  <c:v>7.0164292528060699</c:v>
                </c:pt>
                <c:pt idx="39" formatCode="0.0">
                  <c:v>6.564891961477243</c:v>
                </c:pt>
                <c:pt idx="40" formatCode="0.0">
                  <c:v>6.1023419043550984</c:v>
                </c:pt>
                <c:pt idx="41" formatCode="0.0">
                  <c:v>5.6992968870463852</c:v>
                </c:pt>
                <c:pt idx="42" formatCode="0.0">
                  <c:v>5.3124513571168519</c:v>
                </c:pt>
                <c:pt idx="43" formatCode="0.0">
                  <c:v>4.9619834523073543</c:v>
                </c:pt>
                <c:pt idx="44" formatCode="0.0">
                  <c:v>4.6315095618576789</c:v>
                </c:pt>
                <c:pt idx="45" formatCode="0.0">
                  <c:v>4.3220538809650346</c:v>
                </c:pt>
                <c:pt idx="46" formatCode="0.0">
                  <c:v>4.0102868162188017</c:v>
                </c:pt>
                <c:pt idx="47" formatCode="0.0">
                  <c:v>3.7121598887056191</c:v>
                </c:pt>
                <c:pt idx="48" formatCode="0.0">
                  <c:v>3.4381474116021273</c:v>
                </c:pt>
                <c:pt idx="49" formatCode="0.0">
                  <c:v>3.1730805274711038</c:v>
                </c:pt>
                <c:pt idx="50" formatCode="0.0">
                  <c:v>2.9209191465107174</c:v>
                </c:pt>
                <c:pt idx="51" formatCode="0.0">
                  <c:v>2.6506651891774902</c:v>
                </c:pt>
                <c:pt idx="52" formatCode="0.0">
                  <c:v>2.4162264930550492</c:v>
                </c:pt>
                <c:pt idx="53" formatCode="0.0">
                  <c:v>2.1337293856664377</c:v>
                </c:pt>
                <c:pt idx="54" formatCode="0.0">
                  <c:v>1.8621027111866555</c:v>
                </c:pt>
                <c:pt idx="55" formatCode="0.0">
                  <c:v>1.6021815327334266</c:v>
                </c:pt>
                <c:pt idx="56" formatCode="0.0">
                  <c:v>1.2640145248824457</c:v>
                </c:pt>
                <c:pt idx="57" formatCode="0.0">
                  <c:v>0.97498457515947989</c:v>
                </c:pt>
                <c:pt idx="58" formatCode="0.0">
                  <c:v>0.72747279345665516</c:v>
                </c:pt>
                <c:pt idx="59" formatCode="0.0">
                  <c:v>0.52282558979181104</c:v>
                </c:pt>
                <c:pt idx="60" formatCode="0.0">
                  <c:v>0.36479730392402265</c:v>
                </c:pt>
              </c:numCache>
            </c:numRef>
          </c:val>
          <c:extLst>
            <c:ext xmlns:c16="http://schemas.microsoft.com/office/drawing/2014/chart" uri="{C3380CC4-5D6E-409C-BE32-E72D297353CC}">
              <c16:uniqueId val="{00000000-D0AD-4075-9F90-F27FD1B3DC0F}"/>
            </c:ext>
          </c:extLst>
        </c:ser>
        <c:ser>
          <c:idx val="1"/>
          <c:order val="1"/>
          <c:tx>
            <c:strRef>
              <c:f>'Swiss Climate Strategy'!$D$6</c:f>
              <c:strCache>
                <c:ptCount val="1"/>
                <c:pt idx="0">
                  <c:v>Transports</c:v>
                </c:pt>
              </c:strCache>
            </c:strRef>
          </c:tx>
          <c:spPr>
            <a:solidFill>
              <a:schemeClr val="accent2"/>
            </a:solidFill>
            <a:ln>
              <a:noFill/>
            </a:ln>
            <a:effectLst/>
          </c:spPr>
          <c:invertIfNegative val="0"/>
          <c:cat>
            <c:numRef>
              <c:f>'Swiss Climate Strategy'!$B$7:$B$67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'Swiss Climate Strategy'!$D$7:$D$67</c:f>
              <c:numCache>
                <c:formatCode>#\ ##0.0</c:formatCode>
                <c:ptCount val="61"/>
                <c:pt idx="0">
                  <c:v>14.676371953635769</c:v>
                </c:pt>
                <c:pt idx="1">
                  <c:v>15.174492875903393</c:v>
                </c:pt>
                <c:pt idx="2">
                  <c:v>15.501761129980201</c:v>
                </c:pt>
                <c:pt idx="3">
                  <c:v>14.432099728757557</c:v>
                </c:pt>
                <c:pt idx="4">
                  <c:v>14.619024251692455</c:v>
                </c:pt>
                <c:pt idx="5">
                  <c:v>14.30494068428178</c:v>
                </c:pt>
                <c:pt idx="6">
                  <c:v>14.368708683810713</c:v>
                </c:pt>
                <c:pt idx="7">
                  <c:v>14.925240498711442</c:v>
                </c:pt>
                <c:pt idx="8">
                  <c:v>15.134297433091467</c:v>
                </c:pt>
                <c:pt idx="9">
                  <c:v>15.743858031600093</c:v>
                </c:pt>
                <c:pt idx="10">
                  <c:v>15.977221273986018</c:v>
                </c:pt>
                <c:pt idx="11">
                  <c:v>15.676660677015185</c:v>
                </c:pt>
                <c:pt idx="12">
                  <c:v>15.599937249852537</c:v>
                </c:pt>
                <c:pt idx="13">
                  <c:v>15.764449961557405</c:v>
                </c:pt>
                <c:pt idx="14">
                  <c:v>15.796470550687312</c:v>
                </c:pt>
                <c:pt idx="15">
                  <c:v>15.858331922296555</c:v>
                </c:pt>
                <c:pt idx="16">
                  <c:v>15.975834885057543</c:v>
                </c:pt>
                <c:pt idx="17">
                  <c:v>16.300692948404599</c:v>
                </c:pt>
                <c:pt idx="18">
                  <c:v>16.651384685852303</c:v>
                </c:pt>
                <c:pt idx="19">
                  <c:v>16.446679420463212</c:v>
                </c:pt>
                <c:pt idx="20">
                  <c:v>16.336981159173657</c:v>
                </c:pt>
                <c:pt idx="21">
                  <c:v>16.15778694010536</c:v>
                </c:pt>
                <c:pt idx="22">
                  <c:v>16.275352977447742</c:v>
                </c:pt>
                <c:pt idx="23">
                  <c:v>16.18538436893148</c:v>
                </c:pt>
                <c:pt idx="24">
                  <c:v>16.078846702215905</c:v>
                </c:pt>
                <c:pt idx="25">
                  <c:v>15.343800581110377</c:v>
                </c:pt>
                <c:pt idx="26">
                  <c:v>15.17846006557243</c:v>
                </c:pt>
                <c:pt idx="27">
                  <c:v>14.916423874981829</c:v>
                </c:pt>
                <c:pt idx="28">
                  <c:v>14.918086209890715</c:v>
                </c:pt>
                <c:pt idx="29">
                  <c:v>14.932576255197484</c:v>
                </c:pt>
                <c:pt idx="30" formatCode="0.0">
                  <c:v>14.404079105705499</c:v>
                </c:pt>
                <c:pt idx="31" formatCode="0.0">
                  <c:v>14.324869262413172</c:v>
                </c:pt>
                <c:pt idx="32" formatCode="0.0">
                  <c:v>14.128691412642</c:v>
                </c:pt>
                <c:pt idx="33" formatCode="0.0">
                  <c:v>13.894462578847881</c:v>
                </c:pt>
                <c:pt idx="34" formatCode="0.0">
                  <c:v>13.624206067002184</c:v>
                </c:pt>
                <c:pt idx="35" formatCode="0.0">
                  <c:v>13.318561804755733</c:v>
                </c:pt>
                <c:pt idx="36" formatCode="0.0">
                  <c:v>13.006550261880664</c:v>
                </c:pt>
                <c:pt idx="37" formatCode="0.0">
                  <c:v>12.62983979654727</c:v>
                </c:pt>
                <c:pt idx="38" formatCode="0.0">
                  <c:v>12.223295405510612</c:v>
                </c:pt>
                <c:pt idx="39" formatCode="0.0">
                  <c:v>11.790292465522803</c:v>
                </c:pt>
                <c:pt idx="40" formatCode="0.0">
                  <c:v>11.337812408234567</c:v>
                </c:pt>
                <c:pt idx="41" formatCode="0.0">
                  <c:v>10.871560995624371</c:v>
                </c:pt>
                <c:pt idx="42" formatCode="0.0">
                  <c:v>10.394454977808195</c:v>
                </c:pt>
                <c:pt idx="43" formatCode="0.0">
                  <c:v>9.9050706703104066</c:v>
                </c:pt>
                <c:pt idx="44" formatCode="0.0">
                  <c:v>9.405743722981093</c:v>
                </c:pt>
                <c:pt idx="45" formatCode="0.0">
                  <c:v>8.8977396370678274</c:v>
                </c:pt>
                <c:pt idx="46" formatCode="0.0">
                  <c:v>8.386297275374254</c:v>
                </c:pt>
                <c:pt idx="47" formatCode="0.0">
                  <c:v>7.8502440766369208</c:v>
                </c:pt>
                <c:pt idx="48" formatCode="0.0">
                  <c:v>7.3162000241252674</c:v>
                </c:pt>
                <c:pt idx="49" formatCode="0.0">
                  <c:v>6.789036896450293</c:v>
                </c:pt>
                <c:pt idx="50" formatCode="0.0">
                  <c:v>6.2709129501867338</c:v>
                </c:pt>
                <c:pt idx="51" formatCode="0.0">
                  <c:v>5.7026955160100545</c:v>
                </c:pt>
                <c:pt idx="52" formatCode="0.0">
                  <c:v>5.1592445565913936</c:v>
                </c:pt>
                <c:pt idx="53" formatCode="0.0">
                  <c:v>4.6400769042560528</c:v>
                </c:pt>
                <c:pt idx="54" formatCode="0.0">
                  <c:v>4.1449682858148487</c:v>
                </c:pt>
                <c:pt idx="55" formatCode="0.0">
                  <c:v>3.2026345918797356</c:v>
                </c:pt>
                <c:pt idx="56" formatCode="0.0">
                  <c:v>2.3608381393531821</c:v>
                </c:pt>
                <c:pt idx="57" formatCode="0.0">
                  <c:v>1.630057378853105</c:v>
                </c:pt>
                <c:pt idx="58" formatCode="0.0">
                  <c:v>1.0058761146999879</c:v>
                </c:pt>
                <c:pt idx="59" formatCode="0.0">
                  <c:v>0.47471421898450411</c:v>
                </c:pt>
                <c:pt idx="60" formatCode="0.0">
                  <c:v>2.6855579594919368E-2</c:v>
                </c:pt>
              </c:numCache>
            </c:numRef>
          </c:val>
          <c:extLst>
            <c:ext xmlns:c16="http://schemas.microsoft.com/office/drawing/2014/chart" uri="{C3380CC4-5D6E-409C-BE32-E72D297353CC}">
              <c16:uniqueId val="{00000001-D0AD-4075-9F90-F27FD1B3DC0F}"/>
            </c:ext>
          </c:extLst>
        </c:ser>
        <c:ser>
          <c:idx val="2"/>
          <c:order val="2"/>
          <c:tx>
            <c:strRef>
              <c:f>'Swiss Climate Strategy'!$E$6</c:f>
              <c:strCache>
                <c:ptCount val="1"/>
                <c:pt idx="0">
                  <c:v>Industrie</c:v>
                </c:pt>
              </c:strCache>
            </c:strRef>
          </c:tx>
          <c:spPr>
            <a:solidFill>
              <a:schemeClr val="accent3"/>
            </a:solidFill>
            <a:ln>
              <a:noFill/>
            </a:ln>
            <a:effectLst/>
          </c:spPr>
          <c:invertIfNegative val="0"/>
          <c:cat>
            <c:numRef>
              <c:f>'Swiss Climate Strategy'!$B$7:$B$67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'Swiss Climate Strategy'!$E$7:$E$67</c:f>
              <c:numCache>
                <c:formatCode>#\ ##0.0</c:formatCode>
                <c:ptCount val="61"/>
                <c:pt idx="0">
                  <c:v>13.547158388535459</c:v>
                </c:pt>
                <c:pt idx="1">
                  <c:v>13.770043526289779</c:v>
                </c:pt>
                <c:pt idx="2">
                  <c:v>13.22941638075846</c:v>
                </c:pt>
                <c:pt idx="3">
                  <c:v>12.450475013129331</c:v>
                </c:pt>
                <c:pt idx="4">
                  <c:v>12.606203630747707</c:v>
                </c:pt>
                <c:pt idx="5">
                  <c:v>12.74776841361858</c:v>
                </c:pt>
                <c:pt idx="6">
                  <c:v>12.573806149253015</c:v>
                </c:pt>
                <c:pt idx="7">
                  <c:v>12.430277924948065</c:v>
                </c:pt>
                <c:pt idx="8">
                  <c:v>12.914913306036555</c:v>
                </c:pt>
                <c:pt idx="9">
                  <c:v>12.786334179866884</c:v>
                </c:pt>
                <c:pt idx="10">
                  <c:v>12.813644285450442</c:v>
                </c:pt>
                <c:pt idx="11">
                  <c:v>13.157243796909022</c:v>
                </c:pt>
                <c:pt idx="12">
                  <c:v>12.856036330817394</c:v>
                </c:pt>
                <c:pt idx="13">
                  <c:v>12.882462569481769</c:v>
                </c:pt>
                <c:pt idx="14">
                  <c:v>13.527853637826698</c:v>
                </c:pt>
                <c:pt idx="15">
                  <c:v>13.75232545881528</c:v>
                </c:pt>
                <c:pt idx="16">
                  <c:v>13.961231431984324</c:v>
                </c:pt>
                <c:pt idx="17">
                  <c:v>13.558034880592055</c:v>
                </c:pt>
                <c:pt idx="18">
                  <c:v>13.697004671685903</c:v>
                </c:pt>
                <c:pt idx="19">
                  <c:v>13.019740779165144</c:v>
                </c:pt>
                <c:pt idx="20">
                  <c:v>13.503461464105689</c:v>
                </c:pt>
                <c:pt idx="21">
                  <c:v>12.823490452376248</c:v>
                </c:pt>
                <c:pt idx="22">
                  <c:v>12.799366197998545</c:v>
                </c:pt>
                <c:pt idx="23">
                  <c:v>12.940303761682321</c:v>
                </c:pt>
                <c:pt idx="24">
                  <c:v>12.320023027413992</c:v>
                </c:pt>
                <c:pt idx="25">
                  <c:v>11.773388788662759</c:v>
                </c:pt>
                <c:pt idx="26">
                  <c:v>11.72955356825409</c:v>
                </c:pt>
                <c:pt idx="27">
                  <c:v>11.770970304942075</c:v>
                </c:pt>
                <c:pt idx="28">
                  <c:v>11.507840941464931</c:v>
                </c:pt>
                <c:pt idx="29">
                  <c:v>11.072146466152489</c:v>
                </c:pt>
                <c:pt idx="30" formatCode="0.0">
                  <c:v>11.335581307546121</c:v>
                </c:pt>
                <c:pt idx="31" formatCode="0.0">
                  <c:v>11.162732673123962</c:v>
                </c:pt>
                <c:pt idx="32" formatCode="0.0">
                  <c:v>11.002745887227482</c:v>
                </c:pt>
                <c:pt idx="33" formatCode="0.0">
                  <c:v>10.845369626110791</c:v>
                </c:pt>
                <c:pt idx="34" formatCode="0.0">
                  <c:v>10.681629175665622</c:v>
                </c:pt>
                <c:pt idx="35" formatCode="0.0">
                  <c:v>9.8601439742160615</c:v>
                </c:pt>
                <c:pt idx="36" formatCode="0.0">
                  <c:v>9.5717152472893314</c:v>
                </c:pt>
                <c:pt idx="37" formatCode="0.0">
                  <c:v>9.3259817677003234</c:v>
                </c:pt>
                <c:pt idx="38" formatCode="0.0">
                  <c:v>9.1184949580422252</c:v>
                </c:pt>
                <c:pt idx="39" formatCode="0.0">
                  <c:v>8.89643411745927</c:v>
                </c:pt>
                <c:pt idx="40" formatCode="0.0">
                  <c:v>8.6794757709345625</c:v>
                </c:pt>
                <c:pt idx="41" formatCode="0.0">
                  <c:v>8.4540069591384963</c:v>
                </c:pt>
                <c:pt idx="42" formatCode="0.0">
                  <c:v>8.1685381556665391</c:v>
                </c:pt>
                <c:pt idx="43" formatCode="0.0">
                  <c:v>7.9411032410324101</c:v>
                </c:pt>
                <c:pt idx="44" formatCode="0.0">
                  <c:v>7.7287045860842323</c:v>
                </c:pt>
                <c:pt idx="45" formatCode="0.0">
                  <c:v>7.4507207039800036</c:v>
                </c:pt>
                <c:pt idx="46" formatCode="0.0">
                  <c:v>7.2018689874167272</c:v>
                </c:pt>
                <c:pt idx="47" formatCode="0.0">
                  <c:v>6.9715713710913541</c:v>
                </c:pt>
                <c:pt idx="48" formatCode="0.0">
                  <c:v>6.7249513976027746</c:v>
                </c:pt>
                <c:pt idx="49" formatCode="0.0">
                  <c:v>6.4810670007075393</c:v>
                </c:pt>
                <c:pt idx="50" formatCode="0.0">
                  <c:v>6.2344669284528837</c:v>
                </c:pt>
                <c:pt idx="51" formatCode="0.0">
                  <c:v>5.9851803250524309</c:v>
                </c:pt>
                <c:pt idx="52" formatCode="0.0">
                  <c:v>5.7712086748546341</c:v>
                </c:pt>
                <c:pt idx="53" formatCode="0.0">
                  <c:v>5.5635094983538824</c:v>
                </c:pt>
                <c:pt idx="54" formatCode="0.0">
                  <c:v>5.3849021889346078</c:v>
                </c:pt>
                <c:pt idx="55" formatCode="0.0">
                  <c:v>5.1678885794969718</c:v>
                </c:pt>
                <c:pt idx="56" formatCode="0.0">
                  <c:v>4.4991050909737318</c:v>
                </c:pt>
                <c:pt idx="57" formatCode="0.0">
                  <c:v>4.2834098023758642</c:v>
                </c:pt>
                <c:pt idx="58" formatCode="0.0">
                  <c:v>4.0851841940408011</c:v>
                </c:pt>
                <c:pt idx="59" formatCode="0.0">
                  <c:v>3.8986854779441953</c:v>
                </c:pt>
                <c:pt idx="60" formatCode="0.0">
                  <c:v>3.7223893476473737</c:v>
                </c:pt>
              </c:numCache>
            </c:numRef>
          </c:val>
          <c:extLst>
            <c:ext xmlns:c16="http://schemas.microsoft.com/office/drawing/2014/chart" uri="{C3380CC4-5D6E-409C-BE32-E72D297353CC}">
              <c16:uniqueId val="{00000002-D0AD-4075-9F90-F27FD1B3DC0F}"/>
            </c:ext>
          </c:extLst>
        </c:ser>
        <c:ser>
          <c:idx val="3"/>
          <c:order val="3"/>
          <c:tx>
            <c:strRef>
              <c:f>'Swiss Climate Strategy'!$F$6</c:f>
              <c:strCache>
                <c:ptCount val="1"/>
                <c:pt idx="0">
                  <c:v>Autres</c:v>
                </c:pt>
              </c:strCache>
            </c:strRef>
          </c:tx>
          <c:spPr>
            <a:solidFill>
              <a:schemeClr val="accent4"/>
            </a:solidFill>
            <a:ln>
              <a:noFill/>
            </a:ln>
            <a:effectLst/>
          </c:spPr>
          <c:invertIfNegative val="0"/>
          <c:cat>
            <c:numRef>
              <c:f>'Swiss Climate Strategy'!$B$7:$B$67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'Swiss Climate Strategy'!$F$7:$F$67</c:f>
              <c:numCache>
                <c:formatCode>#\ ##0.0</c:formatCode>
                <c:ptCount val="61"/>
                <c:pt idx="0">
                  <c:v>9.2350523332430559</c:v>
                </c:pt>
                <c:pt idx="1">
                  <c:v>9.0060501281598579</c:v>
                </c:pt>
                <c:pt idx="2">
                  <c:v>8.8906619759232175</c:v>
                </c:pt>
                <c:pt idx="3">
                  <c:v>8.8431310278765825</c:v>
                </c:pt>
                <c:pt idx="4">
                  <c:v>8.7428417151373061</c:v>
                </c:pt>
                <c:pt idx="5">
                  <c:v>8.762715945124059</c:v>
                </c:pt>
                <c:pt idx="6">
                  <c:v>8.6005862687267136</c:v>
                </c:pt>
                <c:pt idx="7">
                  <c:v>8.4702128581906422</c:v>
                </c:pt>
                <c:pt idx="8">
                  <c:v>8.5063328195422692</c:v>
                </c:pt>
                <c:pt idx="9">
                  <c:v>8.465149323551076</c:v>
                </c:pt>
                <c:pt idx="10">
                  <c:v>8.7051064463299408</c:v>
                </c:pt>
                <c:pt idx="11">
                  <c:v>8.8152466202098303</c:v>
                </c:pt>
                <c:pt idx="12">
                  <c:v>8.7804988457151456</c:v>
                </c:pt>
                <c:pt idx="13">
                  <c:v>8.6014906762706858</c:v>
                </c:pt>
                <c:pt idx="14">
                  <c:v>8.6528515170600446</c:v>
                </c:pt>
                <c:pt idx="15">
                  <c:v>8.8451024364356154</c:v>
                </c:pt>
                <c:pt idx="16">
                  <c:v>8.9725487180804748</c:v>
                </c:pt>
                <c:pt idx="17">
                  <c:v>8.9961519847166578</c:v>
                </c:pt>
                <c:pt idx="18">
                  <c:v>8.9995520150357891</c:v>
                </c:pt>
                <c:pt idx="19">
                  <c:v>8.8585946071003008</c:v>
                </c:pt>
                <c:pt idx="20">
                  <c:v>8.9428268157048283</c:v>
                </c:pt>
                <c:pt idx="21">
                  <c:v>8.8521553128613562</c:v>
                </c:pt>
                <c:pt idx="22">
                  <c:v>8.946510245576679</c:v>
                </c:pt>
                <c:pt idx="23">
                  <c:v>8.751802946952651</c:v>
                </c:pt>
                <c:pt idx="24">
                  <c:v>8.9047086596435232</c:v>
                </c:pt>
                <c:pt idx="25">
                  <c:v>8.8693235183848707</c:v>
                </c:pt>
                <c:pt idx="26">
                  <c:v>8.9233048697575459</c:v>
                </c:pt>
                <c:pt idx="27">
                  <c:v>8.9118997750945734</c:v>
                </c:pt>
                <c:pt idx="28">
                  <c:v>8.795058739939595</c:v>
                </c:pt>
                <c:pt idx="29">
                  <c:v>8.9072031489603116</c:v>
                </c:pt>
                <c:pt idx="30" formatCode="0.0">
                  <c:v>8.8647186040830626</c:v>
                </c:pt>
                <c:pt idx="31" formatCode="0.0">
                  <c:v>8.8162473153813092</c:v>
                </c:pt>
                <c:pt idx="32" formatCode="0.0">
                  <c:v>8.7686382523980289</c:v>
                </c:pt>
                <c:pt idx="33" formatCode="0.0">
                  <c:v>8.7218206962617408</c:v>
                </c:pt>
                <c:pt idx="34" formatCode="0.0">
                  <c:v>8.6757416340801363</c:v>
                </c:pt>
                <c:pt idx="35" formatCode="0.0">
                  <c:v>8.6303446597445586</c:v>
                </c:pt>
                <c:pt idx="36" formatCode="0.0">
                  <c:v>8.5865083520156364</c:v>
                </c:pt>
                <c:pt idx="37" formatCode="0.0">
                  <c:v>8.543186197627044</c:v>
                </c:pt>
                <c:pt idx="38" formatCode="0.0">
                  <c:v>8.5003453645703644</c:v>
                </c:pt>
                <c:pt idx="39" formatCode="0.0">
                  <c:v>8.4579587662480016</c:v>
                </c:pt>
                <c:pt idx="40" formatCode="0.0">
                  <c:v>8.4160007642378698</c:v>
                </c:pt>
                <c:pt idx="41" formatCode="0.0">
                  <c:v>8.3746044345342732</c:v>
                </c:pt>
                <c:pt idx="42" formatCode="0.0">
                  <c:v>8.3334677178885261</c:v>
                </c:pt>
                <c:pt idx="43" formatCode="0.0">
                  <c:v>8.2925377395650681</c:v>
                </c:pt>
                <c:pt idx="44" formatCode="0.0">
                  <c:v>8.2517198736725028</c:v>
                </c:pt>
                <c:pt idx="45" formatCode="0.0">
                  <c:v>8.2110302291520014</c:v>
                </c:pt>
                <c:pt idx="46" formatCode="0.0">
                  <c:v>8.1703205275726631</c:v>
                </c:pt>
                <c:pt idx="47" formatCode="0.0">
                  <c:v>8.1298017233554472</c:v>
                </c:pt>
                <c:pt idx="48" formatCode="0.0">
                  <c:v>8.0894042854434201</c:v>
                </c:pt>
                <c:pt idx="49" formatCode="0.0">
                  <c:v>8.0491594614387179</c:v>
                </c:pt>
                <c:pt idx="50" formatCode="0.0">
                  <c:v>8.0090943607334459</c:v>
                </c:pt>
                <c:pt idx="51" formatCode="0.0">
                  <c:v>7.9692366916327959</c:v>
                </c:pt>
                <c:pt idx="52" formatCode="0.0">
                  <c:v>7.9295842813652682</c:v>
                </c:pt>
                <c:pt idx="53" formatCode="0.0">
                  <c:v>7.8901348081341807</c:v>
                </c:pt>
                <c:pt idx="54" formatCode="0.0">
                  <c:v>7.8508770768461105</c:v>
                </c:pt>
                <c:pt idx="55" formatCode="0.0">
                  <c:v>7.8118077250814482</c:v>
                </c:pt>
                <c:pt idx="56" formatCode="0.0">
                  <c:v>7.7729193411314839</c:v>
                </c:pt>
                <c:pt idx="57" formatCode="0.0">
                  <c:v>7.7342093716978804</c:v>
                </c:pt>
                <c:pt idx="58" formatCode="0.0">
                  <c:v>7.6956689392790185</c:v>
                </c:pt>
                <c:pt idx="59" formatCode="0.0">
                  <c:v>7.6572897666784554</c:v>
                </c:pt>
                <c:pt idx="60" formatCode="0.0">
                  <c:v>7.6190657385992733</c:v>
                </c:pt>
              </c:numCache>
            </c:numRef>
          </c:val>
          <c:extLst>
            <c:ext xmlns:c16="http://schemas.microsoft.com/office/drawing/2014/chart" uri="{C3380CC4-5D6E-409C-BE32-E72D297353CC}">
              <c16:uniqueId val="{00000003-D0AD-4075-9F90-F27FD1B3DC0F}"/>
            </c:ext>
          </c:extLst>
        </c:ser>
        <c:ser>
          <c:idx val="4"/>
          <c:order val="4"/>
          <c:tx>
            <c:strRef>
              <c:f>'Swiss Climate Strategy'!$G$6</c:f>
              <c:strCache>
                <c:ptCount val="1"/>
                <c:pt idx="0">
                  <c:v>NET Etranger</c:v>
                </c:pt>
              </c:strCache>
            </c:strRef>
          </c:tx>
          <c:spPr>
            <a:solidFill>
              <a:schemeClr val="accent5"/>
            </a:solidFill>
            <a:ln>
              <a:noFill/>
            </a:ln>
            <a:effectLst/>
          </c:spPr>
          <c:invertIfNegative val="0"/>
          <c:val>
            <c:numRef>
              <c:f>'Swiss Climate Strategy'!$G$7:$G$67</c:f>
              <c:numCache>
                <c:formatCode>General</c:formatCode>
                <c:ptCount val="61"/>
                <c:pt idx="51" formatCode="#\ ##0.0">
                  <c:v>-0.31832701387902151</c:v>
                </c:pt>
                <c:pt idx="52" formatCode="#\ ##0.0">
                  <c:v>-0.4396442158120889</c:v>
                </c:pt>
                <c:pt idx="53" formatCode="#\ ##0.0">
                  <c:v>-0.64057787712155057</c:v>
                </c:pt>
                <c:pt idx="54" formatCode="#\ ##0.0">
                  <c:v>-0.88112926603228781</c:v>
                </c:pt>
                <c:pt idx="55" formatCode="#\ ##0.0">
                  <c:v>-1.1656210414801247</c:v>
                </c:pt>
                <c:pt idx="56" formatCode="#\ ##0.0">
                  <c:v>-1.4998490543714387</c:v>
                </c:pt>
                <c:pt idx="57" formatCode="#\ ##0.0">
                  <c:v>-2.0527828991623536</c:v>
                </c:pt>
                <c:pt idx="58" formatCode="#\ ##0.0">
                  <c:v>-2.7422775901023781</c:v>
                </c:pt>
                <c:pt idx="59" formatCode="#\ ##0.0">
                  <c:v>-3.3521738009986004</c:v>
                </c:pt>
                <c:pt idx="60" formatCode="#\ ##0.0">
                  <c:v>-4.7377767183828299</c:v>
                </c:pt>
              </c:numCache>
            </c:numRef>
          </c:val>
          <c:extLst>
            <c:ext xmlns:c16="http://schemas.microsoft.com/office/drawing/2014/chart" uri="{C3380CC4-5D6E-409C-BE32-E72D297353CC}">
              <c16:uniqueId val="{00000005-D0AD-4075-9F90-F27FD1B3DC0F}"/>
            </c:ext>
          </c:extLst>
        </c:ser>
        <c:ser>
          <c:idx val="5"/>
          <c:order val="5"/>
          <c:tx>
            <c:strRef>
              <c:f>'Swiss Climate Strategy'!$H$6</c:f>
              <c:strCache>
                <c:ptCount val="1"/>
                <c:pt idx="0">
                  <c:v>NET/CCS Territoire CH</c:v>
                </c:pt>
              </c:strCache>
            </c:strRef>
          </c:tx>
          <c:spPr>
            <a:solidFill>
              <a:schemeClr val="accent6"/>
            </a:solidFill>
            <a:ln>
              <a:noFill/>
            </a:ln>
            <a:effectLst/>
          </c:spPr>
          <c:invertIfNegative val="0"/>
          <c:val>
            <c:numRef>
              <c:f>'Swiss Climate Strategy'!$H$7:$H$67</c:f>
              <c:numCache>
                <c:formatCode>General</c:formatCode>
                <c:ptCount val="61"/>
                <c:pt idx="43" formatCode="#\ ##0.0">
                  <c:v>-0.24308042749721581</c:v>
                </c:pt>
                <c:pt idx="44" formatCode="#\ ##0.0">
                  <c:v>-0.34708336107240451</c:v>
                </c:pt>
                <c:pt idx="45" formatCode="#\ ##0.0">
                  <c:v>-0.41024212788411291</c:v>
                </c:pt>
                <c:pt idx="46" formatCode="#\ ##0.0">
                  <c:v>-0.80273167109954868</c:v>
                </c:pt>
                <c:pt idx="47" formatCode="#\ ##0.0">
                  <c:v>-0.96003406675369518</c:v>
                </c:pt>
                <c:pt idx="48" formatCode="#\ ##0.0">
                  <c:v>-1.1771687971106104</c:v>
                </c:pt>
                <c:pt idx="49" formatCode="#\ ##0.0">
                  <c:v>-1.6939520579252529</c:v>
                </c:pt>
                <c:pt idx="50" formatCode="#\ ##0.0">
                  <c:v>-1.690448871227062</c:v>
                </c:pt>
                <c:pt idx="51" formatCode="#\ ##0.0">
                  <c:v>-1.7909355689339197</c:v>
                </c:pt>
                <c:pt idx="52" formatCode="#\ ##0.0">
                  <c:v>-2.9972014866588004</c:v>
                </c:pt>
                <c:pt idx="53" formatCode="#\ ##0.0">
                  <c:v>-3.0459184021249515</c:v>
                </c:pt>
                <c:pt idx="54" formatCode="#\ ##0.0">
                  <c:v>-3.9976715418858024</c:v>
                </c:pt>
                <c:pt idx="55" formatCode="#\ ##0.0">
                  <c:v>-4.7762628676116528</c:v>
                </c:pt>
                <c:pt idx="56" formatCode="#\ ##0.0">
                  <c:v>-5.1014936056855547</c:v>
                </c:pt>
                <c:pt idx="57" formatCode="#\ ##0.0">
                  <c:v>-5.0926550804488215</c:v>
                </c:pt>
                <c:pt idx="58" formatCode="#\ ##0.0">
                  <c:v>-5.3034875138790749</c:v>
                </c:pt>
                <c:pt idx="59" formatCode="#\ ##0.0">
                  <c:v>-6.082456662333489</c:v>
                </c:pt>
                <c:pt idx="60" formatCode="#\ ##0.0">
                  <c:v>-7.0157158003162579</c:v>
                </c:pt>
              </c:numCache>
            </c:numRef>
          </c:val>
          <c:extLst>
            <c:ext xmlns:c16="http://schemas.microsoft.com/office/drawing/2014/chart" uri="{C3380CC4-5D6E-409C-BE32-E72D297353CC}">
              <c16:uniqueId val="{00000006-D0AD-4075-9F90-F27FD1B3DC0F}"/>
            </c:ext>
          </c:extLst>
        </c:ser>
        <c:dLbls>
          <c:showLegendKey val="0"/>
          <c:showVal val="0"/>
          <c:showCatName val="0"/>
          <c:showSerName val="0"/>
          <c:showPercent val="0"/>
          <c:showBubbleSize val="0"/>
        </c:dLbls>
        <c:gapWidth val="150"/>
        <c:overlap val="100"/>
        <c:axId val="218428784"/>
        <c:axId val="218430448"/>
      </c:barChart>
      <c:lineChart>
        <c:grouping val="standard"/>
        <c:varyColors val="0"/>
        <c:ser>
          <c:idx val="6"/>
          <c:order val="6"/>
          <c:tx>
            <c:strRef>
              <c:f>'Swiss Climate Strategy'!$I$6</c:f>
              <c:strCache>
                <c:ptCount val="1"/>
                <c:pt idx="0">
                  <c:v>Balance annuelle</c:v>
                </c:pt>
              </c:strCache>
            </c:strRef>
          </c:tx>
          <c:spPr>
            <a:ln w="28575" cap="rnd">
              <a:solidFill>
                <a:schemeClr val="accent1">
                  <a:lumMod val="60000"/>
                </a:schemeClr>
              </a:solidFill>
              <a:round/>
            </a:ln>
            <a:effectLst/>
          </c:spPr>
          <c:marker>
            <c:symbol val="none"/>
          </c:marker>
          <c:val>
            <c:numRef>
              <c:f>'Swiss Climate Strategy'!$I$7:$I$67</c:f>
              <c:numCache>
                <c:formatCode>#\ ##0.0</c:formatCode>
                <c:ptCount val="61"/>
                <c:pt idx="30">
                  <c:v>45.994964131967208</c:v>
                </c:pt>
                <c:pt idx="31">
                  <c:v>45.196411004465823</c:v>
                </c:pt>
                <c:pt idx="32">
                  <c:v>44.184425424484743</c:v>
                </c:pt>
                <c:pt idx="33">
                  <c:v>43.195454910478517</c:v>
                </c:pt>
                <c:pt idx="34">
                  <c:v>42.171107284068341</c:v>
                </c:pt>
                <c:pt idx="35">
                  <c:v>40.43670020793715</c:v>
                </c:pt>
                <c:pt idx="36">
                  <c:v>39.215818442783721</c:v>
                </c:pt>
                <c:pt idx="37">
                  <c:v>37.991465316079768</c:v>
                </c:pt>
                <c:pt idx="38">
                  <c:v>36.858564980929273</c:v>
                </c:pt>
                <c:pt idx="39">
                  <c:v>35.709577310707317</c:v>
                </c:pt>
                <c:pt idx="40">
                  <c:v>34.5356308477621</c:v>
                </c:pt>
                <c:pt idx="41">
                  <c:v>33.399469276343524</c:v>
                </c:pt>
                <c:pt idx="42">
                  <c:v>32.208912208480115</c:v>
                </c:pt>
                <c:pt idx="43">
                  <c:v>30.857614675718022</c:v>
                </c:pt>
                <c:pt idx="44">
                  <c:v>29.670594383523103</c:v>
                </c:pt>
                <c:pt idx="45">
                  <c:v>28.471302323280753</c:v>
                </c:pt>
                <c:pt idx="46">
                  <c:v>26.966041935482899</c:v>
                </c:pt>
                <c:pt idx="47">
                  <c:v>25.703742993035643</c:v>
                </c:pt>
                <c:pt idx="48">
                  <c:v>24.391534321662981</c:v>
                </c:pt>
                <c:pt idx="49">
                  <c:v>22.7983918281424</c:v>
                </c:pt>
                <c:pt idx="50">
                  <c:v>21.744944514656719</c:v>
                </c:pt>
                <c:pt idx="51">
                  <c:v>20.198515139059829</c:v>
                </c:pt>
                <c:pt idx="52">
                  <c:v>17.839418303395455</c:v>
                </c:pt>
                <c:pt idx="53">
                  <c:v>16.540954317164051</c:v>
                </c:pt>
                <c:pt idx="54">
                  <c:v>14.364049454864134</c:v>
                </c:pt>
                <c:pt idx="55">
                  <c:v>11.842628520099804</c:v>
                </c:pt>
                <c:pt idx="56">
                  <c:v>9.2955344362838517</c:v>
                </c:pt>
                <c:pt idx="57">
                  <c:v>7.4772231484751526</c:v>
                </c:pt>
                <c:pt idx="58">
                  <c:v>5.4684369374950101</c:v>
                </c:pt>
                <c:pt idx="59">
                  <c:v>3.1188845900668767</c:v>
                </c:pt>
                <c:pt idx="60">
                  <c:v>-2.0384548933497726E-2</c:v>
                </c:pt>
              </c:numCache>
            </c:numRef>
          </c:val>
          <c:smooth val="0"/>
          <c:extLst>
            <c:ext xmlns:c16="http://schemas.microsoft.com/office/drawing/2014/chart" uri="{C3380CC4-5D6E-409C-BE32-E72D297353CC}">
              <c16:uniqueId val="{00000007-D0AD-4075-9F90-F27FD1B3DC0F}"/>
            </c:ext>
          </c:extLst>
        </c:ser>
        <c:dLbls>
          <c:showLegendKey val="0"/>
          <c:showVal val="0"/>
          <c:showCatName val="0"/>
          <c:showSerName val="0"/>
          <c:showPercent val="0"/>
          <c:showBubbleSize val="0"/>
        </c:dLbls>
        <c:marker val="1"/>
        <c:smooth val="0"/>
        <c:axId val="218428784"/>
        <c:axId val="218430448"/>
      </c:lineChart>
      <c:catAx>
        <c:axId val="2184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30448"/>
        <c:crosses val="autoZero"/>
        <c:auto val="1"/>
        <c:lblAlgn val="ctr"/>
        <c:lblOffset val="100"/>
        <c:noMultiLvlLbl val="0"/>
      </c:catAx>
      <c:valAx>
        <c:axId val="21843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Million tonnes of 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2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Emissions GES par secteur </a:t>
            </a:r>
            <a:r>
              <a:rPr lang="fr-CH" baseline="0"/>
              <a:t>2020-2050 prévisions selon EP2050+ ¦ 2050-2100 linéaire</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'Swiss Climate Strategy'!$C$6</c:f>
              <c:strCache>
                <c:ptCount val="1"/>
                <c:pt idx="0">
                  <c:v>Batiments</c:v>
                </c:pt>
              </c:strCache>
            </c:strRef>
          </c:tx>
          <c:spPr>
            <a:solidFill>
              <a:schemeClr val="accent1"/>
            </a:solidFill>
            <a:ln>
              <a:noFill/>
            </a:ln>
            <a:effectLst/>
          </c:spPr>
          <c:invertIfNegative val="0"/>
          <c:cat>
            <c:numRef>
              <c:f>'Swiss Climate Strategy'!$B$37:$B$117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'Swiss Climate Strategy'!$C$37:$C$117</c:f>
              <c:numCache>
                <c:formatCode>0.0</c:formatCode>
                <c:ptCount val="81"/>
                <c:pt idx="0">
                  <c:v>11.390585114632525</c:v>
                </c:pt>
                <c:pt idx="1">
                  <c:v>10.892561753547378</c:v>
                </c:pt>
                <c:pt idx="2">
                  <c:v>10.284349872217231</c:v>
                </c:pt>
                <c:pt idx="3">
                  <c:v>9.7338020092581026</c:v>
                </c:pt>
                <c:pt idx="4">
                  <c:v>9.1895304073203974</c:v>
                </c:pt>
                <c:pt idx="5">
                  <c:v>8.6276497692208025</c:v>
                </c:pt>
                <c:pt idx="6">
                  <c:v>8.0510445815980916</c:v>
                </c:pt>
                <c:pt idx="7">
                  <c:v>7.4924575542051368</c:v>
                </c:pt>
                <c:pt idx="8">
                  <c:v>7.0164292528060699</c:v>
                </c:pt>
                <c:pt idx="9">
                  <c:v>6.564891961477243</c:v>
                </c:pt>
                <c:pt idx="10">
                  <c:v>6.1023419043550984</c:v>
                </c:pt>
                <c:pt idx="11">
                  <c:v>5.6992968870463852</c:v>
                </c:pt>
                <c:pt idx="12">
                  <c:v>5.3124513571168519</c:v>
                </c:pt>
                <c:pt idx="13">
                  <c:v>4.9619834523073543</c:v>
                </c:pt>
                <c:pt idx="14">
                  <c:v>4.6315095618576789</c:v>
                </c:pt>
                <c:pt idx="15">
                  <c:v>4.3220538809650346</c:v>
                </c:pt>
                <c:pt idx="16">
                  <c:v>4.0102868162188017</c:v>
                </c:pt>
                <c:pt idx="17">
                  <c:v>3.7121598887056191</c:v>
                </c:pt>
                <c:pt idx="18">
                  <c:v>3.4381474116021273</c:v>
                </c:pt>
                <c:pt idx="19">
                  <c:v>3.1730805274711038</c:v>
                </c:pt>
                <c:pt idx="20">
                  <c:v>2.9209191465107174</c:v>
                </c:pt>
                <c:pt idx="21">
                  <c:v>2.6506651891774902</c:v>
                </c:pt>
                <c:pt idx="22">
                  <c:v>2.4162264930550492</c:v>
                </c:pt>
                <c:pt idx="23">
                  <c:v>2.1337293856664377</c:v>
                </c:pt>
                <c:pt idx="24">
                  <c:v>1.8621027111866555</c:v>
                </c:pt>
                <c:pt idx="25">
                  <c:v>1.6021815327334266</c:v>
                </c:pt>
                <c:pt idx="26">
                  <c:v>1.2640145248824457</c:v>
                </c:pt>
                <c:pt idx="27">
                  <c:v>0.97498457515947989</c:v>
                </c:pt>
                <c:pt idx="28">
                  <c:v>0.72747279345665516</c:v>
                </c:pt>
                <c:pt idx="29">
                  <c:v>0.52282558979181104</c:v>
                </c:pt>
                <c:pt idx="30">
                  <c:v>0.36479730392402265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BBBF-4508-AB19-F2D579378BCA}"/>
            </c:ext>
          </c:extLst>
        </c:ser>
        <c:ser>
          <c:idx val="1"/>
          <c:order val="1"/>
          <c:tx>
            <c:strRef>
              <c:f>'Swiss Climate Strategy'!$D$6</c:f>
              <c:strCache>
                <c:ptCount val="1"/>
                <c:pt idx="0">
                  <c:v>Transports</c:v>
                </c:pt>
              </c:strCache>
            </c:strRef>
          </c:tx>
          <c:spPr>
            <a:solidFill>
              <a:schemeClr val="accent2"/>
            </a:solidFill>
            <a:ln>
              <a:noFill/>
            </a:ln>
            <a:effectLst/>
          </c:spPr>
          <c:invertIfNegative val="0"/>
          <c:cat>
            <c:numRef>
              <c:f>'Swiss Climate Strategy'!$B$37:$B$117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'Swiss Climate Strategy'!$D$37:$D$117</c:f>
              <c:numCache>
                <c:formatCode>0.0</c:formatCode>
                <c:ptCount val="81"/>
                <c:pt idx="0">
                  <c:v>14.404079105705499</c:v>
                </c:pt>
                <c:pt idx="1">
                  <c:v>14.324869262413172</c:v>
                </c:pt>
                <c:pt idx="2">
                  <c:v>14.128691412642</c:v>
                </c:pt>
                <c:pt idx="3">
                  <c:v>13.894462578847881</c:v>
                </c:pt>
                <c:pt idx="4">
                  <c:v>13.624206067002184</c:v>
                </c:pt>
                <c:pt idx="5">
                  <c:v>13.318561804755733</c:v>
                </c:pt>
                <c:pt idx="6">
                  <c:v>13.006550261880664</c:v>
                </c:pt>
                <c:pt idx="7">
                  <c:v>12.62983979654727</c:v>
                </c:pt>
                <c:pt idx="8">
                  <c:v>12.223295405510612</c:v>
                </c:pt>
                <c:pt idx="9">
                  <c:v>11.790292465522803</c:v>
                </c:pt>
                <c:pt idx="10">
                  <c:v>11.337812408234567</c:v>
                </c:pt>
                <c:pt idx="11">
                  <c:v>10.871560995624371</c:v>
                </c:pt>
                <c:pt idx="12">
                  <c:v>10.394454977808195</c:v>
                </c:pt>
                <c:pt idx="13">
                  <c:v>9.9050706703104066</c:v>
                </c:pt>
                <c:pt idx="14">
                  <c:v>9.405743722981093</c:v>
                </c:pt>
                <c:pt idx="15">
                  <c:v>8.8977396370678274</c:v>
                </c:pt>
                <c:pt idx="16">
                  <c:v>8.386297275374254</c:v>
                </c:pt>
                <c:pt idx="17">
                  <c:v>7.8502440766369208</c:v>
                </c:pt>
                <c:pt idx="18">
                  <c:v>7.3162000241252674</c:v>
                </c:pt>
                <c:pt idx="19">
                  <c:v>6.789036896450293</c:v>
                </c:pt>
                <c:pt idx="20">
                  <c:v>6.2709129501867338</c:v>
                </c:pt>
                <c:pt idx="21">
                  <c:v>5.7026955160100545</c:v>
                </c:pt>
                <c:pt idx="22">
                  <c:v>5.1592445565913936</c:v>
                </c:pt>
                <c:pt idx="23">
                  <c:v>4.6400769042560528</c:v>
                </c:pt>
                <c:pt idx="24">
                  <c:v>4.1449682858148487</c:v>
                </c:pt>
                <c:pt idx="25">
                  <c:v>3.2026345918797356</c:v>
                </c:pt>
                <c:pt idx="26">
                  <c:v>2.3608381393531821</c:v>
                </c:pt>
                <c:pt idx="27">
                  <c:v>1.630057378853105</c:v>
                </c:pt>
                <c:pt idx="28">
                  <c:v>1.0058761146999879</c:v>
                </c:pt>
                <c:pt idx="29">
                  <c:v>0.47471421898450411</c:v>
                </c:pt>
                <c:pt idx="30">
                  <c:v>2.6855579594919368E-2</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BBBF-4508-AB19-F2D579378BCA}"/>
            </c:ext>
          </c:extLst>
        </c:ser>
        <c:ser>
          <c:idx val="2"/>
          <c:order val="2"/>
          <c:tx>
            <c:strRef>
              <c:f>'Swiss Climate Strategy'!$E$6</c:f>
              <c:strCache>
                <c:ptCount val="1"/>
                <c:pt idx="0">
                  <c:v>Industrie</c:v>
                </c:pt>
              </c:strCache>
            </c:strRef>
          </c:tx>
          <c:spPr>
            <a:solidFill>
              <a:schemeClr val="accent3"/>
            </a:solidFill>
            <a:ln>
              <a:noFill/>
            </a:ln>
            <a:effectLst/>
          </c:spPr>
          <c:invertIfNegative val="0"/>
          <c:cat>
            <c:numRef>
              <c:f>'Swiss Climate Strategy'!$B$37:$B$117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'Swiss Climate Strategy'!$E$37:$E$117</c:f>
              <c:numCache>
                <c:formatCode>0.0</c:formatCode>
                <c:ptCount val="81"/>
                <c:pt idx="0">
                  <c:v>11.335581307546121</c:v>
                </c:pt>
                <c:pt idx="1">
                  <c:v>11.162732673123962</c:v>
                </c:pt>
                <c:pt idx="2">
                  <c:v>11.002745887227482</c:v>
                </c:pt>
                <c:pt idx="3">
                  <c:v>10.845369626110791</c:v>
                </c:pt>
                <c:pt idx="4">
                  <c:v>10.681629175665622</c:v>
                </c:pt>
                <c:pt idx="5">
                  <c:v>9.8601439742160615</c:v>
                </c:pt>
                <c:pt idx="6">
                  <c:v>9.5717152472893314</c:v>
                </c:pt>
                <c:pt idx="7">
                  <c:v>9.3259817677003234</c:v>
                </c:pt>
                <c:pt idx="8">
                  <c:v>9.1184949580422252</c:v>
                </c:pt>
                <c:pt idx="9">
                  <c:v>8.89643411745927</c:v>
                </c:pt>
                <c:pt idx="10">
                  <c:v>8.6794757709345625</c:v>
                </c:pt>
                <c:pt idx="11">
                  <c:v>8.4540069591384963</c:v>
                </c:pt>
                <c:pt idx="12">
                  <c:v>8.1685381556665391</c:v>
                </c:pt>
                <c:pt idx="13">
                  <c:v>7.9411032410324101</c:v>
                </c:pt>
                <c:pt idx="14">
                  <c:v>7.7287045860842323</c:v>
                </c:pt>
                <c:pt idx="15">
                  <c:v>7.4507207039800036</c:v>
                </c:pt>
                <c:pt idx="16">
                  <c:v>7.2018689874167272</c:v>
                </c:pt>
                <c:pt idx="17">
                  <c:v>6.9715713710913541</c:v>
                </c:pt>
                <c:pt idx="18">
                  <c:v>6.7249513976027746</c:v>
                </c:pt>
                <c:pt idx="19">
                  <c:v>6.4810670007075393</c:v>
                </c:pt>
                <c:pt idx="20">
                  <c:v>6.2344669284528837</c:v>
                </c:pt>
                <c:pt idx="21">
                  <c:v>5.9851803250524309</c:v>
                </c:pt>
                <c:pt idx="22">
                  <c:v>5.7712086748546341</c:v>
                </c:pt>
                <c:pt idx="23">
                  <c:v>5.5635094983538824</c:v>
                </c:pt>
                <c:pt idx="24">
                  <c:v>5.3849021889346078</c:v>
                </c:pt>
                <c:pt idx="25">
                  <c:v>5.1678885794969718</c:v>
                </c:pt>
                <c:pt idx="26">
                  <c:v>4.4991050909737318</c:v>
                </c:pt>
                <c:pt idx="27">
                  <c:v>4.2834098023758642</c:v>
                </c:pt>
                <c:pt idx="28">
                  <c:v>4.0851841940408011</c:v>
                </c:pt>
                <c:pt idx="29">
                  <c:v>3.8986854779441953</c:v>
                </c:pt>
                <c:pt idx="30">
                  <c:v>3.7223893476473737</c:v>
                </c:pt>
                <c:pt idx="31">
                  <c:v>3.5378535732114988</c:v>
                </c:pt>
                <c:pt idx="32">
                  <c:v>3.353317798775624</c:v>
                </c:pt>
                <c:pt idx="33">
                  <c:v>3.1687820243397491</c:v>
                </c:pt>
                <c:pt idx="34">
                  <c:v>2.9842462499038742</c:v>
                </c:pt>
                <c:pt idx="35">
                  <c:v>2.7997104754679993</c:v>
                </c:pt>
                <c:pt idx="36">
                  <c:v>2.6151747010321245</c:v>
                </c:pt>
                <c:pt idx="37">
                  <c:v>2.4306389265962496</c:v>
                </c:pt>
                <c:pt idx="38">
                  <c:v>2.2461031521603747</c:v>
                </c:pt>
                <c:pt idx="39">
                  <c:v>2.0615673777244998</c:v>
                </c:pt>
                <c:pt idx="40">
                  <c:v>1.877031603288625</c:v>
                </c:pt>
                <c:pt idx="41">
                  <c:v>1.6924958288527501</c:v>
                </c:pt>
                <c:pt idx="42">
                  <c:v>1.5079600544168752</c:v>
                </c:pt>
                <c:pt idx="43">
                  <c:v>1.3234242799810003</c:v>
                </c:pt>
                <c:pt idx="44">
                  <c:v>1.1388885055451254</c:v>
                </c:pt>
                <c:pt idx="45">
                  <c:v>0.95435273110925056</c:v>
                </c:pt>
                <c:pt idx="46">
                  <c:v>0.76981695667337569</c:v>
                </c:pt>
                <c:pt idx="47">
                  <c:v>0.58528118223750081</c:v>
                </c:pt>
                <c:pt idx="48">
                  <c:v>0.40074540780162599</c:v>
                </c:pt>
                <c:pt idx="49">
                  <c:v>0.21620963336575116</c:v>
                </c:pt>
                <c:pt idx="50">
                  <c:v>3.1673858929876342E-2</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BBBF-4508-AB19-F2D579378BCA}"/>
            </c:ext>
          </c:extLst>
        </c:ser>
        <c:ser>
          <c:idx val="3"/>
          <c:order val="3"/>
          <c:tx>
            <c:strRef>
              <c:f>'Swiss Climate Strategy'!$F$6</c:f>
              <c:strCache>
                <c:ptCount val="1"/>
                <c:pt idx="0">
                  <c:v>Autres</c:v>
                </c:pt>
              </c:strCache>
            </c:strRef>
          </c:tx>
          <c:spPr>
            <a:solidFill>
              <a:schemeClr val="accent4"/>
            </a:solidFill>
            <a:ln>
              <a:noFill/>
            </a:ln>
            <a:effectLst/>
          </c:spPr>
          <c:invertIfNegative val="0"/>
          <c:cat>
            <c:numRef>
              <c:f>'Swiss Climate Strategy'!$B$37:$B$117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'Swiss Climate Strategy'!$F$37:$F$117</c:f>
              <c:numCache>
                <c:formatCode>0.0</c:formatCode>
                <c:ptCount val="81"/>
                <c:pt idx="0">
                  <c:v>8.8647186040830626</c:v>
                </c:pt>
                <c:pt idx="1">
                  <c:v>8.8162473153813092</c:v>
                </c:pt>
                <c:pt idx="2">
                  <c:v>8.7686382523980289</c:v>
                </c:pt>
                <c:pt idx="3">
                  <c:v>8.7218206962617408</c:v>
                </c:pt>
                <c:pt idx="4">
                  <c:v>8.6757416340801363</c:v>
                </c:pt>
                <c:pt idx="5">
                  <c:v>8.6303446597445586</c:v>
                </c:pt>
                <c:pt idx="6">
                  <c:v>8.5865083520156364</c:v>
                </c:pt>
                <c:pt idx="7">
                  <c:v>8.543186197627044</c:v>
                </c:pt>
                <c:pt idx="8">
                  <c:v>8.5003453645703644</c:v>
                </c:pt>
                <c:pt idx="9">
                  <c:v>8.4579587662480016</c:v>
                </c:pt>
                <c:pt idx="10">
                  <c:v>8.4160007642378698</c:v>
                </c:pt>
                <c:pt idx="11">
                  <c:v>8.3746044345342732</c:v>
                </c:pt>
                <c:pt idx="12">
                  <c:v>8.3334677178885261</c:v>
                </c:pt>
                <c:pt idx="13">
                  <c:v>8.2925377395650681</c:v>
                </c:pt>
                <c:pt idx="14">
                  <c:v>8.2517198736725028</c:v>
                </c:pt>
                <c:pt idx="15">
                  <c:v>8.2110302291520014</c:v>
                </c:pt>
                <c:pt idx="16">
                  <c:v>8.1703205275726631</c:v>
                </c:pt>
                <c:pt idx="17">
                  <c:v>8.1298017233554472</c:v>
                </c:pt>
                <c:pt idx="18">
                  <c:v>8.0894042854434201</c:v>
                </c:pt>
                <c:pt idx="19">
                  <c:v>8.0491594614387179</c:v>
                </c:pt>
                <c:pt idx="20">
                  <c:v>8.0090943607334459</c:v>
                </c:pt>
                <c:pt idx="21">
                  <c:v>7.9692366916327959</c:v>
                </c:pt>
                <c:pt idx="22">
                  <c:v>7.9295842813652682</c:v>
                </c:pt>
                <c:pt idx="23">
                  <c:v>7.8901348081341807</c:v>
                </c:pt>
                <c:pt idx="24">
                  <c:v>7.8508770768461105</c:v>
                </c:pt>
                <c:pt idx="25">
                  <c:v>7.8118077250814482</c:v>
                </c:pt>
                <c:pt idx="26">
                  <c:v>7.7729193411314839</c:v>
                </c:pt>
                <c:pt idx="27">
                  <c:v>7.7342093716978804</c:v>
                </c:pt>
                <c:pt idx="28">
                  <c:v>7.6956689392790185</c:v>
                </c:pt>
                <c:pt idx="29">
                  <c:v>7.6572897666784554</c:v>
                </c:pt>
                <c:pt idx="30">
                  <c:v>7.6190657385992733</c:v>
                </c:pt>
                <c:pt idx="31">
                  <c:v>7.4345299641633984</c:v>
                </c:pt>
                <c:pt idx="32">
                  <c:v>7.2499941897275235</c:v>
                </c:pt>
                <c:pt idx="33">
                  <c:v>7.0654584152916486</c:v>
                </c:pt>
                <c:pt idx="34">
                  <c:v>6.8809226408557738</c:v>
                </c:pt>
                <c:pt idx="35">
                  <c:v>6.6963868664198989</c:v>
                </c:pt>
                <c:pt idx="36">
                  <c:v>6.511851091984024</c:v>
                </c:pt>
                <c:pt idx="37">
                  <c:v>6.3273153175481491</c:v>
                </c:pt>
                <c:pt idx="38">
                  <c:v>6.1427795431122743</c:v>
                </c:pt>
                <c:pt idx="39">
                  <c:v>5.9582437686763994</c:v>
                </c:pt>
                <c:pt idx="40">
                  <c:v>5.7737079942405245</c:v>
                </c:pt>
                <c:pt idx="41">
                  <c:v>5.5891722198046496</c:v>
                </c:pt>
                <c:pt idx="42">
                  <c:v>5.4046364453687747</c:v>
                </c:pt>
                <c:pt idx="43">
                  <c:v>5.2201006709328999</c:v>
                </c:pt>
                <c:pt idx="44">
                  <c:v>5.035564896497025</c:v>
                </c:pt>
                <c:pt idx="45">
                  <c:v>4.8510291220611501</c:v>
                </c:pt>
                <c:pt idx="46">
                  <c:v>4.6664933476252752</c:v>
                </c:pt>
                <c:pt idx="47">
                  <c:v>4.4819575731894004</c:v>
                </c:pt>
                <c:pt idx="48">
                  <c:v>4.2974217987535255</c:v>
                </c:pt>
                <c:pt idx="49">
                  <c:v>4.1128860243176506</c:v>
                </c:pt>
                <c:pt idx="50">
                  <c:v>3.9283502498817757</c:v>
                </c:pt>
                <c:pt idx="51">
                  <c:v>3.7438144754459008</c:v>
                </c:pt>
                <c:pt idx="52">
                  <c:v>3.559278701010026</c:v>
                </c:pt>
                <c:pt idx="53">
                  <c:v>3.3747429265741511</c:v>
                </c:pt>
                <c:pt idx="54">
                  <c:v>3.1902071521382762</c:v>
                </c:pt>
                <c:pt idx="55">
                  <c:v>3.0056713777024013</c:v>
                </c:pt>
                <c:pt idx="56">
                  <c:v>2.8211356032665265</c:v>
                </c:pt>
                <c:pt idx="57">
                  <c:v>2.6365998288306516</c:v>
                </c:pt>
                <c:pt idx="58">
                  <c:v>2.4520640543947767</c:v>
                </c:pt>
                <c:pt idx="59">
                  <c:v>2.2675282799589018</c:v>
                </c:pt>
                <c:pt idx="60">
                  <c:v>2.0829925055230269</c:v>
                </c:pt>
                <c:pt idx="61">
                  <c:v>1.8984567310871521</c:v>
                </c:pt>
                <c:pt idx="62">
                  <c:v>1.7139209566512772</c:v>
                </c:pt>
                <c:pt idx="63">
                  <c:v>1.5293851822154023</c:v>
                </c:pt>
                <c:pt idx="64">
                  <c:v>1.3448494077795274</c:v>
                </c:pt>
                <c:pt idx="65">
                  <c:v>1.1603136333436526</c:v>
                </c:pt>
                <c:pt idx="66">
                  <c:v>0.97577785890777768</c:v>
                </c:pt>
                <c:pt idx="67">
                  <c:v>0.79124208447190281</c:v>
                </c:pt>
                <c:pt idx="68">
                  <c:v>0.60670631003602793</c:v>
                </c:pt>
                <c:pt idx="69">
                  <c:v>0.42217053560015311</c:v>
                </c:pt>
                <c:pt idx="70">
                  <c:v>0.23763476116427829</c:v>
                </c:pt>
                <c:pt idx="71">
                  <c:v>5.3098986728403463E-2</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BBBF-4508-AB19-F2D579378BCA}"/>
            </c:ext>
          </c:extLst>
        </c:ser>
        <c:ser>
          <c:idx val="4"/>
          <c:order val="4"/>
          <c:tx>
            <c:strRef>
              <c:f>'Swiss Climate Strategy'!$G$6</c:f>
              <c:strCache>
                <c:ptCount val="1"/>
                <c:pt idx="0">
                  <c:v>NET Etranger</c:v>
                </c:pt>
              </c:strCache>
            </c:strRef>
          </c:tx>
          <c:spPr>
            <a:solidFill>
              <a:schemeClr val="accent5"/>
            </a:solidFill>
            <a:ln>
              <a:noFill/>
            </a:ln>
            <a:effectLst/>
          </c:spPr>
          <c:invertIfNegative val="0"/>
          <c:cat>
            <c:numRef>
              <c:f>'Swiss Climate Strategy'!$B$37:$B$117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'Swiss Climate Strategy'!$G$37:$G$117</c:f>
              <c:numCache>
                <c:formatCode>General</c:formatCode>
                <c:ptCount val="81"/>
                <c:pt idx="21" formatCode="#\ ##0.0">
                  <c:v>-0.31832701387902151</c:v>
                </c:pt>
                <c:pt idx="22" formatCode="#\ ##0.0">
                  <c:v>-0.4396442158120889</c:v>
                </c:pt>
                <c:pt idx="23" formatCode="#\ ##0.0">
                  <c:v>-0.64057787712155057</c:v>
                </c:pt>
                <c:pt idx="24" formatCode="#\ ##0.0">
                  <c:v>-0.88112926603228781</c:v>
                </c:pt>
                <c:pt idx="25" formatCode="#\ ##0.0">
                  <c:v>-1.1656210414801247</c:v>
                </c:pt>
                <c:pt idx="26" formatCode="#\ ##0.0">
                  <c:v>-1.4998490543714387</c:v>
                </c:pt>
                <c:pt idx="27" formatCode="#\ ##0.0">
                  <c:v>-2.0527828991623536</c:v>
                </c:pt>
                <c:pt idx="28" formatCode="#\ ##0.0">
                  <c:v>-2.7422775901023781</c:v>
                </c:pt>
                <c:pt idx="29" formatCode="#\ ##0.0">
                  <c:v>-3.3521738009986004</c:v>
                </c:pt>
                <c:pt idx="30" formatCode="#\ ##0.0">
                  <c:v>-4.7377767183828299</c:v>
                </c:pt>
              </c:numCache>
            </c:numRef>
          </c:val>
          <c:extLst>
            <c:ext xmlns:c16="http://schemas.microsoft.com/office/drawing/2014/chart" uri="{C3380CC4-5D6E-409C-BE32-E72D297353CC}">
              <c16:uniqueId val="{00000004-BBBF-4508-AB19-F2D579378BCA}"/>
            </c:ext>
          </c:extLst>
        </c:ser>
        <c:ser>
          <c:idx val="5"/>
          <c:order val="5"/>
          <c:tx>
            <c:strRef>
              <c:f>'Swiss Climate Strategy'!$H$6</c:f>
              <c:strCache>
                <c:ptCount val="1"/>
                <c:pt idx="0">
                  <c:v>NET/CCS Territoire CH</c:v>
                </c:pt>
              </c:strCache>
            </c:strRef>
          </c:tx>
          <c:spPr>
            <a:solidFill>
              <a:schemeClr val="accent6"/>
            </a:solidFill>
            <a:ln>
              <a:noFill/>
            </a:ln>
            <a:effectLst/>
          </c:spPr>
          <c:invertIfNegative val="0"/>
          <c:cat>
            <c:numRef>
              <c:f>'Swiss Climate Strategy'!$B$37:$B$117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'Swiss Climate Strategy'!$H$37:$H$117</c:f>
              <c:numCache>
                <c:formatCode>General</c:formatCode>
                <c:ptCount val="81"/>
                <c:pt idx="13" formatCode="#\ ##0.0">
                  <c:v>-0.24308042749721581</c:v>
                </c:pt>
                <c:pt idx="14" formatCode="#\ ##0.0">
                  <c:v>-0.34708336107240451</c:v>
                </c:pt>
                <c:pt idx="15" formatCode="#\ ##0.0">
                  <c:v>-0.41024212788411291</c:v>
                </c:pt>
                <c:pt idx="16" formatCode="#\ ##0.0">
                  <c:v>-0.80273167109954868</c:v>
                </c:pt>
                <c:pt idx="17" formatCode="#\ ##0.0">
                  <c:v>-0.96003406675369518</c:v>
                </c:pt>
                <c:pt idx="18" formatCode="#\ ##0.0">
                  <c:v>-1.1771687971106104</c:v>
                </c:pt>
                <c:pt idx="19" formatCode="#\ ##0.0">
                  <c:v>-1.6939520579252529</c:v>
                </c:pt>
                <c:pt idx="20" formatCode="#\ ##0.0">
                  <c:v>-1.690448871227062</c:v>
                </c:pt>
                <c:pt idx="21" formatCode="#\ ##0.0">
                  <c:v>-1.7909355689339197</c:v>
                </c:pt>
                <c:pt idx="22" formatCode="#\ ##0.0">
                  <c:v>-2.9972014866588004</c:v>
                </c:pt>
                <c:pt idx="23" formatCode="#\ ##0.0">
                  <c:v>-3.0459184021249515</c:v>
                </c:pt>
                <c:pt idx="24" formatCode="#\ ##0.0">
                  <c:v>-3.9976715418858024</c:v>
                </c:pt>
                <c:pt idx="25" formatCode="#\ ##0.0">
                  <c:v>-4.7762628676116528</c:v>
                </c:pt>
                <c:pt idx="26" formatCode="#\ ##0.0">
                  <c:v>-5.1014936056855547</c:v>
                </c:pt>
                <c:pt idx="27" formatCode="#\ ##0.0">
                  <c:v>-5.0926550804488215</c:v>
                </c:pt>
                <c:pt idx="28" formatCode="#\ ##0.0">
                  <c:v>-5.3034875138790749</c:v>
                </c:pt>
                <c:pt idx="29" formatCode="#\ ##0.0">
                  <c:v>-6.082456662333489</c:v>
                </c:pt>
                <c:pt idx="30" formatCode="#\ ##0.0">
                  <c:v>-7.0157158003162579</c:v>
                </c:pt>
              </c:numCache>
            </c:numRef>
          </c:val>
          <c:extLst>
            <c:ext xmlns:c16="http://schemas.microsoft.com/office/drawing/2014/chart" uri="{C3380CC4-5D6E-409C-BE32-E72D297353CC}">
              <c16:uniqueId val="{00000005-BBBF-4508-AB19-F2D579378BCA}"/>
            </c:ext>
          </c:extLst>
        </c:ser>
        <c:dLbls>
          <c:showLegendKey val="0"/>
          <c:showVal val="0"/>
          <c:showCatName val="0"/>
          <c:showSerName val="0"/>
          <c:showPercent val="0"/>
          <c:showBubbleSize val="0"/>
        </c:dLbls>
        <c:gapWidth val="150"/>
        <c:overlap val="100"/>
        <c:axId val="218428784"/>
        <c:axId val="218430448"/>
      </c:barChart>
      <c:lineChart>
        <c:grouping val="standard"/>
        <c:varyColors val="0"/>
        <c:ser>
          <c:idx val="6"/>
          <c:order val="6"/>
          <c:tx>
            <c:strRef>
              <c:f>'Swiss Climate Strategy'!$I$6</c:f>
              <c:strCache>
                <c:ptCount val="1"/>
                <c:pt idx="0">
                  <c:v>Balance annuelle</c:v>
                </c:pt>
              </c:strCache>
            </c:strRef>
          </c:tx>
          <c:spPr>
            <a:ln w="28575" cap="rnd">
              <a:solidFill>
                <a:schemeClr val="accent1">
                  <a:lumMod val="60000"/>
                </a:schemeClr>
              </a:solidFill>
              <a:round/>
            </a:ln>
            <a:effectLst/>
          </c:spPr>
          <c:marker>
            <c:symbol val="none"/>
          </c:marker>
          <c:cat>
            <c:numRef>
              <c:f>'Swiss Climate Strategy'!$B$37:$B$117</c:f>
              <c:numCache>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Cache>
            </c:numRef>
          </c:cat>
          <c:val>
            <c:numRef>
              <c:f>'Swiss Climate Strategy'!$I$37:$I$117</c:f>
              <c:numCache>
                <c:formatCode>#\ ##0.0</c:formatCode>
                <c:ptCount val="81"/>
                <c:pt idx="0">
                  <c:v>45.994964131967208</c:v>
                </c:pt>
                <c:pt idx="1">
                  <c:v>45.196411004465823</c:v>
                </c:pt>
                <c:pt idx="2">
                  <c:v>44.184425424484743</c:v>
                </c:pt>
                <c:pt idx="3">
                  <c:v>43.195454910478517</c:v>
                </c:pt>
                <c:pt idx="4">
                  <c:v>42.171107284068341</c:v>
                </c:pt>
                <c:pt idx="5">
                  <c:v>40.43670020793715</c:v>
                </c:pt>
                <c:pt idx="6">
                  <c:v>39.215818442783721</c:v>
                </c:pt>
                <c:pt idx="7">
                  <c:v>37.991465316079768</c:v>
                </c:pt>
                <c:pt idx="8">
                  <c:v>36.858564980929273</c:v>
                </c:pt>
                <c:pt idx="9">
                  <c:v>35.709577310707317</c:v>
                </c:pt>
                <c:pt idx="10">
                  <c:v>34.5356308477621</c:v>
                </c:pt>
                <c:pt idx="11">
                  <c:v>33.399469276343524</c:v>
                </c:pt>
                <c:pt idx="12">
                  <c:v>32.208912208480115</c:v>
                </c:pt>
                <c:pt idx="13">
                  <c:v>30.857614675718022</c:v>
                </c:pt>
                <c:pt idx="14">
                  <c:v>29.670594383523103</c:v>
                </c:pt>
                <c:pt idx="15">
                  <c:v>28.471302323280753</c:v>
                </c:pt>
                <c:pt idx="16">
                  <c:v>26.966041935482899</c:v>
                </c:pt>
                <c:pt idx="17">
                  <c:v>25.703742993035643</c:v>
                </c:pt>
                <c:pt idx="18">
                  <c:v>24.391534321662981</c:v>
                </c:pt>
                <c:pt idx="19">
                  <c:v>22.7983918281424</c:v>
                </c:pt>
                <c:pt idx="20">
                  <c:v>21.744944514656719</c:v>
                </c:pt>
                <c:pt idx="21">
                  <c:v>20.198515139059829</c:v>
                </c:pt>
                <c:pt idx="22">
                  <c:v>17.839418303395455</c:v>
                </c:pt>
                <c:pt idx="23">
                  <c:v>16.540954317164051</c:v>
                </c:pt>
                <c:pt idx="24">
                  <c:v>14.364049454864134</c:v>
                </c:pt>
                <c:pt idx="25">
                  <c:v>11.842628520099804</c:v>
                </c:pt>
                <c:pt idx="26">
                  <c:v>9.2955344362838517</c:v>
                </c:pt>
                <c:pt idx="27">
                  <c:v>7.4772231484751526</c:v>
                </c:pt>
                <c:pt idx="28">
                  <c:v>5.4684369374950101</c:v>
                </c:pt>
                <c:pt idx="29">
                  <c:v>3.1188845900668767</c:v>
                </c:pt>
                <c:pt idx="30">
                  <c:v>-2.0384548933497726E-2</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0"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0</c:v>
                </c:pt>
                <c:pt idx="69" formatCode="General">
                  <c:v>0</c:v>
                </c:pt>
                <c:pt idx="70" formatCode="General">
                  <c:v>0</c:v>
                </c:pt>
                <c:pt idx="71" formatCode="General">
                  <c:v>0</c:v>
                </c:pt>
                <c:pt idx="72" formatCode="General">
                  <c:v>0</c:v>
                </c:pt>
                <c:pt idx="73" formatCode="General">
                  <c:v>0</c:v>
                </c:pt>
                <c:pt idx="74" formatCode="General">
                  <c:v>0</c:v>
                </c:pt>
                <c:pt idx="75" formatCode="General">
                  <c:v>0</c:v>
                </c:pt>
                <c:pt idx="76" formatCode="General">
                  <c:v>0</c:v>
                </c:pt>
                <c:pt idx="77" formatCode="General">
                  <c:v>0</c:v>
                </c:pt>
                <c:pt idx="78" formatCode="General">
                  <c:v>0</c:v>
                </c:pt>
                <c:pt idx="79" formatCode="General">
                  <c:v>0</c:v>
                </c:pt>
                <c:pt idx="80" formatCode="General">
                  <c:v>0</c:v>
                </c:pt>
              </c:numCache>
            </c:numRef>
          </c:val>
          <c:smooth val="0"/>
          <c:extLst>
            <c:ext xmlns:c16="http://schemas.microsoft.com/office/drawing/2014/chart" uri="{C3380CC4-5D6E-409C-BE32-E72D297353CC}">
              <c16:uniqueId val="{00000006-BBBF-4508-AB19-F2D579378BCA}"/>
            </c:ext>
          </c:extLst>
        </c:ser>
        <c:dLbls>
          <c:showLegendKey val="0"/>
          <c:showVal val="0"/>
          <c:showCatName val="0"/>
          <c:showSerName val="0"/>
          <c:showPercent val="0"/>
          <c:showBubbleSize val="0"/>
        </c:dLbls>
        <c:marker val="1"/>
        <c:smooth val="0"/>
        <c:axId val="218428784"/>
        <c:axId val="218430448"/>
      </c:lineChart>
      <c:catAx>
        <c:axId val="2184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30448"/>
        <c:crosses val="autoZero"/>
        <c:auto val="1"/>
        <c:lblAlgn val="ctr"/>
        <c:lblOffset val="100"/>
        <c:noMultiLvlLbl val="0"/>
      </c:catAx>
      <c:valAx>
        <c:axId val="21843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Million tonnes of 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2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Budget GES constructions </a:t>
            </a:r>
            <a:r>
              <a:rPr lang="fr-CH" baseline="0"/>
              <a:t>2020-2050 prévisions selon EP2050+ ¦ extraction budget construction de industrie Suisse et imports</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'Swiss Climate Strategy'!$C$6</c:f>
              <c:strCache>
                <c:ptCount val="1"/>
                <c:pt idx="0">
                  <c:v>Batiments</c:v>
                </c:pt>
              </c:strCache>
            </c:strRef>
          </c:tx>
          <c:spPr>
            <a:solidFill>
              <a:schemeClr val="accent1"/>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Strategy'!$C$37:$C$67</c:f>
              <c:numCache>
                <c:formatCode>0.0</c:formatCode>
                <c:ptCount val="31"/>
                <c:pt idx="0">
                  <c:v>11.390585114632525</c:v>
                </c:pt>
                <c:pt idx="1">
                  <c:v>10.892561753547378</c:v>
                </c:pt>
                <c:pt idx="2">
                  <c:v>10.284349872217231</c:v>
                </c:pt>
                <c:pt idx="3">
                  <c:v>9.7338020092581026</c:v>
                </c:pt>
                <c:pt idx="4">
                  <c:v>9.1895304073203974</c:v>
                </c:pt>
                <c:pt idx="5">
                  <c:v>8.6276497692208025</c:v>
                </c:pt>
                <c:pt idx="6">
                  <c:v>8.0510445815980916</c:v>
                </c:pt>
                <c:pt idx="7">
                  <c:v>7.4924575542051368</c:v>
                </c:pt>
                <c:pt idx="8">
                  <c:v>7.0164292528060699</c:v>
                </c:pt>
                <c:pt idx="9">
                  <c:v>6.564891961477243</c:v>
                </c:pt>
                <c:pt idx="10">
                  <c:v>6.1023419043550984</c:v>
                </c:pt>
                <c:pt idx="11">
                  <c:v>5.6992968870463852</c:v>
                </c:pt>
                <c:pt idx="12">
                  <c:v>5.3124513571168519</c:v>
                </c:pt>
                <c:pt idx="13">
                  <c:v>4.9619834523073543</c:v>
                </c:pt>
                <c:pt idx="14">
                  <c:v>4.6315095618576789</c:v>
                </c:pt>
                <c:pt idx="15">
                  <c:v>4.3220538809650346</c:v>
                </c:pt>
                <c:pt idx="16">
                  <c:v>4.0102868162188017</c:v>
                </c:pt>
                <c:pt idx="17">
                  <c:v>3.7121598887056191</c:v>
                </c:pt>
                <c:pt idx="18">
                  <c:v>3.4381474116021273</c:v>
                </c:pt>
                <c:pt idx="19">
                  <c:v>3.1730805274711038</c:v>
                </c:pt>
                <c:pt idx="20">
                  <c:v>2.9209191465107174</c:v>
                </c:pt>
                <c:pt idx="21">
                  <c:v>2.6506651891774902</c:v>
                </c:pt>
                <c:pt idx="22">
                  <c:v>2.4162264930550492</c:v>
                </c:pt>
                <c:pt idx="23">
                  <c:v>2.1337293856664377</c:v>
                </c:pt>
                <c:pt idx="24">
                  <c:v>1.8621027111866555</c:v>
                </c:pt>
                <c:pt idx="25">
                  <c:v>1.6021815327334266</c:v>
                </c:pt>
                <c:pt idx="26">
                  <c:v>1.2640145248824457</c:v>
                </c:pt>
                <c:pt idx="27">
                  <c:v>0.97498457515947989</c:v>
                </c:pt>
                <c:pt idx="28">
                  <c:v>0.72747279345665516</c:v>
                </c:pt>
                <c:pt idx="29">
                  <c:v>0.52282558979181104</c:v>
                </c:pt>
                <c:pt idx="30">
                  <c:v>0.36479730392402265</c:v>
                </c:pt>
              </c:numCache>
            </c:numRef>
          </c:val>
          <c:extLst>
            <c:ext xmlns:c16="http://schemas.microsoft.com/office/drawing/2014/chart" uri="{C3380CC4-5D6E-409C-BE32-E72D297353CC}">
              <c16:uniqueId val="{00000000-CFEB-47C9-9E0A-E7D461FDEF36}"/>
            </c:ext>
          </c:extLst>
        </c:ser>
        <c:ser>
          <c:idx val="1"/>
          <c:order val="1"/>
          <c:tx>
            <c:strRef>
              <c:f>'Swiss Climate Strategy'!$E$6</c:f>
              <c:strCache>
                <c:ptCount val="1"/>
                <c:pt idx="0">
                  <c:v>Industrie</c:v>
                </c:pt>
              </c:strCache>
            </c:strRef>
          </c:tx>
          <c:spPr>
            <a:solidFill>
              <a:schemeClr val="accent2"/>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Strategy'!$E$37:$E$67</c:f>
              <c:numCache>
                <c:formatCode>0.0</c:formatCode>
                <c:ptCount val="31"/>
                <c:pt idx="0">
                  <c:v>11.335581307546121</c:v>
                </c:pt>
                <c:pt idx="1">
                  <c:v>11.162732673123962</c:v>
                </c:pt>
                <c:pt idx="2">
                  <c:v>11.002745887227482</c:v>
                </c:pt>
                <c:pt idx="3">
                  <c:v>10.845369626110791</c:v>
                </c:pt>
                <c:pt idx="4">
                  <c:v>10.681629175665622</c:v>
                </c:pt>
                <c:pt idx="5">
                  <c:v>9.8601439742160615</c:v>
                </c:pt>
                <c:pt idx="6">
                  <c:v>9.5717152472893314</c:v>
                </c:pt>
                <c:pt idx="7">
                  <c:v>9.3259817677003234</c:v>
                </c:pt>
                <c:pt idx="8">
                  <c:v>9.1184949580422252</c:v>
                </c:pt>
                <c:pt idx="9">
                  <c:v>8.89643411745927</c:v>
                </c:pt>
                <c:pt idx="10">
                  <c:v>8.6794757709345625</c:v>
                </c:pt>
                <c:pt idx="11">
                  <c:v>8.4540069591384963</c:v>
                </c:pt>
                <c:pt idx="12">
                  <c:v>8.1685381556665391</c:v>
                </c:pt>
                <c:pt idx="13">
                  <c:v>7.9411032410324101</c:v>
                </c:pt>
                <c:pt idx="14">
                  <c:v>7.7287045860842323</c:v>
                </c:pt>
                <c:pt idx="15">
                  <c:v>7.4507207039800036</c:v>
                </c:pt>
                <c:pt idx="16">
                  <c:v>7.2018689874167272</c:v>
                </c:pt>
                <c:pt idx="17">
                  <c:v>6.9715713710913541</c:v>
                </c:pt>
                <c:pt idx="18">
                  <c:v>6.7249513976027746</c:v>
                </c:pt>
                <c:pt idx="19">
                  <c:v>6.4810670007075393</c:v>
                </c:pt>
                <c:pt idx="20">
                  <c:v>6.2344669284528837</c:v>
                </c:pt>
                <c:pt idx="21">
                  <c:v>5.9851803250524309</c:v>
                </c:pt>
                <c:pt idx="22">
                  <c:v>5.7712086748546341</c:v>
                </c:pt>
                <c:pt idx="23">
                  <c:v>5.5635094983538824</c:v>
                </c:pt>
                <c:pt idx="24">
                  <c:v>5.3849021889346078</c:v>
                </c:pt>
                <c:pt idx="25">
                  <c:v>5.1678885794969718</c:v>
                </c:pt>
                <c:pt idx="26">
                  <c:v>4.4991050909737318</c:v>
                </c:pt>
                <c:pt idx="27">
                  <c:v>4.2834098023758642</c:v>
                </c:pt>
                <c:pt idx="28">
                  <c:v>4.0851841940408011</c:v>
                </c:pt>
                <c:pt idx="29">
                  <c:v>3.8986854779441953</c:v>
                </c:pt>
                <c:pt idx="30">
                  <c:v>3.7223893476473737</c:v>
                </c:pt>
              </c:numCache>
            </c:numRef>
          </c:val>
          <c:extLst>
            <c:ext xmlns:c16="http://schemas.microsoft.com/office/drawing/2014/chart" uri="{C3380CC4-5D6E-409C-BE32-E72D297353CC}">
              <c16:uniqueId val="{00000008-CFEB-47C9-9E0A-E7D461FDEF36}"/>
            </c:ext>
          </c:extLst>
        </c:ser>
        <c:dLbls>
          <c:showLegendKey val="0"/>
          <c:showVal val="0"/>
          <c:showCatName val="0"/>
          <c:showSerName val="0"/>
          <c:showPercent val="0"/>
          <c:showBubbleSize val="0"/>
        </c:dLbls>
        <c:gapWidth val="100"/>
        <c:overlap val="100"/>
        <c:axId val="218428784"/>
        <c:axId val="218430448"/>
      </c:barChart>
      <c:barChart>
        <c:barDir val="col"/>
        <c:grouping val="stacked"/>
        <c:varyColors val="0"/>
        <c:ser>
          <c:idx val="2"/>
          <c:order val="2"/>
          <c:tx>
            <c:strRef>
              <c:f>'Swiss Climate Strategy'!$L$6</c:f>
              <c:strCache>
                <c:ptCount val="1"/>
                <c:pt idx="0">
                  <c:v>Operation</c:v>
                </c:pt>
              </c:strCache>
            </c:strRef>
          </c:tx>
          <c:spPr>
            <a:noFill/>
            <a:ln>
              <a:solidFill>
                <a:schemeClr val="tx1"/>
              </a:solidFill>
            </a:ln>
            <a:effectLst/>
          </c:spPr>
          <c:invertIfNegative val="0"/>
          <c:val>
            <c:numRef>
              <c:f>'Swiss Climate Strategy'!$L$37:$L$67</c:f>
              <c:numCache>
                <c:formatCode>0.0</c:formatCode>
                <c:ptCount val="31"/>
                <c:pt idx="0">
                  <c:v>11.390585114632525</c:v>
                </c:pt>
                <c:pt idx="1">
                  <c:v>10.892561753547378</c:v>
                </c:pt>
                <c:pt idx="2">
                  <c:v>10.284349872217231</c:v>
                </c:pt>
                <c:pt idx="3">
                  <c:v>9.7338020092581026</c:v>
                </c:pt>
                <c:pt idx="4">
                  <c:v>9.1895304073203974</c:v>
                </c:pt>
                <c:pt idx="5">
                  <c:v>8.6276497692208025</c:v>
                </c:pt>
                <c:pt idx="6">
                  <c:v>8.0510445815980916</c:v>
                </c:pt>
                <c:pt idx="7">
                  <c:v>7.4924575542051368</c:v>
                </c:pt>
                <c:pt idx="8">
                  <c:v>7.0164292528060699</c:v>
                </c:pt>
                <c:pt idx="9">
                  <c:v>6.564891961477243</c:v>
                </c:pt>
                <c:pt idx="10">
                  <c:v>6.1023419043550984</c:v>
                </c:pt>
                <c:pt idx="11">
                  <c:v>5.6992968870463852</c:v>
                </c:pt>
                <c:pt idx="12">
                  <c:v>5.3124513571168519</c:v>
                </c:pt>
                <c:pt idx="13">
                  <c:v>4.9619834523073543</c:v>
                </c:pt>
                <c:pt idx="14">
                  <c:v>4.6315095618576789</c:v>
                </c:pt>
                <c:pt idx="15">
                  <c:v>4.3220538809650346</c:v>
                </c:pt>
                <c:pt idx="16">
                  <c:v>4.0102868162188017</c:v>
                </c:pt>
                <c:pt idx="17">
                  <c:v>3.7121598887056191</c:v>
                </c:pt>
                <c:pt idx="18">
                  <c:v>3.4381474116021273</c:v>
                </c:pt>
                <c:pt idx="19">
                  <c:v>3.1730805274711038</c:v>
                </c:pt>
                <c:pt idx="20">
                  <c:v>2.9209191465107174</c:v>
                </c:pt>
                <c:pt idx="21">
                  <c:v>2.6506651891774902</c:v>
                </c:pt>
                <c:pt idx="22">
                  <c:v>2.4162264930550492</c:v>
                </c:pt>
                <c:pt idx="23">
                  <c:v>2.1337293856664377</c:v>
                </c:pt>
                <c:pt idx="24">
                  <c:v>1.8621027111866555</c:v>
                </c:pt>
                <c:pt idx="25">
                  <c:v>1.6021815327334266</c:v>
                </c:pt>
                <c:pt idx="26">
                  <c:v>1.2640145248824457</c:v>
                </c:pt>
                <c:pt idx="27">
                  <c:v>0.97498457515947989</c:v>
                </c:pt>
                <c:pt idx="28">
                  <c:v>0.72747279345665516</c:v>
                </c:pt>
                <c:pt idx="29">
                  <c:v>0.52282558979181104</c:v>
                </c:pt>
                <c:pt idx="30">
                  <c:v>0.36479730392402265</c:v>
                </c:pt>
              </c:numCache>
            </c:numRef>
          </c:val>
          <c:extLst>
            <c:ext xmlns:c16="http://schemas.microsoft.com/office/drawing/2014/chart" uri="{C3380CC4-5D6E-409C-BE32-E72D297353CC}">
              <c16:uniqueId val="{00000009-CFEB-47C9-9E0A-E7D461FDEF36}"/>
            </c:ext>
          </c:extLst>
        </c:ser>
        <c:ser>
          <c:idx val="3"/>
          <c:order val="3"/>
          <c:tx>
            <c:strRef>
              <c:f>'Swiss Climate Strategy'!$M$6</c:f>
              <c:strCache>
                <c:ptCount val="1"/>
                <c:pt idx="0">
                  <c:v>Embodied with imports</c:v>
                </c:pt>
              </c:strCache>
            </c:strRef>
          </c:tx>
          <c:spPr>
            <a:noFill/>
            <a:ln>
              <a:solidFill>
                <a:schemeClr val="accent4">
                  <a:lumMod val="60000"/>
                  <a:lumOff val="40000"/>
                </a:schemeClr>
              </a:solidFill>
            </a:ln>
            <a:effectLst/>
          </c:spPr>
          <c:invertIfNegative val="0"/>
          <c:val>
            <c:numRef>
              <c:f>'Swiss Climate Strategy'!$M$37:$M$67</c:f>
              <c:numCache>
                <c:formatCode>0.00</c:formatCode>
                <c:ptCount val="31"/>
                <c:pt idx="0">
                  <c:v>7.2269712174263496</c:v>
                </c:pt>
                <c:pt idx="1">
                  <c:v>7.116772007341833</c:v>
                </c:pt>
                <c:pt idx="2">
                  <c:v>7.0147728362827602</c:v>
                </c:pt>
                <c:pt idx="3">
                  <c:v>6.9144379987002056</c:v>
                </c:pt>
                <c:pt idx="4">
                  <c:v>6.8100456882936875</c:v>
                </c:pt>
                <c:pt idx="5">
                  <c:v>6.2863098740160837</c:v>
                </c:pt>
                <c:pt idx="6">
                  <c:v>6.1024228680280652</c:v>
                </c:pt>
                <c:pt idx="7">
                  <c:v>5.945756109088622</c:v>
                </c:pt>
                <c:pt idx="8">
                  <c:v>5.8134734179136691</c:v>
                </c:pt>
                <c:pt idx="9">
                  <c:v>5.6718990901513884</c:v>
                </c:pt>
                <c:pt idx="10">
                  <c:v>5.5335778445818571</c:v>
                </c:pt>
                <c:pt idx="11">
                  <c:v>5.3898307733846558</c:v>
                </c:pt>
                <c:pt idx="12">
                  <c:v>5.2078308591154538</c:v>
                </c:pt>
                <c:pt idx="13">
                  <c:v>5.0628303040222198</c:v>
                </c:pt>
                <c:pt idx="14">
                  <c:v>4.9274160782948897</c:v>
                </c:pt>
                <c:pt idx="15">
                  <c:v>4.7501881567291635</c:v>
                </c:pt>
                <c:pt idx="16">
                  <c:v>4.5915333736866115</c:v>
                </c:pt>
                <c:pt idx="17">
                  <c:v>4.4447077103642192</c:v>
                </c:pt>
                <c:pt idx="18">
                  <c:v>4.2874757694792889</c:v>
                </c:pt>
                <c:pt idx="19">
                  <c:v>4.1319878885385979</c:v>
                </c:pt>
                <c:pt idx="20">
                  <c:v>3.9747686356350651</c:v>
                </c:pt>
                <c:pt idx="21">
                  <c:v>3.8158365915884374</c:v>
                </c:pt>
                <c:pt idx="22">
                  <c:v>3.679419506714698</c:v>
                </c:pt>
                <c:pt idx="23">
                  <c:v>3.5470014215958656</c:v>
                </c:pt>
                <c:pt idx="24">
                  <c:v>3.4331307828192044</c:v>
                </c:pt>
                <c:pt idx="25">
                  <c:v>3.2947743045191862</c:v>
                </c:pt>
                <c:pt idx="26">
                  <c:v>2.8683930814380267</c:v>
                </c:pt>
                <c:pt idx="27">
                  <c:v>2.7308770952579846</c:v>
                </c:pt>
                <c:pt idx="28">
                  <c:v>2.6044988595833249</c:v>
                </c:pt>
                <c:pt idx="29">
                  <c:v>2.485597074421245</c:v>
                </c:pt>
                <c:pt idx="30">
                  <c:v>2.3731999220537161</c:v>
                </c:pt>
              </c:numCache>
            </c:numRef>
          </c:val>
          <c:extLst>
            <c:ext xmlns:c16="http://schemas.microsoft.com/office/drawing/2014/chart" uri="{C3380CC4-5D6E-409C-BE32-E72D297353CC}">
              <c16:uniqueId val="{0000000A-CFEB-47C9-9E0A-E7D461FDEF36}"/>
            </c:ext>
          </c:extLst>
        </c:ser>
        <c:dLbls>
          <c:showLegendKey val="0"/>
          <c:showVal val="0"/>
          <c:showCatName val="0"/>
          <c:showSerName val="0"/>
          <c:showPercent val="0"/>
          <c:showBubbleSize val="0"/>
        </c:dLbls>
        <c:gapWidth val="200"/>
        <c:overlap val="100"/>
        <c:axId val="2017562752"/>
        <c:axId val="2017564832"/>
      </c:barChart>
      <c:catAx>
        <c:axId val="2184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30448"/>
        <c:crosses val="autoZero"/>
        <c:auto val="1"/>
        <c:lblAlgn val="ctr"/>
        <c:lblOffset val="100"/>
        <c:noMultiLvlLbl val="0"/>
      </c:catAx>
      <c:valAx>
        <c:axId val="218430448"/>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Million tonnes of 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28784"/>
        <c:crosses val="autoZero"/>
        <c:crossBetween val="between"/>
      </c:valAx>
      <c:valAx>
        <c:axId val="2017564832"/>
        <c:scaling>
          <c:orientation val="minMax"/>
          <c:max val="25"/>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7562752"/>
        <c:crosses val="max"/>
        <c:crossBetween val="between"/>
      </c:valAx>
      <c:catAx>
        <c:axId val="2017562752"/>
        <c:scaling>
          <c:orientation val="minMax"/>
        </c:scaling>
        <c:delete val="1"/>
        <c:axPos val="b"/>
        <c:majorTickMark val="out"/>
        <c:minorTickMark val="none"/>
        <c:tickLblPos val="nextTo"/>
        <c:crossAx val="20175648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Budget GES constructions </a:t>
            </a:r>
            <a:r>
              <a:rPr lang="fr-CH" baseline="0"/>
              <a:t>2020-2050 (émissions grises) ¦ répartition neuf et rénovation</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'Swiss Climate Strategy'!$O$6</c:f>
              <c:strCache>
                <c:ptCount val="1"/>
                <c:pt idx="0">
                  <c:v>Nouvelles constructions</c:v>
                </c:pt>
              </c:strCache>
            </c:strRef>
          </c:tx>
          <c:spPr>
            <a:solidFill>
              <a:schemeClr val="accent1"/>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Strategy'!$O$37:$O$67</c:f>
              <c:numCache>
                <c:formatCode>0.00</c:formatCode>
                <c:ptCount val="31"/>
                <c:pt idx="0">
                  <c:v>4.0277364737923751</c:v>
                </c:pt>
                <c:pt idx="1">
                  <c:v>3.966320236687368</c:v>
                </c:pt>
                <c:pt idx="2">
                  <c:v>3.9094740463247173</c:v>
                </c:pt>
                <c:pt idx="3">
                  <c:v>3.8535554224966839</c:v>
                </c:pt>
                <c:pt idx="4">
                  <c:v>3.7953754874232017</c:v>
                </c:pt>
                <c:pt idx="5">
                  <c:v>3.5034869800066093</c:v>
                </c:pt>
                <c:pt idx="6">
                  <c:v>3.4010030515680265</c:v>
                </c:pt>
                <c:pt idx="7">
                  <c:v>3.3136895145098357</c:v>
                </c:pt>
                <c:pt idx="8">
                  <c:v>3.2399657090500833</c:v>
                </c:pt>
                <c:pt idx="9">
                  <c:v>3.1610634875626369</c:v>
                </c:pt>
                <c:pt idx="10">
                  <c:v>3.0839742742366711</c:v>
                </c:pt>
                <c:pt idx="11">
                  <c:v>3.0038611391150427</c:v>
                </c:pt>
                <c:pt idx="12">
                  <c:v>2.9024289248616419</c:v>
                </c:pt>
                <c:pt idx="13">
                  <c:v>2.82161719794333</c:v>
                </c:pt>
                <c:pt idx="14">
                  <c:v>2.7461481252677435</c:v>
                </c:pt>
                <c:pt idx="15">
                  <c:v>2.6473754385655406</c:v>
                </c:pt>
                <c:pt idx="16">
                  <c:v>2.5589539356735354</c:v>
                </c:pt>
                <c:pt idx="17">
                  <c:v>2.4771250392160016</c:v>
                </c:pt>
                <c:pt idx="18">
                  <c:v>2.3894965148875311</c:v>
                </c:pt>
                <c:pt idx="19">
                  <c:v>2.3028399902583199</c:v>
                </c:pt>
                <c:pt idx="20">
                  <c:v>2.215218537197178</c:v>
                </c:pt>
                <c:pt idx="21">
                  <c:v>2.1266425111688161</c:v>
                </c:pt>
                <c:pt idx="22">
                  <c:v>2.0506145249123464</c:v>
                </c:pt>
                <c:pt idx="23">
                  <c:v>1.9768152616834005</c:v>
                </c:pt>
                <c:pt idx="24">
                  <c:v>1.9133528634952248</c:v>
                </c:pt>
                <c:pt idx="25">
                  <c:v>1.836244014259639</c:v>
                </c:pt>
                <c:pt idx="26">
                  <c:v>1.5986131793943845</c:v>
                </c:pt>
                <c:pt idx="27">
                  <c:v>1.5219727533288536</c:v>
                </c:pt>
                <c:pt idx="28">
                  <c:v>1.4515396197233172</c:v>
                </c:pt>
                <c:pt idx="29">
                  <c:v>1.3852732624225501</c:v>
                </c:pt>
                <c:pt idx="30">
                  <c:v>1.3226320678582923</c:v>
                </c:pt>
              </c:numCache>
            </c:numRef>
          </c:val>
          <c:extLst>
            <c:ext xmlns:c16="http://schemas.microsoft.com/office/drawing/2014/chart" uri="{C3380CC4-5D6E-409C-BE32-E72D297353CC}">
              <c16:uniqueId val="{00000000-BBB2-40A7-A31B-AD8728670AA9}"/>
            </c:ext>
          </c:extLst>
        </c:ser>
        <c:ser>
          <c:idx val="1"/>
          <c:order val="1"/>
          <c:tx>
            <c:strRef>
              <c:f>'Swiss Climate Strategy'!$P$6</c:f>
              <c:strCache>
                <c:ptCount val="1"/>
                <c:pt idx="0">
                  <c:v>Rénovations</c:v>
                </c:pt>
              </c:strCache>
            </c:strRef>
          </c:tx>
          <c:spPr>
            <a:solidFill>
              <a:schemeClr val="accent2"/>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Strategy'!$P$37:$P$67</c:f>
              <c:numCache>
                <c:formatCode>0.00</c:formatCode>
                <c:ptCount val="31"/>
                <c:pt idx="0">
                  <c:v>3.1992347436339745</c:v>
                </c:pt>
                <c:pt idx="1">
                  <c:v>3.1504517706544646</c:v>
                </c:pt>
                <c:pt idx="2">
                  <c:v>3.1052987899580424</c:v>
                </c:pt>
                <c:pt idx="3">
                  <c:v>3.0608825762035212</c:v>
                </c:pt>
                <c:pt idx="4">
                  <c:v>3.0146702008704853</c:v>
                </c:pt>
                <c:pt idx="5">
                  <c:v>2.7828228940094744</c:v>
                </c:pt>
                <c:pt idx="6">
                  <c:v>2.7014198164600383</c:v>
                </c:pt>
                <c:pt idx="7">
                  <c:v>2.6320665945787858</c:v>
                </c:pt>
                <c:pt idx="8">
                  <c:v>2.5735077088635854</c:v>
                </c:pt>
                <c:pt idx="9">
                  <c:v>2.510835602588751</c:v>
                </c:pt>
                <c:pt idx="10">
                  <c:v>2.4496035703451855</c:v>
                </c:pt>
                <c:pt idx="11">
                  <c:v>2.3859696342696126</c:v>
                </c:pt>
                <c:pt idx="12">
                  <c:v>2.3054019342538115</c:v>
                </c:pt>
                <c:pt idx="13">
                  <c:v>2.2412131060788898</c:v>
                </c:pt>
                <c:pt idx="14">
                  <c:v>2.1812679530271462</c:v>
                </c:pt>
                <c:pt idx="15">
                  <c:v>2.1028127181636225</c:v>
                </c:pt>
                <c:pt idx="16">
                  <c:v>2.0325794380130757</c:v>
                </c:pt>
                <c:pt idx="17">
                  <c:v>1.9675826711482174</c:v>
                </c:pt>
                <c:pt idx="18">
                  <c:v>1.8979792545917575</c:v>
                </c:pt>
                <c:pt idx="19">
                  <c:v>1.8291478982802778</c:v>
                </c:pt>
                <c:pt idx="20">
                  <c:v>1.7595500984378871</c:v>
                </c:pt>
                <c:pt idx="21">
                  <c:v>1.6891940804196213</c:v>
                </c:pt>
                <c:pt idx="22">
                  <c:v>1.6288049818023511</c:v>
                </c:pt>
                <c:pt idx="23">
                  <c:v>1.5701861599124649</c:v>
                </c:pt>
                <c:pt idx="24">
                  <c:v>1.5197779193239793</c:v>
                </c:pt>
                <c:pt idx="25">
                  <c:v>1.4585302902595469</c:v>
                </c:pt>
                <c:pt idx="26">
                  <c:v>1.2697799020436422</c:v>
                </c:pt>
                <c:pt idx="27">
                  <c:v>1.208904341929131</c:v>
                </c:pt>
                <c:pt idx="28">
                  <c:v>1.1529592398600075</c:v>
                </c:pt>
                <c:pt idx="29">
                  <c:v>1.1003238119986947</c:v>
                </c:pt>
                <c:pt idx="30">
                  <c:v>1.0505678541954235</c:v>
                </c:pt>
              </c:numCache>
            </c:numRef>
          </c:val>
          <c:extLst>
            <c:ext xmlns:c16="http://schemas.microsoft.com/office/drawing/2014/chart" uri="{C3380CC4-5D6E-409C-BE32-E72D297353CC}">
              <c16:uniqueId val="{00000001-BBB2-40A7-A31B-AD8728670AA9}"/>
            </c:ext>
          </c:extLst>
        </c:ser>
        <c:dLbls>
          <c:showLegendKey val="0"/>
          <c:showVal val="0"/>
          <c:showCatName val="0"/>
          <c:showSerName val="0"/>
          <c:showPercent val="0"/>
          <c:showBubbleSize val="0"/>
        </c:dLbls>
        <c:gapWidth val="100"/>
        <c:overlap val="100"/>
        <c:axId val="218428784"/>
        <c:axId val="218430448"/>
      </c:barChart>
      <c:catAx>
        <c:axId val="2184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30448"/>
        <c:crosses val="autoZero"/>
        <c:auto val="1"/>
        <c:lblAlgn val="ctr"/>
        <c:lblOffset val="100"/>
        <c:noMultiLvlLbl val="0"/>
      </c:catAx>
      <c:valAx>
        <c:axId val="21843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Million tonnes of 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2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Budget GES nouvelles</a:t>
            </a:r>
            <a:r>
              <a:rPr lang="fr-CH" baseline="0"/>
              <a:t> </a:t>
            </a:r>
            <a:r>
              <a:rPr lang="fr-CH"/>
              <a:t>constructions </a:t>
            </a:r>
            <a:r>
              <a:rPr lang="fr-CH" baseline="0"/>
              <a:t>2020-2050 (émissions grises) ¦ répartition upfront [A] et remplacements [B]</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'Swiss Climate Strategy'!$U$6</c:f>
              <c:strCache>
                <c:ptCount val="1"/>
                <c:pt idx="0">
                  <c:v>Nouvelles construction upfront target</c:v>
                </c:pt>
              </c:strCache>
            </c:strRef>
          </c:tx>
          <c:spPr>
            <a:solidFill>
              <a:schemeClr val="accent1"/>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Strategy'!$U$37:$U$67</c:f>
              <c:numCache>
                <c:formatCode>0</c:formatCode>
                <c:ptCount val="31"/>
                <c:pt idx="0">
                  <c:v>522.35874962395087</c:v>
                </c:pt>
                <c:pt idx="1">
                  <c:v>510.85745931429915</c:v>
                </c:pt>
                <c:pt idx="2">
                  <c:v>500.09781828949548</c:v>
                </c:pt>
                <c:pt idx="3">
                  <c:v>489.60195418719985</c:v>
                </c:pt>
                <c:pt idx="4">
                  <c:v>478.96211255367052</c:v>
                </c:pt>
                <c:pt idx="5">
                  <c:v>439.16882437028596</c:v>
                </c:pt>
                <c:pt idx="6">
                  <c:v>423.48890835140691</c:v>
                </c:pt>
                <c:pt idx="7">
                  <c:v>409.89256312938585</c:v>
                </c:pt>
                <c:pt idx="8">
                  <c:v>398.14455106419842</c:v>
                </c:pt>
                <c:pt idx="9">
                  <c:v>385.91743685000199</c:v>
                </c:pt>
                <c:pt idx="10">
                  <c:v>374.06854553324115</c:v>
                </c:pt>
                <c:pt idx="11">
                  <c:v>362.00766025954346</c:v>
                </c:pt>
                <c:pt idx="12">
                  <c:v>347.54811251320945</c:v>
                </c:pt>
                <c:pt idx="13">
                  <c:v>335.7257149679545</c:v>
                </c:pt>
                <c:pt idx="14">
                  <c:v>324.68420441954771</c:v>
                </c:pt>
                <c:pt idx="15">
                  <c:v>311.04320690378205</c:v>
                </c:pt>
                <c:pt idx="16">
                  <c:v>298.7808209249585</c:v>
                </c:pt>
                <c:pt idx="17">
                  <c:v>287.43530239245393</c:v>
                </c:pt>
                <c:pt idx="18">
                  <c:v>275.56062827607457</c:v>
                </c:pt>
                <c:pt idx="19">
                  <c:v>263.94264777525211</c:v>
                </c:pt>
                <c:pt idx="20">
                  <c:v>252.35602516880044</c:v>
                </c:pt>
                <c:pt idx="21">
                  <c:v>240.80136447381449</c:v>
                </c:pt>
                <c:pt idx="22">
                  <c:v>230.79781632642164</c:v>
                </c:pt>
                <c:pt idx="23">
                  <c:v>221.16308439607505</c:v>
                </c:pt>
                <c:pt idx="24">
                  <c:v>212.79234281701181</c:v>
                </c:pt>
                <c:pt idx="25">
                  <c:v>203.01166543411534</c:v>
                </c:pt>
                <c:pt idx="26">
                  <c:v>175.70284277378673</c:v>
                </c:pt>
                <c:pt idx="27">
                  <c:v>166.30374177018965</c:v>
                </c:pt>
                <c:pt idx="28">
                  <c:v>157.68796679973201</c:v>
                </c:pt>
                <c:pt idx="29">
                  <c:v>149.62157709721831</c:v>
                </c:pt>
                <c:pt idx="30">
                  <c:v>142.03696208901502</c:v>
                </c:pt>
              </c:numCache>
            </c:numRef>
          </c:val>
          <c:extLst>
            <c:ext xmlns:c16="http://schemas.microsoft.com/office/drawing/2014/chart" uri="{C3380CC4-5D6E-409C-BE32-E72D297353CC}">
              <c16:uniqueId val="{00000000-7B81-4C7D-BFEA-E566E090D750}"/>
            </c:ext>
          </c:extLst>
        </c:ser>
        <c:ser>
          <c:idx val="1"/>
          <c:order val="1"/>
          <c:tx>
            <c:strRef>
              <c:f>'Swiss Climate Strategy'!$V$6</c:f>
              <c:strCache>
                <c:ptCount val="1"/>
                <c:pt idx="0">
                  <c:v>Nouvelles constructions target remplacements</c:v>
                </c:pt>
              </c:strCache>
            </c:strRef>
          </c:tx>
          <c:spPr>
            <a:solidFill>
              <a:schemeClr val="accent2"/>
            </a:solidFill>
            <a:ln>
              <a:noFill/>
            </a:ln>
            <a:effectLst/>
          </c:spPr>
          <c:invertIfNegative val="0"/>
          <c:cat>
            <c:numRef>
              <c:f>'Swiss Climate Strategy'!$B$37:$B$67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Strategy'!$V$37:$V$67</c:f>
              <c:numCache>
                <c:formatCode>0</c:formatCode>
                <c:ptCount val="31"/>
                <c:pt idx="0">
                  <c:v>183.53145257057736</c:v>
                </c:pt>
                <c:pt idx="1">
                  <c:v>179.490458677997</c:v>
                </c:pt>
                <c:pt idx="2">
                  <c:v>175.7100442638768</c:v>
                </c:pt>
                <c:pt idx="3">
                  <c:v>172.0223082279351</c:v>
                </c:pt>
                <c:pt idx="4">
                  <c:v>168.28398549183021</c:v>
                </c:pt>
                <c:pt idx="5">
                  <c:v>154.30255991388427</c:v>
                </c:pt>
                <c:pt idx="6">
                  <c:v>148.79340023157539</c:v>
                </c:pt>
                <c:pt idx="7">
                  <c:v>144.01630596437883</c:v>
                </c:pt>
                <c:pt idx="8">
                  <c:v>139.88862604958325</c:v>
                </c:pt>
                <c:pt idx="9">
                  <c:v>135.59261294729799</c:v>
                </c:pt>
                <c:pt idx="10">
                  <c:v>131.4294889711388</c:v>
                </c:pt>
                <c:pt idx="11">
                  <c:v>127.19188063173148</c:v>
                </c:pt>
                <c:pt idx="12">
                  <c:v>122.11149899112765</c:v>
                </c:pt>
                <c:pt idx="13">
                  <c:v>117.95768363738942</c:v>
                </c:pt>
                <c:pt idx="14">
                  <c:v>114.07823398524651</c:v>
                </c:pt>
                <c:pt idx="15">
                  <c:v>109.2854510743018</c:v>
                </c:pt>
                <c:pt idx="16">
                  <c:v>104.97704518985029</c:v>
                </c:pt>
                <c:pt idx="17">
                  <c:v>100.990781921673</c:v>
                </c:pt>
                <c:pt idx="18">
                  <c:v>96.818599124026207</c:v>
                </c:pt>
                <c:pt idx="19">
                  <c:v>92.736605975088594</c:v>
                </c:pt>
                <c:pt idx="20">
                  <c:v>88.665630464713672</c:v>
                </c:pt>
                <c:pt idx="21">
                  <c:v>84.605884815124014</c:v>
                </c:pt>
                <c:pt idx="22">
                  <c:v>81.091124655229237</c:v>
                </c:pt>
                <c:pt idx="23">
                  <c:v>77.705948571593936</c:v>
                </c:pt>
                <c:pt idx="24">
                  <c:v>74.764877205977129</c:v>
                </c:pt>
                <c:pt idx="25">
                  <c:v>71.328422990364857</c:v>
                </c:pt>
                <c:pt idx="26">
                  <c:v>61.733431244843985</c:v>
                </c:pt>
                <c:pt idx="27">
                  <c:v>58.431044405742313</c:v>
                </c:pt>
                <c:pt idx="28">
                  <c:v>55.40388022693287</c:v>
                </c:pt>
                <c:pt idx="29">
                  <c:v>52.569743304428059</c:v>
                </c:pt>
                <c:pt idx="30">
                  <c:v>49.904878571816091</c:v>
                </c:pt>
              </c:numCache>
            </c:numRef>
          </c:val>
          <c:extLst>
            <c:ext xmlns:c16="http://schemas.microsoft.com/office/drawing/2014/chart" uri="{C3380CC4-5D6E-409C-BE32-E72D297353CC}">
              <c16:uniqueId val="{00000001-7B81-4C7D-BFEA-E566E090D750}"/>
            </c:ext>
          </c:extLst>
        </c:ser>
        <c:dLbls>
          <c:showLegendKey val="0"/>
          <c:showVal val="0"/>
          <c:showCatName val="0"/>
          <c:showSerName val="0"/>
          <c:showPercent val="0"/>
          <c:showBubbleSize val="0"/>
        </c:dLbls>
        <c:gapWidth val="100"/>
        <c:overlap val="100"/>
        <c:axId val="218428784"/>
        <c:axId val="218430448"/>
      </c:barChart>
      <c:catAx>
        <c:axId val="2184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30448"/>
        <c:crosses val="autoZero"/>
        <c:auto val="1"/>
        <c:lblAlgn val="ctr"/>
        <c:lblOffset val="100"/>
        <c:noMultiLvlLbl val="0"/>
      </c:catAx>
      <c:valAx>
        <c:axId val="21843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kgCO2eq/m2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42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Surfaces!$E$5</c:f>
              <c:strCache>
                <c:ptCount val="1"/>
                <c:pt idx="0">
                  <c:v>New_surf_cum</c:v>
                </c:pt>
              </c:strCache>
            </c:strRef>
          </c:tx>
          <c:spPr>
            <a:solidFill>
              <a:schemeClr val="accent1"/>
            </a:solidFill>
            <a:ln>
              <a:noFill/>
            </a:ln>
            <a:effectLst/>
          </c:spPr>
          <c:invertIfNegative val="0"/>
          <c:cat>
            <c:numRef>
              <c:f>Surfaces!$B$6:$B$38</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Surfaces!$E$6:$E$38</c:f>
              <c:numCache>
                <c:formatCode>#,##0</c:formatCode>
                <c:ptCount val="33"/>
                <c:pt idx="0">
                  <c:v>5064212.9340000004</c:v>
                </c:pt>
                <c:pt idx="1">
                  <c:v>10163972.851312499</c:v>
                </c:pt>
                <c:pt idx="2">
                  <c:v>15299279.751937501</c:v>
                </c:pt>
                <c:pt idx="3">
                  <c:v>20470133.635875002</c:v>
                </c:pt>
                <c:pt idx="4">
                  <c:v>25676534.503125001</c:v>
                </c:pt>
                <c:pt idx="5">
                  <c:v>30918482.353687502</c:v>
                </c:pt>
                <c:pt idx="6">
                  <c:v>36195977.187562503</c:v>
                </c:pt>
                <c:pt idx="7">
                  <c:v>41509019.004749998</c:v>
                </c:pt>
                <c:pt idx="8">
                  <c:v>46857607.805249996</c:v>
                </c:pt>
                <c:pt idx="9">
                  <c:v>52241743.589062497</c:v>
                </c:pt>
                <c:pt idx="10">
                  <c:v>57661426.356187493</c:v>
                </c:pt>
                <c:pt idx="11">
                  <c:v>63116656.106624991</c:v>
                </c:pt>
                <c:pt idx="12">
                  <c:v>68607432.840374991</c:v>
                </c:pt>
                <c:pt idx="13">
                  <c:v>74133756.557437494</c:v>
                </c:pt>
                <c:pt idx="14">
                  <c:v>79695627.2578125</c:v>
                </c:pt>
                <c:pt idx="15">
                  <c:v>85293044.941499993</c:v>
                </c:pt>
                <c:pt idx="16">
                  <c:v>90926009.608499989</c:v>
                </c:pt>
                <c:pt idx="17">
                  <c:v>96594521.258812487</c:v>
                </c:pt>
                <c:pt idx="18">
                  <c:v>102298579.89243749</c:v>
                </c:pt>
                <c:pt idx="19">
                  <c:v>108038185.50937499</c:v>
                </c:pt>
                <c:pt idx="20">
                  <c:v>113813338.109625</c:v>
                </c:pt>
                <c:pt idx="21">
                  <c:v>119624037.69318749</c:v>
                </c:pt>
                <c:pt idx="22">
                  <c:v>125470284.26006249</c:v>
                </c:pt>
                <c:pt idx="23">
                  <c:v>131352077.81024998</c:v>
                </c:pt>
                <c:pt idx="24">
                  <c:v>137269418.34374997</c:v>
                </c:pt>
                <c:pt idx="25">
                  <c:v>143222305.86056247</c:v>
                </c:pt>
                <c:pt idx="26">
                  <c:v>149210740.36068746</c:v>
                </c:pt>
                <c:pt idx="27">
                  <c:v>155234721.84412497</c:v>
                </c:pt>
                <c:pt idx="28">
                  <c:v>161294250.31087497</c:v>
                </c:pt>
                <c:pt idx="29">
                  <c:v>167389325.76093748</c:v>
                </c:pt>
                <c:pt idx="30">
                  <c:v>173519948.19431248</c:v>
                </c:pt>
                <c:pt idx="31">
                  <c:v>179686117.61099997</c:v>
                </c:pt>
                <c:pt idx="32">
                  <c:v>185887834.01099998</c:v>
                </c:pt>
              </c:numCache>
            </c:numRef>
          </c:val>
          <c:extLst>
            <c:ext xmlns:c16="http://schemas.microsoft.com/office/drawing/2014/chart" uri="{C3380CC4-5D6E-409C-BE32-E72D297353CC}">
              <c16:uniqueId val="{00000000-03DE-4A14-B973-1B53AB0C74E7}"/>
            </c:ext>
          </c:extLst>
        </c:ser>
        <c:ser>
          <c:idx val="1"/>
          <c:order val="1"/>
          <c:tx>
            <c:strRef>
              <c:f>Surfaces!$I$5</c:f>
              <c:strCache>
                <c:ptCount val="1"/>
                <c:pt idx="0">
                  <c:v>Ren_Surf_cum</c:v>
                </c:pt>
              </c:strCache>
            </c:strRef>
          </c:tx>
          <c:spPr>
            <a:solidFill>
              <a:schemeClr val="accent2"/>
            </a:solidFill>
            <a:ln>
              <a:noFill/>
            </a:ln>
            <a:effectLst/>
          </c:spPr>
          <c:invertIfNegative val="0"/>
          <c:cat>
            <c:numRef>
              <c:f>Surfaces!$B$6:$B$38</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Surfaces!$I$6:$I$38</c:f>
              <c:numCache>
                <c:formatCode>#,##0</c:formatCode>
                <c:ptCount val="33"/>
                <c:pt idx="0">
                  <c:v>3929458</c:v>
                </c:pt>
                <c:pt idx="1">
                  <c:v>8104507.125</c:v>
                </c:pt>
                <c:pt idx="2">
                  <c:v>12525147.375</c:v>
                </c:pt>
                <c:pt idx="3">
                  <c:v>17191378.75</c:v>
                </c:pt>
                <c:pt idx="4">
                  <c:v>22103201.25</c:v>
                </c:pt>
                <c:pt idx="5">
                  <c:v>27260614.875</c:v>
                </c:pt>
                <c:pt idx="6">
                  <c:v>32663619.625</c:v>
                </c:pt>
                <c:pt idx="7">
                  <c:v>38312215.5</c:v>
                </c:pt>
                <c:pt idx="8">
                  <c:v>44206402.5</c:v>
                </c:pt>
                <c:pt idx="9">
                  <c:v>50346180.625</c:v>
                </c:pt>
                <c:pt idx="10">
                  <c:v>56731549.875</c:v>
                </c:pt>
                <c:pt idx="11">
                  <c:v>63362510.25</c:v>
                </c:pt>
                <c:pt idx="12">
                  <c:v>70239061.75</c:v>
                </c:pt>
                <c:pt idx="13">
                  <c:v>77361204.375</c:v>
                </c:pt>
                <c:pt idx="14">
                  <c:v>84728938.125</c:v>
                </c:pt>
                <c:pt idx="15">
                  <c:v>92342263</c:v>
                </c:pt>
                <c:pt idx="16">
                  <c:v>100201179</c:v>
                </c:pt>
                <c:pt idx="17">
                  <c:v>108305686.125</c:v>
                </c:pt>
                <c:pt idx="18">
                  <c:v>116655784.375</c:v>
                </c:pt>
                <c:pt idx="19">
                  <c:v>125251473.75</c:v>
                </c:pt>
                <c:pt idx="20">
                  <c:v>134092754.25</c:v>
                </c:pt>
                <c:pt idx="21">
                  <c:v>143179625.875</c:v>
                </c:pt>
                <c:pt idx="22">
                  <c:v>152512088.625</c:v>
                </c:pt>
                <c:pt idx="23">
                  <c:v>162090142.5</c:v>
                </c:pt>
                <c:pt idx="24">
                  <c:v>171913787.5</c:v>
                </c:pt>
                <c:pt idx="25">
                  <c:v>181983023.625</c:v>
                </c:pt>
                <c:pt idx="26">
                  <c:v>192297850.875</c:v>
                </c:pt>
                <c:pt idx="27">
                  <c:v>202858269.25</c:v>
                </c:pt>
                <c:pt idx="28">
                  <c:v>213664278.75</c:v>
                </c:pt>
                <c:pt idx="29">
                  <c:v>224715879.375</c:v>
                </c:pt>
                <c:pt idx="30">
                  <c:v>236013071.125</c:v>
                </c:pt>
                <c:pt idx="31">
                  <c:v>247555854</c:v>
                </c:pt>
                <c:pt idx="32">
                  <c:v>259344228</c:v>
                </c:pt>
              </c:numCache>
            </c:numRef>
          </c:val>
          <c:extLst>
            <c:ext xmlns:c16="http://schemas.microsoft.com/office/drawing/2014/chart" uri="{C3380CC4-5D6E-409C-BE32-E72D297353CC}">
              <c16:uniqueId val="{00000001-03DE-4A14-B973-1B53AB0C74E7}"/>
            </c:ext>
          </c:extLst>
        </c:ser>
        <c:ser>
          <c:idx val="2"/>
          <c:order val="2"/>
          <c:tx>
            <c:strRef>
              <c:f>Surfaces!$K$5</c:f>
              <c:strCache>
                <c:ptCount val="1"/>
                <c:pt idx="0">
                  <c:v>Remaining_Stock_surfaces</c:v>
                </c:pt>
              </c:strCache>
            </c:strRef>
          </c:tx>
          <c:spPr>
            <a:solidFill>
              <a:schemeClr val="accent3"/>
            </a:solidFill>
            <a:ln>
              <a:noFill/>
            </a:ln>
            <a:effectLst/>
          </c:spPr>
          <c:invertIfNegative val="0"/>
          <c:cat>
            <c:numRef>
              <c:f>Surfaces!$B$6:$B$38</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Surfaces!$K$6:$K$38</c:f>
              <c:numCache>
                <c:formatCode>#,##0</c:formatCode>
                <c:ptCount val="33"/>
                <c:pt idx="0">
                  <c:v>389016342</c:v>
                </c:pt>
                <c:pt idx="1">
                  <c:v>384841292.875</c:v>
                </c:pt>
                <c:pt idx="2">
                  <c:v>380420652.625</c:v>
                </c:pt>
                <c:pt idx="3">
                  <c:v>375754421.25</c:v>
                </c:pt>
                <c:pt idx="4">
                  <c:v>370842598.75</c:v>
                </c:pt>
                <c:pt idx="5">
                  <c:v>365685185.125</c:v>
                </c:pt>
                <c:pt idx="6">
                  <c:v>360282180.375</c:v>
                </c:pt>
                <c:pt idx="7">
                  <c:v>354633584.5</c:v>
                </c:pt>
                <c:pt idx="8">
                  <c:v>348739397.5</c:v>
                </c:pt>
                <c:pt idx="9">
                  <c:v>342599619.375</c:v>
                </c:pt>
                <c:pt idx="10">
                  <c:v>336214250.125</c:v>
                </c:pt>
                <c:pt idx="11">
                  <c:v>329583289.75</c:v>
                </c:pt>
                <c:pt idx="12">
                  <c:v>322706738.25</c:v>
                </c:pt>
                <c:pt idx="13">
                  <c:v>315584595.625</c:v>
                </c:pt>
                <c:pt idx="14">
                  <c:v>308216861.875</c:v>
                </c:pt>
                <c:pt idx="15">
                  <c:v>300603537</c:v>
                </c:pt>
                <c:pt idx="16">
                  <c:v>292744621</c:v>
                </c:pt>
                <c:pt idx="17">
                  <c:v>284640113.875</c:v>
                </c:pt>
                <c:pt idx="18">
                  <c:v>276290015.625</c:v>
                </c:pt>
                <c:pt idx="19">
                  <c:v>267694326.25</c:v>
                </c:pt>
                <c:pt idx="20">
                  <c:v>258853045.75</c:v>
                </c:pt>
                <c:pt idx="21">
                  <c:v>249766174.125</c:v>
                </c:pt>
                <c:pt idx="22">
                  <c:v>240433711.375</c:v>
                </c:pt>
                <c:pt idx="23">
                  <c:v>230855657.5</c:v>
                </c:pt>
                <c:pt idx="24">
                  <c:v>221032012.5</c:v>
                </c:pt>
                <c:pt idx="25">
                  <c:v>210962776.375</c:v>
                </c:pt>
                <c:pt idx="26">
                  <c:v>200647949.125</c:v>
                </c:pt>
                <c:pt idx="27">
                  <c:v>190087530.75</c:v>
                </c:pt>
                <c:pt idx="28">
                  <c:v>179281521.25</c:v>
                </c:pt>
                <c:pt idx="29">
                  <c:v>168229920.625</c:v>
                </c:pt>
                <c:pt idx="30">
                  <c:v>156932728.875</c:v>
                </c:pt>
                <c:pt idx="31">
                  <c:v>145389946</c:v>
                </c:pt>
                <c:pt idx="32">
                  <c:v>133601572</c:v>
                </c:pt>
              </c:numCache>
            </c:numRef>
          </c:val>
          <c:extLst>
            <c:ext xmlns:c16="http://schemas.microsoft.com/office/drawing/2014/chart" uri="{C3380CC4-5D6E-409C-BE32-E72D297353CC}">
              <c16:uniqueId val="{00000002-03DE-4A14-B973-1B53AB0C74E7}"/>
            </c:ext>
          </c:extLst>
        </c:ser>
        <c:dLbls>
          <c:showLegendKey val="0"/>
          <c:showVal val="0"/>
          <c:showCatName val="0"/>
          <c:showSerName val="0"/>
          <c:showPercent val="0"/>
          <c:showBubbleSize val="0"/>
        </c:dLbls>
        <c:gapWidth val="150"/>
        <c:overlap val="100"/>
        <c:axId val="1567727487"/>
        <c:axId val="1567725407"/>
      </c:barChart>
      <c:catAx>
        <c:axId val="1567727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67725407"/>
        <c:crosses val="autoZero"/>
        <c:auto val="1"/>
        <c:lblAlgn val="ctr"/>
        <c:lblOffset val="100"/>
        <c:noMultiLvlLbl val="0"/>
      </c:catAx>
      <c:valAx>
        <c:axId val="1567725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67727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Budget carbone Bâtiment 1 sur durée de vie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'Outil Cibles'!$B$11</c:f>
              <c:strCache>
                <c:ptCount val="1"/>
                <c:pt idx="0">
                  <c:v>Budget "upfront" (fin de chantier)</c:v>
                </c:pt>
              </c:strCache>
            </c:strRef>
          </c:tx>
          <c:spPr>
            <a:solidFill>
              <a:schemeClr val="accent1"/>
            </a:solidFill>
            <a:ln>
              <a:noFill/>
            </a:ln>
            <a:effectLst/>
          </c:spPr>
          <c:invertIfNegative val="0"/>
          <c:cat>
            <c:numRef>
              <c:f>'Background graphCON'!$A$5:$A$83</c:f>
              <c:numCache>
                <c:formatCode>General</c:formatCode>
                <c:ptCount val="7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pt idx="51">
                  <c:v>2073</c:v>
                </c:pt>
                <c:pt idx="52">
                  <c:v>2074</c:v>
                </c:pt>
                <c:pt idx="53">
                  <c:v>2075</c:v>
                </c:pt>
                <c:pt idx="54">
                  <c:v>2076</c:v>
                </c:pt>
                <c:pt idx="55">
                  <c:v>2077</c:v>
                </c:pt>
                <c:pt idx="56">
                  <c:v>2078</c:v>
                </c:pt>
                <c:pt idx="57">
                  <c:v>2079</c:v>
                </c:pt>
                <c:pt idx="58">
                  <c:v>2080</c:v>
                </c:pt>
                <c:pt idx="59">
                  <c:v>2081</c:v>
                </c:pt>
                <c:pt idx="60">
                  <c:v>2082</c:v>
                </c:pt>
                <c:pt idx="61">
                  <c:v>2083</c:v>
                </c:pt>
                <c:pt idx="62">
                  <c:v>2084</c:v>
                </c:pt>
                <c:pt idx="63">
                  <c:v>2085</c:v>
                </c:pt>
                <c:pt idx="64">
                  <c:v>2086</c:v>
                </c:pt>
                <c:pt idx="65">
                  <c:v>2087</c:v>
                </c:pt>
                <c:pt idx="66">
                  <c:v>2088</c:v>
                </c:pt>
                <c:pt idx="67">
                  <c:v>2089</c:v>
                </c:pt>
                <c:pt idx="68">
                  <c:v>2090</c:v>
                </c:pt>
                <c:pt idx="69">
                  <c:v>2091</c:v>
                </c:pt>
                <c:pt idx="70">
                  <c:v>2092</c:v>
                </c:pt>
                <c:pt idx="71">
                  <c:v>2093</c:v>
                </c:pt>
                <c:pt idx="72">
                  <c:v>2094</c:v>
                </c:pt>
                <c:pt idx="73">
                  <c:v>2095</c:v>
                </c:pt>
                <c:pt idx="74">
                  <c:v>2096</c:v>
                </c:pt>
                <c:pt idx="75">
                  <c:v>2097</c:v>
                </c:pt>
                <c:pt idx="76">
                  <c:v>2098</c:v>
                </c:pt>
                <c:pt idx="77">
                  <c:v>2099</c:v>
                </c:pt>
                <c:pt idx="78">
                  <c:v>2100</c:v>
                </c:pt>
              </c:numCache>
            </c:numRef>
          </c:cat>
          <c:val>
            <c:numRef>
              <c:f>'Background graphCON'!$AA$5:$AA$83</c:f>
              <c:numCache>
                <c:formatCode>General</c:formatCode>
                <c:ptCount val="79"/>
                <c:pt idx="0">
                  <c:v>0</c:v>
                </c:pt>
                <c:pt idx="1">
                  <c:v>0</c:v>
                </c:pt>
                <c:pt idx="2">
                  <c:v>478962.11255367054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2-B068-4752-8987-9A8134E9589E}"/>
            </c:ext>
          </c:extLst>
        </c:ser>
        <c:ser>
          <c:idx val="1"/>
          <c:order val="1"/>
          <c:tx>
            <c:strRef>
              <c:f>'Outil Cibles'!$B$12</c:f>
              <c:strCache>
                <c:ptCount val="1"/>
                <c:pt idx="0">
                  <c:v>Budget remplacements (20 ans)</c:v>
                </c:pt>
              </c:strCache>
            </c:strRef>
          </c:tx>
          <c:spPr>
            <a:solidFill>
              <a:schemeClr val="accent2"/>
            </a:solidFill>
            <a:ln>
              <a:noFill/>
            </a:ln>
            <a:effectLst/>
          </c:spPr>
          <c:invertIfNegative val="0"/>
          <c:val>
            <c:numRef>
              <c:f>'Background graphCON'!$AC$5:$AC$83</c:f>
              <c:numCache>
                <c:formatCode>General</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7476.4877205977136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5-B068-4752-8987-9A8134E9589E}"/>
            </c:ext>
          </c:extLst>
        </c:ser>
        <c:ser>
          <c:idx val="2"/>
          <c:order val="2"/>
          <c:tx>
            <c:strRef>
              <c:f>'Outil Cibles'!$B$13</c:f>
              <c:strCache>
                <c:ptCount val="1"/>
                <c:pt idx="0">
                  <c:v>Budget remplacements (30 ans)</c:v>
                </c:pt>
              </c:strCache>
            </c:strRef>
          </c:tx>
          <c:spPr>
            <a:solidFill>
              <a:schemeClr val="accent3"/>
            </a:solidFill>
            <a:ln>
              <a:noFill/>
            </a:ln>
            <a:effectLst/>
          </c:spPr>
          <c:invertIfNegative val="0"/>
          <c:val>
            <c:numRef>
              <c:f>'Background graphCON'!$AE$5:$AE$83</c:f>
              <c:numCache>
                <c:formatCode>General</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27378.470370472191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6-B068-4752-8987-9A8134E9589E}"/>
            </c:ext>
          </c:extLst>
        </c:ser>
        <c:ser>
          <c:idx val="3"/>
          <c:order val="3"/>
          <c:tx>
            <c:strRef>
              <c:f>'Outil Cibles'!$B$14</c:f>
              <c:strCache>
                <c:ptCount val="1"/>
                <c:pt idx="0">
                  <c:v>Budget remplacements (40 ans)</c:v>
                </c:pt>
              </c:strCache>
            </c:strRef>
          </c:tx>
          <c:spPr>
            <a:solidFill>
              <a:schemeClr val="accent4"/>
            </a:solidFill>
            <a:ln>
              <a:noFill/>
            </a:ln>
            <a:effectLst/>
          </c:spPr>
          <c:invertIfNegative val="0"/>
          <c:val>
            <c:numRef>
              <c:f>'Background graphCON'!$AG$5:$AG$83</c:f>
              <c:numCache>
                <c:formatCode>General</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2826.8976192775631</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7-B068-4752-8987-9A8134E9589E}"/>
            </c:ext>
          </c:extLst>
        </c:ser>
        <c:ser>
          <c:idx val="4"/>
          <c:order val="4"/>
          <c:tx>
            <c:strRef>
              <c:f>'Outil Cibles'!$B$28</c:f>
              <c:strCache>
                <c:ptCount val="1"/>
                <c:pt idx="0">
                  <c:v>Exploitation </c:v>
                </c:pt>
              </c:strCache>
            </c:strRef>
          </c:tx>
          <c:spPr>
            <a:solidFill>
              <a:srgbClr val="00B050"/>
            </a:solidFill>
            <a:ln>
              <a:noFill/>
            </a:ln>
            <a:effectLst/>
          </c:spPr>
          <c:invertIfNegative val="0"/>
          <c:val>
            <c:numRef>
              <c:f>'Background graphEXPL_CH'!$O$5:$O$83</c:f>
              <c:numCache>
                <c:formatCode>General</c:formatCode>
                <c:ptCount val="79"/>
                <c:pt idx="0">
                  <c:v>0</c:v>
                </c:pt>
                <c:pt idx="1">
                  <c:v>0</c:v>
                </c:pt>
                <c:pt idx="2">
                  <c:v>2585.5157380365981</c:v>
                </c:pt>
                <c:pt idx="3">
                  <c:v>2585.5157380365981</c:v>
                </c:pt>
                <c:pt idx="4">
                  <c:v>2585.5157380365981</c:v>
                </c:pt>
                <c:pt idx="5">
                  <c:v>2585.5157380365981</c:v>
                </c:pt>
                <c:pt idx="6">
                  <c:v>2585.5157380365981</c:v>
                </c:pt>
                <c:pt idx="7">
                  <c:v>2585.5157380365981</c:v>
                </c:pt>
                <c:pt idx="8">
                  <c:v>2585.5157380365981</c:v>
                </c:pt>
                <c:pt idx="9">
                  <c:v>2585.5157380365981</c:v>
                </c:pt>
                <c:pt idx="10">
                  <c:v>2585.5157380365981</c:v>
                </c:pt>
                <c:pt idx="11">
                  <c:v>2585.5157380365981</c:v>
                </c:pt>
                <c:pt idx="12">
                  <c:v>2585.5157380365981</c:v>
                </c:pt>
                <c:pt idx="13">
                  <c:v>2585.5157380365981</c:v>
                </c:pt>
                <c:pt idx="14">
                  <c:v>2585.5157380365981</c:v>
                </c:pt>
                <c:pt idx="15">
                  <c:v>2585.5157380365981</c:v>
                </c:pt>
                <c:pt idx="16">
                  <c:v>2585.5157380365981</c:v>
                </c:pt>
                <c:pt idx="17">
                  <c:v>2585.5157380365981</c:v>
                </c:pt>
                <c:pt idx="18">
                  <c:v>2585.5157380365981</c:v>
                </c:pt>
                <c:pt idx="19">
                  <c:v>2585.5157380365981</c:v>
                </c:pt>
                <c:pt idx="20">
                  <c:v>2585.5157380365981</c:v>
                </c:pt>
                <c:pt idx="21">
                  <c:v>2585.5157380365981</c:v>
                </c:pt>
                <c:pt idx="22">
                  <c:v>2585.5157380365981</c:v>
                </c:pt>
                <c:pt idx="23">
                  <c:v>414.69957764721318</c:v>
                </c:pt>
                <c:pt idx="24">
                  <c:v>414.69957764721318</c:v>
                </c:pt>
                <c:pt idx="25">
                  <c:v>414.69957764721318</c:v>
                </c:pt>
                <c:pt idx="26">
                  <c:v>414.69957764721318</c:v>
                </c:pt>
                <c:pt idx="27">
                  <c:v>414.69957764721318</c:v>
                </c:pt>
                <c:pt idx="28">
                  <c:v>414.69957764721318</c:v>
                </c:pt>
                <c:pt idx="29">
                  <c:v>414.69957764721318</c:v>
                </c:pt>
                <c:pt idx="30">
                  <c:v>414.69957764721318</c:v>
                </c:pt>
                <c:pt idx="31">
                  <c:v>414.69957764721318</c:v>
                </c:pt>
                <c:pt idx="32">
                  <c:v>414.69957764721318</c:v>
                </c:pt>
                <c:pt idx="33">
                  <c:v>414.69957764721318</c:v>
                </c:pt>
                <c:pt idx="34">
                  <c:v>414.69957764721318</c:v>
                </c:pt>
                <c:pt idx="35">
                  <c:v>414.69957764721318</c:v>
                </c:pt>
                <c:pt idx="36">
                  <c:v>414.69957764721318</c:v>
                </c:pt>
                <c:pt idx="37">
                  <c:v>414.69957764721318</c:v>
                </c:pt>
                <c:pt idx="38">
                  <c:v>414.69957764721318</c:v>
                </c:pt>
                <c:pt idx="39">
                  <c:v>414.69957764721318</c:v>
                </c:pt>
                <c:pt idx="40">
                  <c:v>414.69957764721318</c:v>
                </c:pt>
                <c:pt idx="41">
                  <c:v>414.69957764721318</c:v>
                </c:pt>
                <c:pt idx="42">
                  <c:v>414.69957764721318</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8-B068-4752-8987-9A8134E9589E}"/>
            </c:ext>
          </c:extLst>
        </c:ser>
        <c:dLbls>
          <c:showLegendKey val="0"/>
          <c:showVal val="0"/>
          <c:showCatName val="0"/>
          <c:showSerName val="0"/>
          <c:showPercent val="0"/>
          <c:showBubbleSize val="0"/>
        </c:dLbls>
        <c:gapWidth val="219"/>
        <c:overlap val="-27"/>
        <c:axId val="2014329952"/>
        <c:axId val="2014330368"/>
      </c:barChart>
      <c:catAx>
        <c:axId val="201432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4330368"/>
        <c:crosses val="autoZero"/>
        <c:auto val="1"/>
        <c:lblAlgn val="ctr"/>
        <c:lblOffset val="100"/>
        <c:noMultiLvlLbl val="0"/>
      </c:catAx>
      <c:valAx>
        <c:axId val="2014330368"/>
        <c:scaling>
          <c:orientation val="minMax"/>
          <c:max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kgCO2éq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4329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Operation</c:v>
          </c:tx>
          <c:spPr>
            <a:solidFill>
              <a:schemeClr val="accent1"/>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'1.5°C'!$L$37:$L$67</c:f>
              <c:numCache>
                <c:formatCode>#\ ##0.0</c:formatCode>
                <c:ptCount val="31"/>
                <c:pt idx="0">
                  <c:v>10.765477651780996</c:v>
                </c:pt>
                <c:pt idx="1">
                  <c:v>10.060961316790159</c:v>
                </c:pt>
                <c:pt idx="2">
                  <c:v>9.3564449817993225</c:v>
                </c:pt>
                <c:pt idx="3">
                  <c:v>8.6519286468084857</c:v>
                </c:pt>
                <c:pt idx="4">
                  <c:v>7.947412311817649</c:v>
                </c:pt>
                <c:pt idx="5">
                  <c:v>7.2428959768268122</c:v>
                </c:pt>
                <c:pt idx="6">
                  <c:v>6.5383796418359754</c:v>
                </c:pt>
                <c:pt idx="7">
                  <c:v>5.8338633068451387</c:v>
                </c:pt>
                <c:pt idx="8">
                  <c:v>5.1293469718543019</c:v>
                </c:pt>
                <c:pt idx="9">
                  <c:v>4.4248306368634651</c:v>
                </c:pt>
                <c:pt idx="10">
                  <c:v>3.7203143018726279</c:v>
                </c:pt>
                <c:pt idx="11">
                  <c:v>3.0157979668817907</c:v>
                </c:pt>
                <c:pt idx="12">
                  <c:v>2.3112816318909535</c:v>
                </c:pt>
                <c:pt idx="13">
                  <c:v>1.6067652969001163</c:v>
                </c:pt>
                <c:pt idx="14">
                  <c:v>0.90224896190927917</c:v>
                </c:pt>
                <c:pt idx="15">
                  <c:v>0.19773262691844207</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1029-45BD-8854-EE7625818B9C}"/>
            </c:ext>
          </c:extLst>
        </c:ser>
        <c:ser>
          <c:idx val="1"/>
          <c:order val="1"/>
          <c:tx>
            <c:v>Embodied</c:v>
          </c:tx>
          <c:spPr>
            <a:solidFill>
              <a:schemeClr val="accent2"/>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'1.5°C'!$M$37:$M$67</c:f>
              <c:numCache>
                <c:formatCode>0.00</c:formatCode>
                <c:ptCount val="31"/>
                <c:pt idx="0">
                  <c:v>6.5747702965999997</c:v>
                </c:pt>
                <c:pt idx="1">
                  <c:v>6.1237410542532391</c:v>
                </c:pt>
                <c:pt idx="2">
                  <c:v>5.7036524179314672</c:v>
                </c:pt>
                <c:pt idx="3">
                  <c:v>5.3123818620613692</c:v>
                </c:pt>
                <c:pt idx="4">
                  <c:v>4.9479524663239598</c:v>
                </c:pt>
                <c:pt idx="5">
                  <c:v>4.6085229271341346</c:v>
                </c:pt>
                <c:pt idx="6">
                  <c:v>4.2923782543327338</c:v>
                </c:pt>
                <c:pt idx="7">
                  <c:v>3.9979211060855087</c:v>
                </c:pt>
                <c:pt idx="8">
                  <c:v>3.723663718208043</c:v>
                </c:pt>
                <c:pt idx="9">
                  <c:v>3.4682203871389712</c:v>
                </c:pt>
                <c:pt idx="10">
                  <c:v>3.230300468581238</c:v>
                </c:pt>
                <c:pt idx="11">
                  <c:v>3.0087018564365646</c:v>
                </c:pt>
                <c:pt idx="12">
                  <c:v>2.8023049090850169</c:v>
                </c:pt>
                <c:pt idx="13">
                  <c:v>2.6100667923217844</c:v>
                </c:pt>
                <c:pt idx="14">
                  <c:v>2.4310162103685098</c:v>
                </c:pt>
                <c:pt idx="15">
                  <c:v>2.2642484983372304</c:v>
                </c:pt>
                <c:pt idx="16">
                  <c:v>2.1089210513512966</c:v>
                </c:pt>
                <c:pt idx="17">
                  <c:v>1.9642490672285977</c:v>
                </c:pt>
                <c:pt idx="18">
                  <c:v>1.8295015812167159</c:v>
                </c:pt>
                <c:pt idx="19">
                  <c:v>1.7039977727452491</c:v>
                </c:pt>
                <c:pt idx="20">
                  <c:v>1.5871035255349253</c:v>
                </c:pt>
                <c:pt idx="21">
                  <c:v>1.4782282236832294</c:v>
                </c:pt>
                <c:pt idx="22">
                  <c:v>1.3768217675385601</c:v>
                </c:pt>
                <c:pt idx="23">
                  <c:v>1.2823717942854145</c:v>
                </c:pt>
                <c:pt idx="24">
                  <c:v>1.1944010891974355</c:v>
                </c:pt>
                <c:pt idx="25">
                  <c:v>1.1124651744784912</c:v>
                </c:pt>
                <c:pt idx="26">
                  <c:v>1.0361500635092666</c:v>
                </c:pt>
                <c:pt idx="27">
                  <c:v>0.96507016915253119</c:v>
                </c:pt>
                <c:pt idx="28">
                  <c:v>0.89886635554866756</c:v>
                </c:pt>
                <c:pt idx="29">
                  <c:v>0.83720412355802876</c:v>
                </c:pt>
                <c:pt idx="30">
                  <c:v>0.77977192068194812</c:v>
                </c:pt>
              </c:numCache>
            </c:numRef>
          </c:val>
          <c:extLst>
            <c:ext xmlns:c16="http://schemas.microsoft.com/office/drawing/2014/chart" uri="{C3380CC4-5D6E-409C-BE32-E72D297353CC}">
              <c16:uniqueId val="{00000001-1029-45BD-8854-EE7625818B9C}"/>
            </c:ext>
          </c:extLst>
        </c:ser>
        <c:dLbls>
          <c:showLegendKey val="0"/>
          <c:showVal val="0"/>
          <c:showCatName val="0"/>
          <c:showSerName val="0"/>
          <c:showPercent val="0"/>
          <c:showBubbleSize val="0"/>
        </c:dLbls>
        <c:gapWidth val="219"/>
        <c:overlap val="-27"/>
        <c:axId val="1955709040"/>
        <c:axId val="1955724432"/>
      </c:barChart>
      <c:catAx>
        <c:axId val="195570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5724432"/>
        <c:crosses val="autoZero"/>
        <c:auto val="1"/>
        <c:lblAlgn val="ctr"/>
        <c:lblOffset val="100"/>
        <c:tickLblSkip val="10"/>
        <c:noMultiLvlLbl val="0"/>
      </c:catAx>
      <c:valAx>
        <c:axId val="1955724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MtCO2eq..year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570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Embodied targets - amortized - 1.5°C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'1.5°C'!$T$6</c:f>
              <c:strCache>
                <c:ptCount val="1"/>
                <c:pt idx="0">
                  <c:v>Nouvelles constructions</c:v>
                </c:pt>
              </c:strCache>
            </c:strRef>
          </c:tx>
          <c:spPr>
            <a:solidFill>
              <a:schemeClr val="tx1"/>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'1.5°C'!$T$37:$T$67</c:f>
              <c:numCache>
                <c:formatCode>0.0</c:formatCode>
                <c:ptCount val="31"/>
                <c:pt idx="0">
                  <c:v>12.591899163105863</c:v>
                </c:pt>
                <c:pt idx="1">
                  <c:v>11.647470209550912</c:v>
                </c:pt>
                <c:pt idx="2">
                  <c:v>10.774385348847447</c:v>
                </c:pt>
                <c:pt idx="3">
                  <c:v>9.9672108431849029</c:v>
                </c:pt>
                <c:pt idx="4">
                  <c:v>9.2209307000221994</c:v>
                </c:pt>
                <c:pt idx="5">
                  <c:v>8.5309142075158206</c:v>
                </c:pt>
                <c:pt idx="6">
                  <c:v>7.8928860244932029</c:v>
                </c:pt>
                <c:pt idx="7">
                  <c:v>7.3028986210487101</c:v>
                </c:pt>
                <c:pt idx="8">
                  <c:v>6.7573068823912257</c:v>
                </c:pt>
                <c:pt idx="9">
                  <c:v>6.2527447037544261</c:v>
                </c:pt>
                <c:pt idx="10">
                  <c:v>5.7861034181094277</c:v>
                </c:pt>
                <c:pt idx="11">
                  <c:v>5.354511911200114</c:v>
                </c:pt>
                <c:pt idx="12">
                  <c:v>4.9553182901509922</c:v>
                </c:pt>
                <c:pt idx="13">
                  <c:v>4.5860729826638584</c:v>
                </c:pt>
                <c:pt idx="14">
                  <c:v>4.2445131537040499</c:v>
                </c:pt>
                <c:pt idx="15">
                  <c:v>3.9285483356528981</c:v>
                </c:pt>
                <c:pt idx="16">
                  <c:v>3.636247176238018</c:v>
                </c:pt>
                <c:pt idx="17">
                  <c:v>3.3658252162087137</c:v>
                </c:pt>
                <c:pt idx="18">
                  <c:v>3.1156336157567535</c:v>
                </c:pt>
                <c:pt idx="19">
                  <c:v>2.8841487551444058</c:v>
                </c:pt>
                <c:pt idx="20">
                  <c:v>2.6699626409394961</c:v>
                </c:pt>
                <c:pt idx="21">
                  <c:v>2.4717740547144453</c:v>
                </c:pt>
                <c:pt idx="22">
                  <c:v>2.2883803860824354</c:v>
                </c:pt>
                <c:pt idx="23">
                  <c:v>2.11867009655534</c:v>
                </c:pt>
                <c:pt idx="24">
                  <c:v>1.9616157649480985</c:v>
                </c:pt>
                <c:pt idx="25">
                  <c:v>1.8162676689531405</c:v>
                </c:pt>
                <c:pt idx="26">
                  <c:v>1.6817478610944177</c:v>
                </c:pt>
                <c:pt idx="27">
                  <c:v>1.5572447005688621</c:v>
                </c:pt>
                <c:pt idx="28">
                  <c:v>1.4420078055173704</c:v>
                </c:pt>
                <c:pt idx="29">
                  <c:v>1.3353433930590495</c:v>
                </c:pt>
                <c:pt idx="30">
                  <c:v>1.2366099769912016</c:v>
                </c:pt>
              </c:numCache>
            </c:numRef>
          </c:val>
          <c:extLst>
            <c:ext xmlns:c16="http://schemas.microsoft.com/office/drawing/2014/chart" uri="{C3380CC4-5D6E-409C-BE32-E72D297353CC}">
              <c16:uniqueId val="{00000000-6FB6-49D4-A2CC-ACA6F7205F3D}"/>
            </c:ext>
          </c:extLst>
        </c:ser>
        <c:ser>
          <c:idx val="1"/>
          <c:order val="1"/>
          <c:tx>
            <c:strRef>
              <c:f>'1.5°C'!$U$6</c:f>
              <c:strCache>
                <c:ptCount val="1"/>
                <c:pt idx="0">
                  <c:v>Rénovations</c:v>
                </c:pt>
              </c:strCache>
            </c:strRef>
          </c:tx>
          <c:spPr>
            <a:solidFill>
              <a:schemeClr val="bg1">
                <a:lumMod val="85000"/>
              </a:schemeClr>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'1.5°C'!$U$37:$U$67</c:f>
              <c:numCache>
                <c:formatCode>0.0</c:formatCode>
                <c:ptCount val="31"/>
                <c:pt idx="0">
                  <c:v>9.6717894787545955</c:v>
                </c:pt>
                <c:pt idx="1">
                  <c:v>8.5341834194324502</c:v>
                </c:pt>
                <c:pt idx="2">
                  <c:v>7.5513015150164167</c:v>
                </c:pt>
                <c:pt idx="3">
                  <c:v>6.6983640296059912</c:v>
                </c:pt>
                <c:pt idx="4">
                  <c:v>5.9552718818488817</c:v>
                </c:pt>
                <c:pt idx="5">
                  <c:v>5.3055776120256111</c:v>
                </c:pt>
                <c:pt idx="6">
                  <c:v>4.7357143633472942</c:v>
                </c:pt>
                <c:pt idx="7">
                  <c:v>4.2344105837008028</c:v>
                </c:pt>
                <c:pt idx="8">
                  <c:v>3.7922404015951234</c:v>
                </c:pt>
                <c:pt idx="9">
                  <c:v>3.4012744615254866</c:v>
                </c:pt>
                <c:pt idx="10">
                  <c:v>3.0548060679839519</c:v>
                </c:pt>
                <c:pt idx="11">
                  <c:v>2.7471344278678296</c:v>
                </c:pt>
                <c:pt idx="12">
                  <c:v>2.4733916392455604</c:v>
                </c:pt>
                <c:pt idx="13">
                  <c:v>2.229403522058047</c:v>
                </c:pt>
                <c:pt idx="14">
                  <c:v>2.0115768641809626</c:v>
                </c:pt>
                <c:pt idx="15">
                  <c:v>1.8168074582285072</c:v>
                </c:pt>
                <c:pt idx="16">
                  <c:v>1.6424046293412669</c:v>
                </c:pt>
                <c:pt idx="17">
                  <c:v>1.4860289382893572</c:v>
                </c:pt>
                <c:pt idx="18">
                  <c:v>1.3456404822026318</c:v>
                </c:pt>
                <c:pt idx="19">
                  <c:v>1.2194557736337062</c:v>
                </c:pt>
                <c:pt idx="20">
                  <c:v>1.105911604731844</c:v>
                </c:pt>
                <c:pt idx="21">
                  <c:v>1.0036346309896176</c:v>
                </c:pt>
                <c:pt idx="22">
                  <c:v>0.91141566292113696</c:v>
                </c:pt>
                <c:pt idx="23">
                  <c:v>0.82818785214121626</c:v>
                </c:pt>
                <c:pt idx="24">
                  <c:v>0.75300811392517841</c:v>
                </c:pt>
                <c:pt idx="25">
                  <c:v>0.6850412513259595</c:v>
                </c:pt>
                <c:pt idx="26">
                  <c:v>0.62354634372397599</c:v>
                </c:pt>
                <c:pt idx="27">
                  <c:v>0.56786504088796663</c:v>
                </c:pt>
                <c:pt idx="28">
                  <c:v>0.51741146649429004</c:v>
                </c:pt>
                <c:pt idx="29">
                  <c:v>0.47166348585250972</c:v>
                </c:pt>
                <c:pt idx="30">
                  <c:v>0.43015513383296466</c:v>
                </c:pt>
              </c:numCache>
            </c:numRef>
          </c:val>
          <c:extLst>
            <c:ext xmlns:c16="http://schemas.microsoft.com/office/drawing/2014/chart" uri="{C3380CC4-5D6E-409C-BE32-E72D297353CC}">
              <c16:uniqueId val="{00000001-6FB6-49D4-A2CC-ACA6F7205F3D}"/>
            </c:ext>
          </c:extLst>
        </c:ser>
        <c:dLbls>
          <c:showLegendKey val="0"/>
          <c:showVal val="0"/>
          <c:showCatName val="0"/>
          <c:showSerName val="0"/>
          <c:showPercent val="0"/>
          <c:showBubbleSize val="0"/>
        </c:dLbls>
        <c:gapWidth val="219"/>
        <c:overlap val="-27"/>
        <c:axId val="1921811424"/>
        <c:axId val="1921808928"/>
      </c:barChart>
      <c:catAx>
        <c:axId val="192181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21808928"/>
        <c:crosses val="autoZero"/>
        <c:auto val="1"/>
        <c:lblAlgn val="ctr"/>
        <c:lblOffset val="100"/>
        <c:tickLblSkip val="10"/>
        <c:noMultiLvlLbl val="0"/>
      </c:catAx>
      <c:valAx>
        <c:axId val="1921808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kgCO2eq/m2.year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2181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Embodied targets - 1.5°C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'1.5°C'!$R$6</c:f>
              <c:strCache>
                <c:ptCount val="1"/>
                <c:pt idx="0">
                  <c:v>New buildings</c:v>
                </c:pt>
              </c:strCache>
            </c:strRef>
          </c:tx>
          <c:spPr>
            <a:solidFill>
              <a:schemeClr val="tx1"/>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'1.5°C'!$R$37:$R$67</c:f>
              <c:numCache>
                <c:formatCode>0.00</c:formatCode>
                <c:ptCount val="31"/>
                <c:pt idx="0">
                  <c:v>755.51394978635176</c:v>
                </c:pt>
                <c:pt idx="1">
                  <c:v>698.84821257305475</c:v>
                </c:pt>
                <c:pt idx="2">
                  <c:v>646.4631209308468</c:v>
                </c:pt>
                <c:pt idx="3">
                  <c:v>598.03265059109413</c:v>
                </c:pt>
                <c:pt idx="4">
                  <c:v>553.25584200133198</c:v>
                </c:pt>
                <c:pt idx="5">
                  <c:v>511.85485245094924</c:v>
                </c:pt>
                <c:pt idx="6">
                  <c:v>473.57316146959215</c:v>
                </c:pt>
                <c:pt idx="7">
                  <c:v>438.1739172629226</c:v>
                </c:pt>
                <c:pt idx="8">
                  <c:v>405.43841294347357</c:v>
                </c:pt>
                <c:pt idx="9">
                  <c:v>375.16468222526555</c:v>
                </c:pt>
                <c:pt idx="10">
                  <c:v>347.16620508656564</c:v>
                </c:pt>
                <c:pt idx="11">
                  <c:v>321.27071467200682</c:v>
                </c:pt>
                <c:pt idx="12">
                  <c:v>297.31909740905951</c:v>
                </c:pt>
                <c:pt idx="13">
                  <c:v>275.16437895983148</c:v>
                </c:pt>
                <c:pt idx="14">
                  <c:v>254.67078922224297</c:v>
                </c:pt>
                <c:pt idx="15">
                  <c:v>235.71290013917388</c:v>
                </c:pt>
                <c:pt idx="16">
                  <c:v>218.17483057428109</c:v>
                </c:pt>
                <c:pt idx="17">
                  <c:v>201.94951297252283</c:v>
                </c:pt>
                <c:pt idx="18">
                  <c:v>186.9380169454052</c:v>
                </c:pt>
                <c:pt idx="19">
                  <c:v>173.04892530866434</c:v>
                </c:pt>
                <c:pt idx="20">
                  <c:v>160.19775845636977</c:v>
                </c:pt>
                <c:pt idx="21">
                  <c:v>148.30644328286672</c:v>
                </c:pt>
                <c:pt idx="22">
                  <c:v>137.30282316494612</c:v>
                </c:pt>
                <c:pt idx="23">
                  <c:v>127.12020579332039</c:v>
                </c:pt>
                <c:pt idx="24">
                  <c:v>117.69694589688591</c:v>
                </c:pt>
                <c:pt idx="25">
                  <c:v>108.97606013718843</c:v>
                </c:pt>
                <c:pt idx="26">
                  <c:v>100.90487166566506</c:v>
                </c:pt>
                <c:pt idx="27">
                  <c:v>93.434682034131725</c:v>
                </c:pt>
                <c:pt idx="28">
                  <c:v>86.520468331042224</c:v>
                </c:pt>
                <c:pt idx="29">
                  <c:v>80.120603583542973</c:v>
                </c:pt>
                <c:pt idx="30">
                  <c:v>74.196598619472098</c:v>
                </c:pt>
              </c:numCache>
            </c:numRef>
          </c:val>
          <c:extLst>
            <c:ext xmlns:c16="http://schemas.microsoft.com/office/drawing/2014/chart" uri="{C3380CC4-5D6E-409C-BE32-E72D297353CC}">
              <c16:uniqueId val="{00000000-B242-4184-B0C4-B4E6AABD0EFA}"/>
            </c:ext>
          </c:extLst>
        </c:ser>
        <c:ser>
          <c:idx val="1"/>
          <c:order val="1"/>
          <c:tx>
            <c:strRef>
              <c:f>'1.5°C'!$S$6</c:f>
              <c:strCache>
                <c:ptCount val="1"/>
                <c:pt idx="0">
                  <c:v>Renovations</c:v>
                </c:pt>
              </c:strCache>
            </c:strRef>
          </c:tx>
          <c:spPr>
            <a:solidFill>
              <a:schemeClr val="bg1">
                <a:lumMod val="75000"/>
              </a:schemeClr>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'1.5°C'!$S$37:$S$67</c:f>
              <c:numCache>
                <c:formatCode>0.00</c:formatCode>
                <c:ptCount val="31"/>
                <c:pt idx="0">
                  <c:v>580.30736872527575</c:v>
                </c:pt>
                <c:pt idx="1">
                  <c:v>512.051005165947</c:v>
                </c:pt>
                <c:pt idx="2">
                  <c:v>453.07809090098499</c:v>
                </c:pt>
                <c:pt idx="3">
                  <c:v>401.90184177635945</c:v>
                </c:pt>
                <c:pt idx="4">
                  <c:v>357.31631291093288</c:v>
                </c:pt>
                <c:pt idx="5">
                  <c:v>318.33465672153665</c:v>
                </c:pt>
                <c:pt idx="6">
                  <c:v>284.14286180083764</c:v>
                </c:pt>
                <c:pt idx="7">
                  <c:v>254.06463502204818</c:v>
                </c:pt>
                <c:pt idx="8">
                  <c:v>227.53442409570741</c:v>
                </c:pt>
                <c:pt idx="9">
                  <c:v>204.07646769152919</c:v>
                </c:pt>
                <c:pt idx="10">
                  <c:v>183.28836407903711</c:v>
                </c:pt>
                <c:pt idx="11">
                  <c:v>164.82806567206978</c:v>
                </c:pt>
                <c:pt idx="12">
                  <c:v>148.40349835473361</c:v>
                </c:pt>
                <c:pt idx="13">
                  <c:v>133.76421132348281</c:v>
                </c:pt>
                <c:pt idx="14">
                  <c:v>120.69461185085775</c:v>
                </c:pt>
                <c:pt idx="15">
                  <c:v>109.00844749371043</c:v>
                </c:pt>
                <c:pt idx="16">
                  <c:v>98.544277760476007</c:v>
                </c:pt>
                <c:pt idx="17">
                  <c:v>89.161736297361429</c:v>
                </c:pt>
                <c:pt idx="18">
                  <c:v>80.738428932157902</c:v>
                </c:pt>
                <c:pt idx="19">
                  <c:v>73.167346418022376</c:v>
                </c:pt>
                <c:pt idx="20">
                  <c:v>66.354696283910641</c:v>
                </c:pt>
                <c:pt idx="21">
                  <c:v>60.218077859377054</c:v>
                </c:pt>
                <c:pt idx="22">
                  <c:v>54.684939775268219</c:v>
                </c:pt>
                <c:pt idx="23">
                  <c:v>49.691271128472977</c:v>
                </c:pt>
                <c:pt idx="24">
                  <c:v>45.180486835510706</c:v>
                </c:pt>
                <c:pt idx="25">
                  <c:v>41.102475079557571</c:v>
                </c:pt>
                <c:pt idx="26">
                  <c:v>37.412780623438557</c:v>
                </c:pt>
                <c:pt idx="27">
                  <c:v>34.071902453278</c:v>
                </c:pt>
                <c:pt idx="28">
                  <c:v>31.044687989657405</c:v>
                </c:pt>
                <c:pt idx="29">
                  <c:v>28.299809151150583</c:v>
                </c:pt>
                <c:pt idx="30">
                  <c:v>25.809308029977881</c:v>
                </c:pt>
              </c:numCache>
            </c:numRef>
          </c:val>
          <c:extLst>
            <c:ext xmlns:c16="http://schemas.microsoft.com/office/drawing/2014/chart" uri="{C3380CC4-5D6E-409C-BE32-E72D297353CC}">
              <c16:uniqueId val="{00000001-B242-4184-B0C4-B4E6AABD0EFA}"/>
            </c:ext>
          </c:extLst>
        </c:ser>
        <c:dLbls>
          <c:showLegendKey val="0"/>
          <c:showVal val="0"/>
          <c:showCatName val="0"/>
          <c:showSerName val="0"/>
          <c:showPercent val="0"/>
          <c:showBubbleSize val="0"/>
        </c:dLbls>
        <c:gapWidth val="219"/>
        <c:overlap val="-27"/>
        <c:axId val="1921811424"/>
        <c:axId val="1921808928"/>
      </c:barChart>
      <c:catAx>
        <c:axId val="192181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21808928"/>
        <c:crosses val="autoZero"/>
        <c:auto val="1"/>
        <c:lblAlgn val="ctr"/>
        <c:lblOffset val="100"/>
        <c:tickLblSkip val="10"/>
        <c:noMultiLvlLbl val="0"/>
      </c:catAx>
      <c:valAx>
        <c:axId val="1921808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kgCO2eq/m2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2181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'1.5°C'!$AJ$37:$AJ$67</c:f>
              <c:numCache>
                <c:formatCode>General</c:formatCode>
                <c:ptCount val="31"/>
                <c:pt idx="0">
                  <c:v>475.21827441561527</c:v>
                </c:pt>
                <c:pt idx="1">
                  <c:v>439.57552570845144</c:v>
                </c:pt>
                <c:pt idx="2">
                  <c:v>406.62530306550264</c:v>
                </c:pt>
                <c:pt idx="3">
                  <c:v>376.16253722179817</c:v>
                </c:pt>
                <c:pt idx="4">
                  <c:v>347.99792461883783</c:v>
                </c:pt>
                <c:pt idx="5">
                  <c:v>321.95670219164708</c:v>
                </c:pt>
                <c:pt idx="6">
                  <c:v>297.87751856437342</c:v>
                </c:pt>
                <c:pt idx="7">
                  <c:v>275.6113939583783</c:v>
                </c:pt>
                <c:pt idx="8">
                  <c:v>255.02076174144486</c:v>
                </c:pt>
                <c:pt idx="9">
                  <c:v>235.97858511969204</c:v>
                </c:pt>
                <c:pt idx="10">
                  <c:v>218.36754299944977</c:v>
                </c:pt>
                <c:pt idx="11">
                  <c:v>202.0792795286923</c:v>
                </c:pt>
                <c:pt idx="12">
                  <c:v>187.01371227029844</c:v>
                </c:pt>
                <c:pt idx="13">
                  <c:v>173.078394365734</c:v>
                </c:pt>
                <c:pt idx="14">
                  <c:v>160.18792642079083</c:v>
                </c:pt>
                <c:pt idx="15">
                  <c:v>148.26341418754038</c:v>
                </c:pt>
                <c:pt idx="16">
                  <c:v>137.23196843122281</c:v>
                </c:pt>
                <c:pt idx="17">
                  <c:v>127.02624365971685</c:v>
                </c:pt>
                <c:pt idx="18">
                  <c:v>117.58401265865986</c:v>
                </c:pt>
                <c:pt idx="19">
                  <c:v>108.84777401914985</c:v>
                </c:pt>
                <c:pt idx="20">
                  <c:v>100.76439006905659</c:v>
                </c:pt>
                <c:pt idx="21">
                  <c:v>93.28475282492316</c:v>
                </c:pt>
                <c:pt idx="22">
                  <c:v>86.363475770751108</c:v>
                </c:pt>
                <c:pt idx="23">
                  <c:v>79.958609443998526</c:v>
                </c:pt>
                <c:pt idx="24">
                  <c:v>74.03137896914123</c:v>
                </c:pt>
                <c:pt idx="25">
                  <c:v>68.545941826291525</c:v>
                </c:pt>
                <c:pt idx="26">
                  <c:v>63.469164277703321</c:v>
                </c:pt>
                <c:pt idx="27">
                  <c:v>58.770414999468855</c:v>
                </c:pt>
                <c:pt idx="28">
                  <c:v>54.421374580225553</c:v>
                </c:pt>
                <c:pt idx="29">
                  <c:v>50.395859654048529</c:v>
                </c:pt>
                <c:pt idx="30">
                  <c:v>46.669660531647949</c:v>
                </c:pt>
              </c:numCache>
            </c:numRef>
          </c:val>
          <c:extLst>
            <c:ext xmlns:c16="http://schemas.microsoft.com/office/drawing/2014/chart" uri="{C3380CC4-5D6E-409C-BE32-E72D297353CC}">
              <c16:uniqueId val="{00000000-AFE0-4646-AC38-1C6F53BCD979}"/>
            </c:ext>
          </c:extLst>
        </c:ser>
        <c:ser>
          <c:idx val="1"/>
          <c:order val="1"/>
          <c:spPr>
            <a:solidFill>
              <a:schemeClr val="accent2"/>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Strategy'!$AZ$37:$AZ$67</c:f>
              <c:numCache>
                <c:formatCode>0.00</c:formatCode>
                <c:ptCount val="31"/>
                <c:pt idx="0">
                  <c:v>10.112202422933617</c:v>
                </c:pt>
                <c:pt idx="1">
                  <c:v>9.6282033440339099</c:v>
                </c:pt>
                <c:pt idx="2">
                  <c:v>9.0511307566196031</c:v>
                </c:pt>
                <c:pt idx="3">
                  <c:v>8.5293246484668686</c:v>
                </c:pt>
                <c:pt idx="4">
                  <c:v>8.0172801700467886</c:v>
                </c:pt>
                <c:pt idx="5">
                  <c:v>7.4941677819849621</c:v>
                </c:pt>
                <c:pt idx="6">
                  <c:v>6.9626722623861621</c:v>
                </c:pt>
                <c:pt idx="7">
                  <c:v>6.4511416239160333</c:v>
                </c:pt>
                <c:pt idx="8">
                  <c:v>6.0146843137685932</c:v>
                </c:pt>
                <c:pt idx="9">
                  <c:v>5.6027933441467388</c:v>
                </c:pt>
                <c:pt idx="10">
                  <c:v>5.1850137535102592</c:v>
                </c:pt>
                <c:pt idx="11">
                  <c:v>4.8211109213855083</c:v>
                </c:pt>
                <c:pt idx="12">
                  <c:v>4.4739330122315559</c:v>
                </c:pt>
                <c:pt idx="13">
                  <c:v>4.1602054566310009</c:v>
                </c:pt>
                <c:pt idx="14">
                  <c:v>3.8658354686270622</c:v>
                </c:pt>
                <c:pt idx="15">
                  <c:v>3.5914413199390673</c:v>
                </c:pt>
                <c:pt idx="16">
                  <c:v>3.3174804982693598</c:v>
                </c:pt>
                <c:pt idx="17">
                  <c:v>3.0571067032644637</c:v>
                </c:pt>
                <c:pt idx="18">
                  <c:v>2.8187471118968008</c:v>
                </c:pt>
                <c:pt idx="19">
                  <c:v>2.5897462520142773</c:v>
                </c:pt>
                <c:pt idx="20">
                  <c:v>2.3732147362230469</c:v>
                </c:pt>
                <c:pt idx="21">
                  <c:v>2.1439305940488822</c:v>
                </c:pt>
                <c:pt idx="22">
                  <c:v>1.9454894525084028</c:v>
                </c:pt>
                <c:pt idx="23">
                  <c:v>1.7102637617747873</c:v>
                </c:pt>
                <c:pt idx="24">
                  <c:v>1.4857888961774444</c:v>
                </c:pt>
                <c:pt idx="25">
                  <c:v>1.2726008243748819</c:v>
                </c:pt>
                <c:pt idx="26">
                  <c:v>0.99944040982840654</c:v>
                </c:pt>
                <c:pt idx="27">
                  <c:v>0.76740457353729308</c:v>
                </c:pt>
                <c:pt idx="28">
                  <c:v>0.56998405015544618</c:v>
                </c:pt>
                <c:pt idx="29">
                  <c:v>0.40777413769572873</c:v>
                </c:pt>
                <c:pt idx="30">
                  <c:v>0.28322332478112072</c:v>
                </c:pt>
              </c:numCache>
            </c:numRef>
          </c:val>
          <c:extLst>
            <c:ext xmlns:c16="http://schemas.microsoft.com/office/drawing/2014/chart" uri="{C3380CC4-5D6E-409C-BE32-E72D297353CC}">
              <c16:uniqueId val="{00000002-AFE0-4646-AC38-1C6F53BCD979}"/>
            </c:ext>
          </c:extLst>
        </c:ser>
        <c:dLbls>
          <c:showLegendKey val="0"/>
          <c:showVal val="0"/>
          <c:showCatName val="0"/>
          <c:showSerName val="0"/>
          <c:showPercent val="0"/>
          <c:showBubbleSize val="0"/>
        </c:dLbls>
        <c:gapWidth val="219"/>
        <c:overlap val="-27"/>
        <c:axId val="288263728"/>
        <c:axId val="288263312"/>
      </c:barChart>
      <c:catAx>
        <c:axId val="28826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88263312"/>
        <c:crosses val="autoZero"/>
        <c:auto val="1"/>
        <c:lblAlgn val="ctr"/>
        <c:lblOffset val="100"/>
        <c:noMultiLvlLbl val="0"/>
      </c:catAx>
      <c:valAx>
        <c:axId val="288263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8826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'1.5°C'!$AK$37:$AK$67</c:f>
              <c:numCache>
                <c:formatCode>General</c:formatCode>
                <c:ptCount val="31"/>
                <c:pt idx="0">
                  <c:v>365.01333492819845</c:v>
                </c:pt>
                <c:pt idx="1">
                  <c:v>322.08008224938067</c:v>
                </c:pt>
                <c:pt idx="2">
                  <c:v>284.98611917671957</c:v>
                </c:pt>
                <c:pt idx="3">
                  <c:v>252.79625847733007</c:v>
                </c:pt>
                <c:pt idx="4">
                  <c:v>224.75196082097679</c:v>
                </c:pt>
                <c:pt idx="5">
                  <c:v>200.23249907784657</c:v>
                </c:pt>
                <c:pt idx="6">
                  <c:v>178.72586007272685</c:v>
                </c:pt>
                <c:pt idx="7">
                  <c:v>159.80665542886831</c:v>
                </c:pt>
                <c:pt idx="8">
                  <c:v>143.11915275619995</c:v>
                </c:pt>
                <c:pt idx="9">
                  <c:v>128.36409817797184</c:v>
                </c:pt>
                <c:pt idx="10">
                  <c:v>115.28838100571433</c:v>
                </c:pt>
                <c:pt idx="11">
                  <c:v>103.67685330773189</c:v>
                </c:pt>
                <c:pt idx="12">
                  <c:v>93.345800465127454</c:v>
                </c:pt>
                <c:pt idx="13">
                  <c:v>84.137688922470673</c:v>
                </c:pt>
                <c:pt idx="14">
                  <c:v>75.916910854189524</c:v>
                </c:pt>
                <c:pt idx="15">
                  <c:v>68.566313473543872</c:v>
                </c:pt>
                <c:pt idx="16">
                  <c:v>61.98435071133941</c:v>
                </c:pt>
                <c:pt idx="17">
                  <c:v>56.082732131040338</c:v>
                </c:pt>
                <c:pt idx="18">
                  <c:v>50.784471798327317</c:v>
                </c:pt>
                <c:pt idx="19">
                  <c:v>46.022260896936075</c:v>
                </c:pt>
                <c:pt idx="20">
                  <c:v>41.737103962579788</c:v>
                </c:pt>
                <c:pt idx="21">
                  <c:v>37.877170973548168</c:v>
                </c:pt>
                <c:pt idx="22">
                  <c:v>34.396827118643706</c:v>
                </c:pt>
                <c:pt idx="23">
                  <c:v>31.255809539809501</c:v>
                </c:pt>
                <c:pt idx="24">
                  <c:v>28.418526219536233</c:v>
                </c:pt>
                <c:pt idx="25">
                  <c:v>25.853456825041711</c:v>
                </c:pt>
                <c:pt idx="26">
                  <c:v>23.532639012142855</c:v>
                </c:pt>
                <c:pt idx="27">
                  <c:v>21.431226643111863</c:v>
                </c:pt>
                <c:pt idx="28">
                  <c:v>19.527108745494509</c:v>
                </c:pt>
                <c:pt idx="29">
                  <c:v>17.800579956073715</c:v>
                </c:pt>
                <c:pt idx="30">
                  <c:v>16.234054750856085</c:v>
                </c:pt>
              </c:numCache>
            </c:numRef>
          </c:val>
          <c:extLst>
            <c:ext xmlns:c16="http://schemas.microsoft.com/office/drawing/2014/chart" uri="{C3380CC4-5D6E-409C-BE32-E72D297353CC}">
              <c16:uniqueId val="{00000000-2D9F-4610-B441-28A3E635FBFF}"/>
            </c:ext>
          </c:extLst>
        </c:ser>
        <c:ser>
          <c:idx val="1"/>
          <c:order val="1"/>
          <c:spPr>
            <a:solidFill>
              <a:schemeClr val="accent2"/>
            </a:solidFill>
            <a:ln>
              <a:noFill/>
            </a:ln>
            <a:effectLst/>
          </c:spPr>
          <c:invertIfNegative val="0"/>
          <c:cat>
            <c:numRef>
              <c:f>'1.5°C'!$B$37:$B$67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'Swiss Climate Strategy'!$BA$37:$BA$67</c:f>
              <c:numCache>
                <c:formatCode>0.00</c:formatCode>
                <c:ptCount val="31"/>
                <c:pt idx="0">
                  <c:v>11.896708732863079</c:v>
                </c:pt>
                <c:pt idx="1">
                  <c:v>11.327298051804599</c:v>
                </c:pt>
                <c:pt idx="2">
                  <c:v>10.648389125434827</c:v>
                </c:pt>
                <c:pt idx="3">
                  <c:v>10.034499586431609</c:v>
                </c:pt>
                <c:pt idx="4">
                  <c:v>9.4320943177021039</c:v>
                </c:pt>
                <c:pt idx="5">
                  <c:v>8.8166679788058371</c:v>
                </c:pt>
                <c:pt idx="6">
                  <c:v>8.1913791322190157</c:v>
                </c:pt>
                <c:pt idx="7">
                  <c:v>7.5895783810776862</c:v>
                </c:pt>
                <c:pt idx="8">
                  <c:v>7.0760991926689334</c:v>
                </c:pt>
                <c:pt idx="9">
                  <c:v>6.591521581349105</c:v>
                </c:pt>
                <c:pt idx="10">
                  <c:v>6.1000161806003055</c:v>
                </c:pt>
                <c:pt idx="11">
                  <c:v>5.6718952016300106</c:v>
                </c:pt>
                <c:pt idx="12">
                  <c:v>5.26345060262536</c:v>
                </c:pt>
                <c:pt idx="13">
                  <c:v>4.8943593607423539</c:v>
                </c:pt>
                <c:pt idx="14">
                  <c:v>4.5480417277965435</c:v>
                </c:pt>
                <c:pt idx="15">
                  <c:v>4.2252250822812556</c:v>
                </c:pt>
                <c:pt idx="16">
                  <c:v>3.9029182332580703</c:v>
                </c:pt>
                <c:pt idx="17">
                  <c:v>3.5965961214876043</c:v>
                </c:pt>
                <c:pt idx="18">
                  <c:v>3.3161730728197654</c:v>
                </c:pt>
                <c:pt idx="19">
                  <c:v>3.0467602964873852</c:v>
                </c:pt>
                <c:pt idx="20">
                  <c:v>2.7920173367329966</c:v>
                </c:pt>
                <c:pt idx="21">
                  <c:v>2.5222712871163324</c:v>
                </c:pt>
                <c:pt idx="22">
                  <c:v>2.2888111205981208</c:v>
                </c:pt>
                <c:pt idx="23">
                  <c:v>2.0120750138526908</c:v>
                </c:pt>
                <c:pt idx="24">
                  <c:v>1.7479869366793463</c:v>
                </c:pt>
                <c:pt idx="25">
                  <c:v>1.4971774404410374</c:v>
                </c:pt>
                <c:pt idx="26">
                  <c:v>1.175812246856949</c:v>
                </c:pt>
                <c:pt idx="27">
                  <c:v>0.90282891004387422</c:v>
                </c:pt>
                <c:pt idx="28">
                  <c:v>0.67056947077111317</c:v>
                </c:pt>
                <c:pt idx="29">
                  <c:v>0.47973427964203386</c:v>
                </c:pt>
                <c:pt idx="30">
                  <c:v>0.33320391150720086</c:v>
                </c:pt>
              </c:numCache>
            </c:numRef>
          </c:val>
          <c:extLst>
            <c:ext xmlns:c16="http://schemas.microsoft.com/office/drawing/2014/chart" uri="{C3380CC4-5D6E-409C-BE32-E72D297353CC}">
              <c16:uniqueId val="{00000001-2D9F-4610-B441-28A3E635FBFF}"/>
            </c:ext>
          </c:extLst>
        </c:ser>
        <c:dLbls>
          <c:showLegendKey val="0"/>
          <c:showVal val="0"/>
          <c:showCatName val="0"/>
          <c:showSerName val="0"/>
          <c:showPercent val="0"/>
          <c:showBubbleSize val="0"/>
        </c:dLbls>
        <c:gapWidth val="219"/>
        <c:overlap val="-27"/>
        <c:axId val="288263728"/>
        <c:axId val="288263312"/>
      </c:barChart>
      <c:catAx>
        <c:axId val="28826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88263312"/>
        <c:crosses val="autoZero"/>
        <c:auto val="1"/>
        <c:lblAlgn val="ctr"/>
        <c:lblOffset val="100"/>
        <c:noMultiLvlLbl val="0"/>
      </c:catAx>
      <c:valAx>
        <c:axId val="288263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8826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Budgets carbone sur 60ans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'Outil Cibles'!$B$11</c:f>
              <c:strCache>
                <c:ptCount val="1"/>
                <c:pt idx="0">
                  <c:v>Budget "upfront" (fin de chantier)</c:v>
                </c:pt>
              </c:strCache>
            </c:strRef>
          </c:tx>
          <c:spPr>
            <a:solidFill>
              <a:schemeClr val="accent1"/>
            </a:solidFill>
            <a:ln>
              <a:noFill/>
            </a:ln>
            <a:effectLst/>
          </c:spPr>
          <c:invertIfNegative val="0"/>
          <c:cat>
            <c:numRef>
              <c:f>'Outil Cibles'!$D$4:$M$4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'Outil Cibles'!$D$11:$M$11</c:f>
              <c:numCache>
                <c:formatCode>#\ ##0.0</c:formatCode>
                <c:ptCount val="10"/>
                <c:pt idx="0">
                  <c:v>478.96211255367052</c:v>
                </c:pt>
                <c:pt idx="1">
                  <c:v>423.48890835140691</c:v>
                </c:pt>
                <c:pt idx="2">
                  <c:v>374.06854553324115</c:v>
                </c:pt>
                <c:pt idx="3">
                  <c:v>311.04320690378205</c:v>
                </c:pt>
                <c:pt idx="4">
                  <c:v>275.56062827607457</c:v>
                </c:pt>
                <c:pt idx="5">
                  <c:v>252.35602516880044</c:v>
                </c:pt>
                <c:pt idx="6">
                  <c:v>230.79781632642164</c:v>
                </c:pt>
                <c:pt idx="7">
                  <c:v>212.79234281701181</c:v>
                </c:pt>
                <c:pt idx="8">
                  <c:v>157.68796679973201</c:v>
                </c:pt>
                <c:pt idx="9">
                  <c:v>142.03696208901502</c:v>
                </c:pt>
              </c:numCache>
            </c:numRef>
          </c:val>
          <c:extLst>
            <c:ext xmlns:c16="http://schemas.microsoft.com/office/drawing/2014/chart" uri="{C3380CC4-5D6E-409C-BE32-E72D297353CC}">
              <c16:uniqueId val="{00000002-BB12-4A4A-B518-35DC48E7E37D}"/>
            </c:ext>
          </c:extLst>
        </c:ser>
        <c:ser>
          <c:idx val="1"/>
          <c:order val="1"/>
          <c:tx>
            <c:strRef>
              <c:f>'Outil Cibles'!$B$12</c:f>
              <c:strCache>
                <c:ptCount val="1"/>
                <c:pt idx="0">
                  <c:v>Budget remplacements (20 ans)</c:v>
                </c:pt>
              </c:strCache>
            </c:strRef>
          </c:tx>
          <c:spPr>
            <a:solidFill>
              <a:schemeClr val="accent2"/>
            </a:solidFill>
            <a:ln>
              <a:noFill/>
            </a:ln>
            <a:effectLst/>
          </c:spPr>
          <c:invertIfNegative val="0"/>
          <c:val>
            <c:numRef>
              <c:f>'Outil Cibles'!$D$12:$M$12</c:f>
              <c:numCache>
                <c:formatCode>#\ ##0.0</c:formatCode>
                <c:ptCount val="10"/>
                <c:pt idx="0">
                  <c:v>7.4764877205977136</c:v>
                </c:pt>
                <c:pt idx="1">
                  <c:v>6.1733431244843988</c:v>
                </c:pt>
                <c:pt idx="2">
                  <c:v>4.9904878571816091</c:v>
                </c:pt>
                <c:pt idx="3">
                  <c:v>3.6489079156922339</c:v>
                </c:pt>
                <c:pt idx="4">
                  <c:v>2.8792520443425631</c:v>
                </c:pt>
                <c:pt idx="5">
                  <c:v>2.3800559982318181</c:v>
                </c:pt>
                <c:pt idx="6">
                  <c:v>1.8915685600772871</c:v>
                </c:pt>
                <c:pt idx="7">
                  <c:v>1.4134488096387816</c:v>
                </c:pt>
                <c:pt idx="8">
                  <c:v>0.48701954427709854</c:v>
                </c:pt>
                <c:pt idx="9">
                  <c:v>3.8096856105173611E-2</c:v>
                </c:pt>
              </c:numCache>
            </c:numRef>
          </c:val>
          <c:extLst>
            <c:ext xmlns:c16="http://schemas.microsoft.com/office/drawing/2014/chart" uri="{C3380CC4-5D6E-409C-BE32-E72D297353CC}">
              <c16:uniqueId val="{00000003-BB12-4A4A-B518-35DC48E7E37D}"/>
            </c:ext>
          </c:extLst>
        </c:ser>
        <c:ser>
          <c:idx val="2"/>
          <c:order val="2"/>
          <c:tx>
            <c:strRef>
              <c:f>'Outil Cibles'!$B$13</c:f>
              <c:strCache>
                <c:ptCount val="1"/>
                <c:pt idx="0">
                  <c:v>Budget remplacements (30 ans)</c:v>
                </c:pt>
              </c:strCache>
            </c:strRef>
          </c:tx>
          <c:spPr>
            <a:solidFill>
              <a:schemeClr val="accent3"/>
            </a:solidFill>
            <a:ln>
              <a:noFill/>
            </a:ln>
            <a:effectLst/>
          </c:spPr>
          <c:invertIfNegative val="0"/>
          <c:val>
            <c:numRef>
              <c:f>'Outil Cibles'!$D$13:$M$13</c:f>
              <c:numCache>
                <c:formatCode>#\ ##0.0</c:formatCode>
                <c:ptCount val="10"/>
                <c:pt idx="0">
                  <c:v>27.37847037047219</c:v>
                </c:pt>
                <c:pt idx="1">
                  <c:v>23.72658912113268</c:v>
                </c:pt>
                <c:pt idx="2">
                  <c:v>16.660391987622724</c:v>
                </c:pt>
                <c:pt idx="3">
                  <c:v>8.2472195111804449</c:v>
                </c:pt>
                <c:pt idx="4">
                  <c:v>3.4091368099396893</c:v>
                </c:pt>
                <c:pt idx="5">
                  <c:v>0.26667799273621523</c:v>
                </c:pt>
                <c:pt idx="6">
                  <c:v>0</c:v>
                </c:pt>
                <c:pt idx="7">
                  <c:v>0</c:v>
                </c:pt>
                <c:pt idx="8">
                  <c:v>0</c:v>
                </c:pt>
                <c:pt idx="9">
                  <c:v>0</c:v>
                </c:pt>
              </c:numCache>
            </c:numRef>
          </c:val>
          <c:extLst>
            <c:ext xmlns:c16="http://schemas.microsoft.com/office/drawing/2014/chart" uri="{C3380CC4-5D6E-409C-BE32-E72D297353CC}">
              <c16:uniqueId val="{00000004-BB12-4A4A-B518-35DC48E7E37D}"/>
            </c:ext>
          </c:extLst>
        </c:ser>
        <c:ser>
          <c:idx val="3"/>
          <c:order val="3"/>
          <c:tx>
            <c:strRef>
              <c:f>'Outil Cibles'!$B$14</c:f>
              <c:strCache>
                <c:ptCount val="1"/>
                <c:pt idx="0">
                  <c:v>Budget remplacements (40 ans)</c:v>
                </c:pt>
              </c:strCache>
            </c:strRef>
          </c:tx>
          <c:spPr>
            <a:solidFill>
              <a:schemeClr val="accent4"/>
            </a:solidFill>
            <a:ln>
              <a:noFill/>
            </a:ln>
            <a:effectLst/>
          </c:spPr>
          <c:invertIfNegative val="0"/>
          <c:val>
            <c:numRef>
              <c:f>'Outil Cibles'!$D$14:$M$14</c:f>
              <c:numCache>
                <c:formatCode>#\ ##0.0</c:formatCode>
                <c:ptCount val="10"/>
                <c:pt idx="0">
                  <c:v>2.8268976192775632</c:v>
                </c:pt>
                <c:pt idx="1">
                  <c:v>1.890740292284363</c:v>
                </c:pt>
                <c:pt idx="2">
                  <c:v>7.6193712210347223E-2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BB12-4A4A-B518-35DC48E7E37D}"/>
            </c:ext>
          </c:extLst>
        </c:ser>
        <c:ser>
          <c:idx val="4"/>
          <c:order val="4"/>
          <c:tx>
            <c:strRef>
              <c:f>'Outil Cibles'!$B$15</c:f>
              <c:strCache>
                <c:ptCount val="1"/>
                <c:pt idx="0">
                  <c:v>Budget fin de vie (60ans)</c:v>
                </c:pt>
              </c:strCache>
            </c:strRef>
          </c:tx>
          <c:spPr>
            <a:solidFill>
              <a:schemeClr val="accent5"/>
            </a:solidFill>
            <a:ln>
              <a:noFill/>
            </a:ln>
            <a:effectLst/>
          </c:spPr>
          <c:invertIfNegative val="0"/>
          <c:val>
            <c:numRef>
              <c:f>'Outil Cibles'!$D$15:$M$15</c:f>
              <c:numCache>
                <c:formatCode>#\ ##0.0</c:formatCode>
                <c:ptCount val="10"/>
                <c:pt idx="0">
                  <c:v>9.1029946438442551</c:v>
                </c:pt>
                <c:pt idx="1">
                  <c:v>6.2545388736279444</c:v>
                </c:pt>
                <c:pt idx="2">
                  <c:v>1.4539548485735365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BB12-4A4A-B518-35DC48E7E37D}"/>
            </c:ext>
          </c:extLst>
        </c:ser>
        <c:ser>
          <c:idx val="5"/>
          <c:order val="5"/>
          <c:tx>
            <c:strRef>
              <c:f>'Outil Cibles'!$B$28</c:f>
              <c:strCache>
                <c:ptCount val="1"/>
                <c:pt idx="0">
                  <c:v>Exploitation </c:v>
                </c:pt>
              </c:strCache>
            </c:strRef>
          </c:tx>
          <c:spPr>
            <a:solidFill>
              <a:schemeClr val="accent6"/>
            </a:solidFill>
            <a:ln>
              <a:noFill/>
            </a:ln>
            <a:effectLst/>
          </c:spPr>
          <c:invertIfNegative val="0"/>
          <c:val>
            <c:numRef>
              <c:f>'Background graphEXPL_CH'!$B$3:$K$3</c:f>
              <c:numCache>
                <c:formatCode>0.00</c:formatCode>
                <c:ptCount val="10"/>
                <c:pt idx="0">
                  <c:v>62.589822051712808</c:v>
                </c:pt>
                <c:pt idx="1">
                  <c:v>166.2049257066773</c:v>
                </c:pt>
                <c:pt idx="2">
                  <c:v>114.54975531933785</c:v>
                </c:pt>
                <c:pt idx="3">
                  <c:v>75.420267718720396</c:v>
                </c:pt>
                <c:pt idx="4">
                  <c:v>59.193689349832788</c:v>
                </c:pt>
                <c:pt idx="5">
                  <c:v>49.837509460683997</c:v>
                </c:pt>
                <c:pt idx="6">
                  <c:v>40.855278502676477</c:v>
                </c:pt>
                <c:pt idx="7">
                  <c:v>31.201566819726317</c:v>
                </c:pt>
                <c:pt idx="8">
                  <c:v>11.969665053264366</c:v>
                </c:pt>
                <c:pt idx="9">
                  <c:v>5.9476898204035349</c:v>
                </c:pt>
              </c:numCache>
            </c:numRef>
          </c:val>
          <c:extLst>
            <c:ext xmlns:c16="http://schemas.microsoft.com/office/drawing/2014/chart" uri="{C3380CC4-5D6E-409C-BE32-E72D297353CC}">
              <c16:uniqueId val="{00000007-BB12-4A4A-B518-35DC48E7E37D}"/>
            </c:ext>
          </c:extLst>
        </c:ser>
        <c:dLbls>
          <c:showLegendKey val="0"/>
          <c:showVal val="0"/>
          <c:showCatName val="0"/>
          <c:showSerName val="0"/>
          <c:showPercent val="0"/>
          <c:showBubbleSize val="0"/>
        </c:dLbls>
        <c:gapWidth val="150"/>
        <c:overlap val="100"/>
        <c:axId val="218942336"/>
        <c:axId val="218939008"/>
      </c:barChart>
      <c:catAx>
        <c:axId val="218942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Bâtiments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39008"/>
        <c:crosses val="autoZero"/>
        <c:auto val="1"/>
        <c:lblAlgn val="ctr"/>
        <c:lblOffset val="100"/>
        <c:noMultiLvlLbl val="0"/>
      </c:catAx>
      <c:valAx>
        <c:axId val="218939008"/>
        <c:scaling>
          <c:orientation val="minMax"/>
          <c:max val="8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kgCO2éq/m2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42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Cibles existantes en Suisse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3"/>
          <c:order val="0"/>
          <c:tx>
            <c:strRef>
              <c:f>'Outil Cibles'!$B$67</c:f>
              <c:strCache>
                <c:ptCount val="1"/>
                <c:pt idx="0">
                  <c:v>construction</c:v>
                </c:pt>
              </c:strCache>
            </c:strRef>
          </c:tx>
          <c:spPr>
            <a:solidFill>
              <a:schemeClr val="accent4"/>
            </a:solidFill>
            <a:ln>
              <a:noFill/>
            </a:ln>
            <a:effectLst/>
          </c:spPr>
          <c:invertIfNegative val="0"/>
          <c:cat>
            <c:strRef>
              <c:f>('Outil Cibles'!$B$61,'Outil Cibles'!$B$66,'Outil Cibles'!$B$71,'Outil Cibles'!$B$72,'Outil Cibles'!$B$73)</c:f>
              <c:strCache>
                <c:ptCount val="5"/>
                <c:pt idx="0">
                  <c:v>SIA 2040 (Bureaux)</c:v>
                </c:pt>
                <c:pt idx="1">
                  <c:v>SIA 2040 (Résidentiel)</c:v>
                </c:pt>
                <c:pt idx="2">
                  <c:v>Minergie min (Résidentiel/Bureaux)</c:v>
                </c:pt>
                <c:pt idx="3">
                  <c:v>Minergie max (Résidentiel)</c:v>
                </c:pt>
                <c:pt idx="4">
                  <c:v>Minergie max (Bureaux)</c:v>
                </c:pt>
              </c:strCache>
            </c:strRef>
          </c:cat>
          <c:val>
            <c:numRef>
              <c:f>('Outil Cibles'!$C$62,'Outil Cibles'!$C$67,'Outil Cibles'!$C$71,'Outil Cibles'!$C$72,'Outil Cibles'!$C$73)</c:f>
              <c:numCache>
                <c:formatCode>General</c:formatCode>
                <c:ptCount val="5"/>
                <c:pt idx="0">
                  <c:v>540</c:v>
                </c:pt>
                <c:pt idx="1">
                  <c:v>540</c:v>
                </c:pt>
                <c:pt idx="2">
                  <c:v>480</c:v>
                </c:pt>
                <c:pt idx="3">
                  <c:v>600</c:v>
                </c:pt>
                <c:pt idx="4">
                  <c:v>660</c:v>
                </c:pt>
              </c:numCache>
            </c:numRef>
          </c:val>
          <c:extLst>
            <c:ext xmlns:c16="http://schemas.microsoft.com/office/drawing/2014/chart" uri="{C3380CC4-5D6E-409C-BE32-E72D297353CC}">
              <c16:uniqueId val="{00000003-8C46-4FAC-8AA1-64ED2DEE34EC}"/>
            </c:ext>
          </c:extLst>
        </c:ser>
        <c:ser>
          <c:idx val="5"/>
          <c:order val="1"/>
          <c:tx>
            <c:strRef>
              <c:f>'Outil Cibles'!$B$68</c:f>
              <c:strCache>
                <c:ptCount val="1"/>
                <c:pt idx="0">
                  <c:v>exploitation</c:v>
                </c:pt>
              </c:strCache>
            </c:strRef>
          </c:tx>
          <c:spPr>
            <a:solidFill>
              <a:schemeClr val="accent6"/>
            </a:solidFill>
            <a:ln>
              <a:noFill/>
            </a:ln>
            <a:effectLst/>
          </c:spPr>
          <c:invertIfNegative val="0"/>
          <c:cat>
            <c:strRef>
              <c:f>('Outil Cibles'!$B$61,'Outil Cibles'!$B$66,'Outil Cibles'!$B$71,'Outil Cibles'!$B$72,'Outil Cibles'!$B$73)</c:f>
              <c:strCache>
                <c:ptCount val="5"/>
                <c:pt idx="0">
                  <c:v>SIA 2040 (Bureaux)</c:v>
                </c:pt>
                <c:pt idx="1">
                  <c:v>SIA 2040 (Résidentiel)</c:v>
                </c:pt>
                <c:pt idx="2">
                  <c:v>Minergie min (Résidentiel/Bureaux)</c:v>
                </c:pt>
                <c:pt idx="3">
                  <c:v>Minergie max (Résidentiel)</c:v>
                </c:pt>
                <c:pt idx="4">
                  <c:v>Minergie max (Bureaux)</c:v>
                </c:pt>
              </c:strCache>
            </c:strRef>
          </c:cat>
          <c:val>
            <c:numRef>
              <c:f>('Outil Cibles'!$C$63,'Outil Cibles'!$C$68,'Outil Cibles'!$D$71,'Outil Cibles'!$D$72,'Outil Cibles'!$D$73)</c:f>
              <c:numCache>
                <c:formatCode>General</c:formatCode>
                <c:ptCount val="5"/>
                <c:pt idx="0">
                  <c:v>240</c:v>
                </c:pt>
                <c:pt idx="1">
                  <c:v>180</c:v>
                </c:pt>
              </c:numCache>
            </c:numRef>
          </c:val>
          <c:extLst>
            <c:ext xmlns:c16="http://schemas.microsoft.com/office/drawing/2014/chart" uri="{C3380CC4-5D6E-409C-BE32-E72D297353CC}">
              <c16:uniqueId val="{00000005-8C46-4FAC-8AA1-64ED2DEE34EC}"/>
            </c:ext>
          </c:extLst>
        </c:ser>
        <c:dLbls>
          <c:showLegendKey val="0"/>
          <c:showVal val="0"/>
          <c:showCatName val="0"/>
          <c:showSerName val="0"/>
          <c:showPercent val="0"/>
          <c:showBubbleSize val="0"/>
        </c:dLbls>
        <c:gapWidth val="150"/>
        <c:overlap val="100"/>
        <c:axId val="218942336"/>
        <c:axId val="218939008"/>
      </c:barChart>
      <c:catAx>
        <c:axId val="21894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39008"/>
        <c:crosses val="autoZero"/>
        <c:auto val="1"/>
        <c:lblAlgn val="ctr"/>
        <c:lblOffset val="100"/>
        <c:noMultiLvlLbl val="0"/>
      </c:catAx>
      <c:valAx>
        <c:axId val="218939008"/>
        <c:scaling>
          <c:orientation val="minMax"/>
          <c:max val="8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kgCO2éq/m2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42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Développement des budgets selon la stratégie Suisse pour la programmation choisie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422299677868178E-2"/>
          <c:y val="8.5944295110712027E-2"/>
          <c:w val="0.8563436588265454"/>
          <c:h val="0.79631181037611654"/>
        </c:manualLayout>
      </c:layout>
      <c:barChart>
        <c:barDir val="col"/>
        <c:grouping val="clustered"/>
        <c:varyColors val="0"/>
        <c:ser>
          <c:idx val="0"/>
          <c:order val="0"/>
          <c:tx>
            <c:v>Construction + remplacements + fin de vie</c:v>
          </c:tx>
          <c:spPr>
            <a:solidFill>
              <a:schemeClr val="accent1"/>
            </a:solidFill>
            <a:ln>
              <a:noFill/>
            </a:ln>
            <a:effectLst/>
          </c:spPr>
          <c:invertIfNegative val="0"/>
          <c:cat>
            <c:numRef>
              <c:f>'Background graphEXPL_CH'!$N$5:$N$83</c:f>
              <c:numCache>
                <c:formatCode>General</c:formatCode>
                <c:ptCount val="7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pt idx="51">
                  <c:v>2073</c:v>
                </c:pt>
                <c:pt idx="52">
                  <c:v>2074</c:v>
                </c:pt>
                <c:pt idx="53">
                  <c:v>2075</c:v>
                </c:pt>
                <c:pt idx="54">
                  <c:v>2076</c:v>
                </c:pt>
                <c:pt idx="55">
                  <c:v>2077</c:v>
                </c:pt>
                <c:pt idx="56">
                  <c:v>2078</c:v>
                </c:pt>
                <c:pt idx="57">
                  <c:v>2079</c:v>
                </c:pt>
                <c:pt idx="58">
                  <c:v>2080</c:v>
                </c:pt>
                <c:pt idx="59">
                  <c:v>2081</c:v>
                </c:pt>
                <c:pt idx="60">
                  <c:v>2082</c:v>
                </c:pt>
                <c:pt idx="61">
                  <c:v>2083</c:v>
                </c:pt>
                <c:pt idx="62">
                  <c:v>2084</c:v>
                </c:pt>
                <c:pt idx="63">
                  <c:v>2085</c:v>
                </c:pt>
                <c:pt idx="64">
                  <c:v>2086</c:v>
                </c:pt>
                <c:pt idx="65">
                  <c:v>2087</c:v>
                </c:pt>
                <c:pt idx="66">
                  <c:v>2088</c:v>
                </c:pt>
                <c:pt idx="67">
                  <c:v>2089</c:v>
                </c:pt>
                <c:pt idx="68">
                  <c:v>2090</c:v>
                </c:pt>
                <c:pt idx="69">
                  <c:v>2091</c:v>
                </c:pt>
                <c:pt idx="70">
                  <c:v>2092</c:v>
                </c:pt>
                <c:pt idx="71">
                  <c:v>2093</c:v>
                </c:pt>
                <c:pt idx="72">
                  <c:v>2094</c:v>
                </c:pt>
                <c:pt idx="73">
                  <c:v>2095</c:v>
                </c:pt>
                <c:pt idx="74">
                  <c:v>2096</c:v>
                </c:pt>
                <c:pt idx="75">
                  <c:v>2097</c:v>
                </c:pt>
                <c:pt idx="76">
                  <c:v>2098</c:v>
                </c:pt>
                <c:pt idx="77">
                  <c:v>2099</c:v>
                </c:pt>
                <c:pt idx="78">
                  <c:v>2100</c:v>
                </c:pt>
              </c:numCache>
            </c:numRef>
          </c:cat>
          <c:val>
            <c:numRef>
              <c:f>'Background graphCON'!$L$5:$L$83</c:f>
              <c:numCache>
                <c:formatCode>General</c:formatCode>
                <c:ptCount val="79"/>
                <c:pt idx="0">
                  <c:v>0</c:v>
                </c:pt>
                <c:pt idx="1">
                  <c:v>0</c:v>
                </c:pt>
                <c:pt idx="2">
                  <c:v>478962.11255367054</c:v>
                </c:pt>
                <c:pt idx="3">
                  <c:v>0</c:v>
                </c:pt>
                <c:pt idx="4">
                  <c:v>423488.90835140692</c:v>
                </c:pt>
                <c:pt idx="5">
                  <c:v>0</c:v>
                </c:pt>
                <c:pt idx="6">
                  <c:v>0</c:v>
                </c:pt>
                <c:pt idx="7">
                  <c:v>0</c:v>
                </c:pt>
                <c:pt idx="8">
                  <c:v>374068.54553324112</c:v>
                </c:pt>
                <c:pt idx="9">
                  <c:v>0</c:v>
                </c:pt>
                <c:pt idx="10">
                  <c:v>0</c:v>
                </c:pt>
                <c:pt idx="11">
                  <c:v>0</c:v>
                </c:pt>
                <c:pt idx="12">
                  <c:v>0</c:v>
                </c:pt>
                <c:pt idx="13">
                  <c:v>311043.20690378203</c:v>
                </c:pt>
                <c:pt idx="14">
                  <c:v>0</c:v>
                </c:pt>
                <c:pt idx="15">
                  <c:v>0</c:v>
                </c:pt>
                <c:pt idx="16">
                  <c:v>275560.62827607454</c:v>
                </c:pt>
                <c:pt idx="17">
                  <c:v>0</c:v>
                </c:pt>
                <c:pt idx="18">
                  <c:v>252356.02516880044</c:v>
                </c:pt>
                <c:pt idx="19">
                  <c:v>0</c:v>
                </c:pt>
                <c:pt idx="20">
                  <c:v>230797.81632642163</c:v>
                </c:pt>
                <c:pt idx="21">
                  <c:v>0</c:v>
                </c:pt>
                <c:pt idx="22">
                  <c:v>220268.83053760952</c:v>
                </c:pt>
                <c:pt idx="23">
                  <c:v>0</c:v>
                </c:pt>
                <c:pt idx="24">
                  <c:v>6173.3431244843987</c:v>
                </c:pt>
                <c:pt idx="25">
                  <c:v>0</c:v>
                </c:pt>
                <c:pt idx="26">
                  <c:v>157687.96679973201</c:v>
                </c:pt>
                <c:pt idx="27">
                  <c:v>0</c:v>
                </c:pt>
                <c:pt idx="28">
                  <c:v>147027.44994619663</c:v>
                </c:pt>
                <c:pt idx="29">
                  <c:v>0</c:v>
                </c:pt>
                <c:pt idx="30">
                  <c:v>0</c:v>
                </c:pt>
                <c:pt idx="31">
                  <c:v>0</c:v>
                </c:pt>
                <c:pt idx="32">
                  <c:v>27378.470370472191</c:v>
                </c:pt>
                <c:pt idx="33">
                  <c:v>3648.9079156922339</c:v>
                </c:pt>
                <c:pt idx="34">
                  <c:v>23726.589121132678</c:v>
                </c:pt>
                <c:pt idx="35">
                  <c:v>0</c:v>
                </c:pt>
                <c:pt idx="36">
                  <c:v>2879.2520443425633</c:v>
                </c:pt>
                <c:pt idx="37">
                  <c:v>0</c:v>
                </c:pt>
                <c:pt idx="38">
                  <c:v>19040.447985854542</c:v>
                </c:pt>
                <c:pt idx="39">
                  <c:v>0</c:v>
                </c:pt>
                <c:pt idx="40">
                  <c:v>1891.5685600772872</c:v>
                </c:pt>
                <c:pt idx="41">
                  <c:v>0</c:v>
                </c:pt>
                <c:pt idx="42">
                  <c:v>4240.3464289163448</c:v>
                </c:pt>
                <c:pt idx="43">
                  <c:v>8247.2195111804449</c:v>
                </c:pt>
                <c:pt idx="44">
                  <c:v>1890.740292284363</c:v>
                </c:pt>
                <c:pt idx="45">
                  <c:v>0</c:v>
                </c:pt>
                <c:pt idx="46">
                  <c:v>3896.1563542167878</c:v>
                </c:pt>
                <c:pt idx="47">
                  <c:v>0</c:v>
                </c:pt>
                <c:pt idx="48">
                  <c:v>380.96856105173606</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AD69-40BA-AB0E-BFFE0974761C}"/>
            </c:ext>
          </c:extLst>
        </c:ser>
        <c:ser>
          <c:idx val="1"/>
          <c:order val="1"/>
          <c:tx>
            <c:v>Exploitation batiments</c:v>
          </c:tx>
          <c:spPr>
            <a:solidFill>
              <a:schemeClr val="accent2"/>
            </a:solidFill>
            <a:ln>
              <a:noFill/>
            </a:ln>
            <a:effectLst/>
          </c:spPr>
          <c:invertIfNegative val="0"/>
          <c:cat>
            <c:numRef>
              <c:f>'Background graphEXPL_CH'!$N$5:$N$83</c:f>
              <c:numCache>
                <c:formatCode>General</c:formatCode>
                <c:ptCount val="7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pt idx="51">
                  <c:v>2073</c:v>
                </c:pt>
                <c:pt idx="52">
                  <c:v>2074</c:v>
                </c:pt>
                <c:pt idx="53">
                  <c:v>2075</c:v>
                </c:pt>
                <c:pt idx="54">
                  <c:v>2076</c:v>
                </c:pt>
                <c:pt idx="55">
                  <c:v>2077</c:v>
                </c:pt>
                <c:pt idx="56">
                  <c:v>2078</c:v>
                </c:pt>
                <c:pt idx="57">
                  <c:v>2079</c:v>
                </c:pt>
                <c:pt idx="58">
                  <c:v>2080</c:v>
                </c:pt>
                <c:pt idx="59">
                  <c:v>2081</c:v>
                </c:pt>
                <c:pt idx="60">
                  <c:v>2082</c:v>
                </c:pt>
                <c:pt idx="61">
                  <c:v>2083</c:v>
                </c:pt>
                <c:pt idx="62">
                  <c:v>2084</c:v>
                </c:pt>
                <c:pt idx="63">
                  <c:v>2085</c:v>
                </c:pt>
                <c:pt idx="64">
                  <c:v>2086</c:v>
                </c:pt>
                <c:pt idx="65">
                  <c:v>2087</c:v>
                </c:pt>
                <c:pt idx="66">
                  <c:v>2088</c:v>
                </c:pt>
                <c:pt idx="67">
                  <c:v>2089</c:v>
                </c:pt>
                <c:pt idx="68">
                  <c:v>2090</c:v>
                </c:pt>
                <c:pt idx="69">
                  <c:v>2091</c:v>
                </c:pt>
                <c:pt idx="70">
                  <c:v>2092</c:v>
                </c:pt>
                <c:pt idx="71">
                  <c:v>2093</c:v>
                </c:pt>
                <c:pt idx="72">
                  <c:v>2094</c:v>
                </c:pt>
                <c:pt idx="73">
                  <c:v>2095</c:v>
                </c:pt>
                <c:pt idx="74">
                  <c:v>2096</c:v>
                </c:pt>
                <c:pt idx="75">
                  <c:v>2097</c:v>
                </c:pt>
                <c:pt idx="76">
                  <c:v>2098</c:v>
                </c:pt>
                <c:pt idx="77">
                  <c:v>2099</c:v>
                </c:pt>
                <c:pt idx="78">
                  <c:v>2100</c:v>
                </c:pt>
              </c:numCache>
            </c:numRef>
          </c:cat>
          <c:val>
            <c:numRef>
              <c:f>'Background graphEXPL_CH'!$Y$5:$Y$83</c:f>
              <c:numCache>
                <c:formatCode>General</c:formatCode>
                <c:ptCount val="79"/>
                <c:pt idx="0">
                  <c:v>0</c:v>
                </c:pt>
                <c:pt idx="1">
                  <c:v>0</c:v>
                </c:pt>
                <c:pt idx="2">
                  <c:v>2585.5157380365981</c:v>
                </c:pt>
                <c:pt idx="3">
                  <c:v>2585.5157380365981</c:v>
                </c:pt>
                <c:pt idx="4">
                  <c:v>9548.1880004227605</c:v>
                </c:pt>
                <c:pt idx="5">
                  <c:v>9548.1880004227605</c:v>
                </c:pt>
                <c:pt idx="6">
                  <c:v>9548.1880004227605</c:v>
                </c:pt>
                <c:pt idx="7">
                  <c:v>9548.1880004227605</c:v>
                </c:pt>
                <c:pt idx="8">
                  <c:v>14733.201753933019</c:v>
                </c:pt>
                <c:pt idx="9">
                  <c:v>14733.201753933019</c:v>
                </c:pt>
                <c:pt idx="10">
                  <c:v>14733.201753933019</c:v>
                </c:pt>
                <c:pt idx="11">
                  <c:v>14733.201753933019</c:v>
                </c:pt>
                <c:pt idx="12">
                  <c:v>14733.201753933019</c:v>
                </c:pt>
                <c:pt idx="13">
                  <c:v>18324.643073872088</c:v>
                </c:pt>
                <c:pt idx="14">
                  <c:v>18324.643073872088</c:v>
                </c:pt>
                <c:pt idx="15">
                  <c:v>18324.643073872088</c:v>
                </c:pt>
                <c:pt idx="16">
                  <c:v>21143.390185768891</c:v>
                </c:pt>
                <c:pt idx="17">
                  <c:v>21143.390185768891</c:v>
                </c:pt>
                <c:pt idx="18">
                  <c:v>23516.604921991937</c:v>
                </c:pt>
                <c:pt idx="19">
                  <c:v>23516.604921991937</c:v>
                </c:pt>
                <c:pt idx="20">
                  <c:v>25462.094374500339</c:v>
                </c:pt>
                <c:pt idx="21">
                  <c:v>25462.094374500339</c:v>
                </c:pt>
                <c:pt idx="22">
                  <c:v>26947.883270677783</c:v>
                </c:pt>
                <c:pt idx="23">
                  <c:v>24777.067110288397</c:v>
                </c:pt>
                <c:pt idx="24">
                  <c:v>24777.067110288397</c:v>
                </c:pt>
                <c:pt idx="25">
                  <c:v>18813.83525773064</c:v>
                </c:pt>
                <c:pt idx="26">
                  <c:v>19383.819307886086</c:v>
                </c:pt>
                <c:pt idx="27">
                  <c:v>19383.819307886086</c:v>
                </c:pt>
                <c:pt idx="28">
                  <c:v>19667.042632667206</c:v>
                </c:pt>
                <c:pt idx="29">
                  <c:v>14765.252203938067</c:v>
                </c:pt>
                <c:pt idx="30">
                  <c:v>14765.252203938067</c:v>
                </c:pt>
                <c:pt idx="31">
                  <c:v>14765.252203938067</c:v>
                </c:pt>
                <c:pt idx="32">
                  <c:v>14765.252203938067</c:v>
                </c:pt>
                <c:pt idx="33">
                  <c:v>14765.252203938067</c:v>
                </c:pt>
                <c:pt idx="34">
                  <c:v>11173.810883999002</c:v>
                </c:pt>
                <c:pt idx="35">
                  <c:v>11173.810883999002</c:v>
                </c:pt>
                <c:pt idx="36">
                  <c:v>11173.810883999002</c:v>
                </c:pt>
                <c:pt idx="37">
                  <c:v>8355.0637721022013</c:v>
                </c:pt>
                <c:pt idx="38">
                  <c:v>8355.0637721022013</c:v>
                </c:pt>
                <c:pt idx="39">
                  <c:v>5981.8490358791551</c:v>
                </c:pt>
                <c:pt idx="40">
                  <c:v>5981.8490358791551</c:v>
                </c:pt>
                <c:pt idx="41">
                  <c:v>4036.3595833707523</c:v>
                </c:pt>
                <c:pt idx="42">
                  <c:v>4036.3595833707523</c:v>
                </c:pt>
                <c:pt idx="43">
                  <c:v>2135.871109546094</c:v>
                </c:pt>
                <c:pt idx="44">
                  <c:v>2135.871109546094</c:v>
                </c:pt>
                <c:pt idx="45">
                  <c:v>1136.4306997176877</c:v>
                </c:pt>
                <c:pt idx="46">
                  <c:v>1136.4306997176877</c:v>
                </c:pt>
                <c:pt idx="47">
                  <c:v>566.44664956224142</c:v>
                </c:pt>
                <c:pt idx="48">
                  <c:v>566.44664956224142</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1-AD69-40BA-AB0E-BFFE0974761C}"/>
            </c:ext>
          </c:extLst>
        </c:ser>
        <c:dLbls>
          <c:showLegendKey val="0"/>
          <c:showVal val="0"/>
          <c:showCatName val="0"/>
          <c:showSerName val="0"/>
          <c:showPercent val="0"/>
          <c:showBubbleSize val="0"/>
        </c:dLbls>
        <c:gapWidth val="150"/>
        <c:axId val="1611687215"/>
        <c:axId val="1611685135"/>
      </c:barChart>
      <c:lineChart>
        <c:grouping val="standard"/>
        <c:varyColors val="0"/>
        <c:ser>
          <c:idx val="2"/>
          <c:order val="2"/>
          <c:tx>
            <c:v>Amortisation</c:v>
          </c:tx>
          <c:spPr>
            <a:ln w="28575" cap="rnd">
              <a:solidFill>
                <a:schemeClr val="accent3"/>
              </a:solidFill>
              <a:round/>
            </a:ln>
            <a:effectLst/>
          </c:spPr>
          <c:marker>
            <c:symbol val="none"/>
          </c:marker>
          <c:val>
            <c:numRef>
              <c:f>'Background cumul_CH'!$AC$4:$AC$82</c:f>
              <c:numCache>
                <c:formatCode>General</c:formatCode>
                <c:ptCount val="79"/>
                <c:pt idx="0">
                  <c:v>0</c:v>
                </c:pt>
                <c:pt idx="1">
                  <c:v>0</c:v>
                </c:pt>
                <c:pt idx="2">
                  <c:v>11.1962485424369</c:v>
                </c:pt>
                <c:pt idx="3">
                  <c:v>11.1962485424369</c:v>
                </c:pt>
                <c:pt idx="4">
                  <c:v>12.873456909822435</c:v>
                </c:pt>
                <c:pt idx="5">
                  <c:v>12.873456909822435</c:v>
                </c:pt>
                <c:pt idx="6">
                  <c:v>12.873456909822435</c:v>
                </c:pt>
                <c:pt idx="7">
                  <c:v>12.873456909822435</c:v>
                </c:pt>
                <c:pt idx="8">
                  <c:v>12.509507074886463</c:v>
                </c:pt>
                <c:pt idx="9">
                  <c:v>12.509507074886463</c:v>
                </c:pt>
                <c:pt idx="10">
                  <c:v>12.509507074886463</c:v>
                </c:pt>
                <c:pt idx="11">
                  <c:v>12.509507074886463</c:v>
                </c:pt>
                <c:pt idx="12">
                  <c:v>12.509507074886463</c:v>
                </c:pt>
                <c:pt idx="13">
                  <c:v>11.625571195860678</c:v>
                </c:pt>
                <c:pt idx="14">
                  <c:v>11.625571195860678</c:v>
                </c:pt>
                <c:pt idx="15">
                  <c:v>11.625571195860678</c:v>
                </c:pt>
                <c:pt idx="16">
                  <c:v>10.803703102835756</c:v>
                </c:pt>
                <c:pt idx="17">
                  <c:v>10.803703102835756</c:v>
                </c:pt>
                <c:pt idx="18">
                  <c:v>10.106962706066328</c:v>
                </c:pt>
                <c:pt idx="19">
                  <c:v>10.106962706066328</c:v>
                </c:pt>
                <c:pt idx="20">
                  <c:v>9.4950603005259069</c:v>
                </c:pt>
                <c:pt idx="21">
                  <c:v>9.4950603005259069</c:v>
                </c:pt>
                <c:pt idx="22">
                  <c:v>8.9401634408712045</c:v>
                </c:pt>
                <c:pt idx="23">
                  <c:v>8.6688114208225322</c:v>
                </c:pt>
                <c:pt idx="24">
                  <c:v>8.6688114208225322</c:v>
                </c:pt>
                <c:pt idx="25">
                  <c:v>7.9234074392528129</c:v>
                </c:pt>
                <c:pt idx="26">
                  <c:v>7.3992770373975674</c:v>
                </c:pt>
                <c:pt idx="27">
                  <c:v>7.3992770373975674</c:v>
                </c:pt>
                <c:pt idx="28">
                  <c:v>6.9244634310444555</c:v>
                </c:pt>
                <c:pt idx="29">
                  <c:v>6.434284388171541</c:v>
                </c:pt>
                <c:pt idx="30">
                  <c:v>6.434284388171541</c:v>
                </c:pt>
                <c:pt idx="31">
                  <c:v>6.434284388171541</c:v>
                </c:pt>
                <c:pt idx="32">
                  <c:v>6.434284388171541</c:v>
                </c:pt>
                <c:pt idx="33">
                  <c:v>6.434284388171541</c:v>
                </c:pt>
                <c:pt idx="34">
                  <c:v>6.0751402561776349</c:v>
                </c:pt>
                <c:pt idx="35">
                  <c:v>6.0751402561776349</c:v>
                </c:pt>
                <c:pt idx="36">
                  <c:v>6.0751402561776349</c:v>
                </c:pt>
                <c:pt idx="37">
                  <c:v>5.7932655449879542</c:v>
                </c:pt>
                <c:pt idx="38">
                  <c:v>5.7932655449879542</c:v>
                </c:pt>
                <c:pt idx="39">
                  <c:v>5.5559440713656496</c:v>
                </c:pt>
                <c:pt idx="40">
                  <c:v>5.5559440713656496</c:v>
                </c:pt>
                <c:pt idx="41">
                  <c:v>5.3613951261148101</c:v>
                </c:pt>
                <c:pt idx="42">
                  <c:v>5.3613951261148101</c:v>
                </c:pt>
                <c:pt idx="43">
                  <c:v>5.1713462787323445</c:v>
                </c:pt>
                <c:pt idx="44">
                  <c:v>5.1713462787323445</c:v>
                </c:pt>
                <c:pt idx="45">
                  <c:v>5.0714022377495036</c:v>
                </c:pt>
                <c:pt idx="46">
                  <c:v>5.0714022377495036</c:v>
                </c:pt>
                <c:pt idx="47">
                  <c:v>5.0144038327339588</c:v>
                </c:pt>
                <c:pt idx="48">
                  <c:v>5.0144038327339588</c:v>
                </c:pt>
                <c:pt idx="49">
                  <c:v>4.9577591677777342</c:v>
                </c:pt>
                <c:pt idx="50">
                  <c:v>4.9577591677777342</c:v>
                </c:pt>
                <c:pt idx="51">
                  <c:v>4.9577591677777342</c:v>
                </c:pt>
                <c:pt idx="52">
                  <c:v>4.9577591677777342</c:v>
                </c:pt>
                <c:pt idx="53">
                  <c:v>4.9577591677777342</c:v>
                </c:pt>
                <c:pt idx="54">
                  <c:v>4.9577591677777342</c:v>
                </c:pt>
                <c:pt idx="55">
                  <c:v>4.9577591677777342</c:v>
                </c:pt>
                <c:pt idx="56">
                  <c:v>4.9577591677777342</c:v>
                </c:pt>
                <c:pt idx="57">
                  <c:v>4.9577591677777342</c:v>
                </c:pt>
                <c:pt idx="58">
                  <c:v>4.9577591677777342</c:v>
                </c:pt>
                <c:pt idx="59">
                  <c:v>4.9577591677777342</c:v>
                </c:pt>
                <c:pt idx="60">
                  <c:v>4.9577591677777342</c:v>
                </c:pt>
                <c:pt idx="61">
                  <c:v>4.9577591677777342</c:v>
                </c:pt>
                <c:pt idx="62">
                  <c:v>4.9577591677777342</c:v>
                </c:pt>
                <c:pt idx="63">
                  <c:v>4.0966858873377046</c:v>
                </c:pt>
                <c:pt idx="64">
                  <c:v>4.0966858873377046</c:v>
                </c:pt>
                <c:pt idx="65">
                  <c:v>3.3378865858555242</c:v>
                </c:pt>
                <c:pt idx="66">
                  <c:v>3.3378865858555242</c:v>
                </c:pt>
                <c:pt idx="67">
                  <c:v>3.3378865858555242</c:v>
                </c:pt>
                <c:pt idx="68">
                  <c:v>3.3378865858555242</c:v>
                </c:pt>
                <c:pt idx="69">
                  <c:v>2.6782272207050979</c:v>
                </c:pt>
                <c:pt idx="70">
                  <c:v>2.6782272207050979</c:v>
                </c:pt>
                <c:pt idx="71">
                  <c:v>2.6782272207050979</c:v>
                </c:pt>
                <c:pt idx="72">
                  <c:v>2.6782272207050979</c:v>
                </c:pt>
                <c:pt idx="73">
                  <c:v>2.6782272207050979</c:v>
                </c:pt>
                <c:pt idx="74">
                  <c:v>2.1399949968206733</c:v>
                </c:pt>
                <c:pt idx="75">
                  <c:v>2.1399949968206733</c:v>
                </c:pt>
                <c:pt idx="76">
                  <c:v>2.1399949968206733</c:v>
                </c:pt>
                <c:pt idx="77">
                  <c:v>1.6702466349367453</c:v>
                </c:pt>
                <c:pt idx="78">
                  <c:v>1.6702466349367453</c:v>
                </c:pt>
              </c:numCache>
            </c:numRef>
          </c:val>
          <c:smooth val="0"/>
          <c:extLst>
            <c:ext xmlns:c16="http://schemas.microsoft.com/office/drawing/2014/chart" uri="{C3380CC4-5D6E-409C-BE32-E72D297353CC}">
              <c16:uniqueId val="{00000002-AD69-40BA-AB0E-BFFE0974761C}"/>
            </c:ext>
          </c:extLst>
        </c:ser>
        <c:dLbls>
          <c:showLegendKey val="0"/>
          <c:showVal val="0"/>
          <c:showCatName val="0"/>
          <c:showSerName val="0"/>
          <c:showPercent val="0"/>
          <c:showBubbleSize val="0"/>
        </c:dLbls>
        <c:marker val="1"/>
        <c:smooth val="0"/>
        <c:axId val="1781200127"/>
        <c:axId val="1781180991"/>
      </c:lineChart>
      <c:catAx>
        <c:axId val="1611687215"/>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11685135"/>
        <c:crosses val="autoZero"/>
        <c:auto val="1"/>
        <c:lblAlgn val="ctr"/>
        <c:lblOffset val="100"/>
        <c:tickLblSkip val="10"/>
        <c:tickMarkSkip val="10"/>
        <c:noMultiLvlLbl val="0"/>
      </c:catAx>
      <c:valAx>
        <c:axId val="16116851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fr-CH" sz="1800"/>
                  <a:t>kgCO2éq</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11687215"/>
        <c:crosses val="autoZero"/>
        <c:crossBetween val="between"/>
      </c:valAx>
      <c:valAx>
        <c:axId val="178118099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800" b="0" i="0" baseline="0">
                    <a:effectLst/>
                  </a:rPr>
                  <a:t>kgCO2éq/m2.an</a:t>
                </a:r>
                <a:endParaRPr lang="fr-CH">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81200127"/>
        <c:crosses val="max"/>
        <c:crossBetween val="between"/>
      </c:valAx>
      <c:catAx>
        <c:axId val="1781200127"/>
        <c:scaling>
          <c:orientation val="minMax"/>
        </c:scaling>
        <c:delete val="1"/>
        <c:axPos val="b"/>
        <c:majorTickMark val="out"/>
        <c:minorTickMark val="none"/>
        <c:tickLblPos val="nextTo"/>
        <c:crossAx val="178118099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Budget carbone Bâtiment 1 sur durée de vie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'Budget statique équivalent'!$B$11</c:f>
              <c:strCache>
                <c:ptCount val="1"/>
                <c:pt idx="0">
                  <c:v>Budget "upfront" (fin de chantier)</c:v>
                </c:pt>
              </c:strCache>
            </c:strRef>
          </c:tx>
          <c:spPr>
            <a:solidFill>
              <a:schemeClr val="accent1"/>
            </a:solidFill>
            <a:ln>
              <a:noFill/>
            </a:ln>
            <a:effectLst/>
          </c:spPr>
          <c:invertIfNegative val="0"/>
          <c:cat>
            <c:numRef>
              <c:f>'Background graphCON'!$A$5:$A$83</c:f>
              <c:numCache>
                <c:formatCode>General</c:formatCode>
                <c:ptCount val="7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pt idx="49">
                  <c:v>2071</c:v>
                </c:pt>
                <c:pt idx="50">
                  <c:v>2072</c:v>
                </c:pt>
                <c:pt idx="51">
                  <c:v>2073</c:v>
                </c:pt>
                <c:pt idx="52">
                  <c:v>2074</c:v>
                </c:pt>
                <c:pt idx="53">
                  <c:v>2075</c:v>
                </c:pt>
                <c:pt idx="54">
                  <c:v>2076</c:v>
                </c:pt>
                <c:pt idx="55">
                  <c:v>2077</c:v>
                </c:pt>
                <c:pt idx="56">
                  <c:v>2078</c:v>
                </c:pt>
                <c:pt idx="57">
                  <c:v>2079</c:v>
                </c:pt>
                <c:pt idx="58">
                  <c:v>2080</c:v>
                </c:pt>
                <c:pt idx="59">
                  <c:v>2081</c:v>
                </c:pt>
                <c:pt idx="60">
                  <c:v>2082</c:v>
                </c:pt>
                <c:pt idx="61">
                  <c:v>2083</c:v>
                </c:pt>
                <c:pt idx="62">
                  <c:v>2084</c:v>
                </c:pt>
                <c:pt idx="63">
                  <c:v>2085</c:v>
                </c:pt>
                <c:pt idx="64">
                  <c:v>2086</c:v>
                </c:pt>
                <c:pt idx="65">
                  <c:v>2087</c:v>
                </c:pt>
                <c:pt idx="66">
                  <c:v>2088</c:v>
                </c:pt>
                <c:pt idx="67">
                  <c:v>2089</c:v>
                </c:pt>
                <c:pt idx="68">
                  <c:v>2090</c:v>
                </c:pt>
                <c:pt idx="69">
                  <c:v>2091</c:v>
                </c:pt>
                <c:pt idx="70">
                  <c:v>2092</c:v>
                </c:pt>
                <c:pt idx="71">
                  <c:v>2093</c:v>
                </c:pt>
                <c:pt idx="72">
                  <c:v>2094</c:v>
                </c:pt>
                <c:pt idx="73">
                  <c:v>2095</c:v>
                </c:pt>
                <c:pt idx="74">
                  <c:v>2096</c:v>
                </c:pt>
                <c:pt idx="75">
                  <c:v>2097</c:v>
                </c:pt>
                <c:pt idx="76">
                  <c:v>2098</c:v>
                </c:pt>
                <c:pt idx="77">
                  <c:v>2099</c:v>
                </c:pt>
                <c:pt idx="78">
                  <c:v>2100</c:v>
                </c:pt>
              </c:numCache>
            </c:numRef>
          </c:cat>
          <c:val>
            <c:numRef>
              <c:f>'Background graphCON'!$AA$5:$AA$83</c:f>
              <c:numCache>
                <c:formatCode>General</c:formatCode>
                <c:ptCount val="79"/>
                <c:pt idx="0">
                  <c:v>0</c:v>
                </c:pt>
                <c:pt idx="1">
                  <c:v>0</c:v>
                </c:pt>
                <c:pt idx="2">
                  <c:v>478962.11255367054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2164-44A5-B6B1-2BB15A8FC7EB}"/>
            </c:ext>
          </c:extLst>
        </c:ser>
        <c:ser>
          <c:idx val="1"/>
          <c:order val="1"/>
          <c:tx>
            <c:strRef>
              <c:f>'Budget statique équivalent'!$B$12</c:f>
              <c:strCache>
                <c:ptCount val="1"/>
                <c:pt idx="0">
                  <c:v>Budget remplacements (20 ans)</c:v>
                </c:pt>
              </c:strCache>
            </c:strRef>
          </c:tx>
          <c:spPr>
            <a:solidFill>
              <a:schemeClr val="accent2"/>
            </a:solidFill>
            <a:ln>
              <a:noFill/>
            </a:ln>
            <a:effectLst/>
          </c:spPr>
          <c:invertIfNegative val="0"/>
          <c:val>
            <c:numRef>
              <c:f>'Background graphCON'!$AC$5:$AC$83</c:f>
              <c:numCache>
                <c:formatCode>General</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7476.4877205977136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1-2164-44A5-B6B1-2BB15A8FC7EB}"/>
            </c:ext>
          </c:extLst>
        </c:ser>
        <c:ser>
          <c:idx val="2"/>
          <c:order val="2"/>
          <c:tx>
            <c:strRef>
              <c:f>'Budget statique équivalent'!$B$13</c:f>
              <c:strCache>
                <c:ptCount val="1"/>
                <c:pt idx="0">
                  <c:v>Budget remplacements (30 ans)</c:v>
                </c:pt>
              </c:strCache>
            </c:strRef>
          </c:tx>
          <c:spPr>
            <a:solidFill>
              <a:schemeClr val="accent3"/>
            </a:solidFill>
            <a:ln>
              <a:noFill/>
            </a:ln>
            <a:effectLst/>
          </c:spPr>
          <c:invertIfNegative val="0"/>
          <c:val>
            <c:numRef>
              <c:f>'Background graphCON'!$AE$5:$AE$83</c:f>
              <c:numCache>
                <c:formatCode>General</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27378.470370472191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2-2164-44A5-B6B1-2BB15A8FC7EB}"/>
            </c:ext>
          </c:extLst>
        </c:ser>
        <c:ser>
          <c:idx val="3"/>
          <c:order val="3"/>
          <c:tx>
            <c:strRef>
              <c:f>'Budget statique équivalent'!$B$14</c:f>
              <c:strCache>
                <c:ptCount val="1"/>
                <c:pt idx="0">
                  <c:v>Budget remplacements (40 ans)</c:v>
                </c:pt>
              </c:strCache>
            </c:strRef>
          </c:tx>
          <c:spPr>
            <a:solidFill>
              <a:schemeClr val="accent4"/>
            </a:solidFill>
            <a:ln>
              <a:noFill/>
            </a:ln>
            <a:effectLst/>
          </c:spPr>
          <c:invertIfNegative val="0"/>
          <c:val>
            <c:numRef>
              <c:f>'Background graphCON'!$AG$5:$AG$83</c:f>
              <c:numCache>
                <c:formatCode>General</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2826.8976192775631</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3-2164-44A5-B6B1-2BB15A8FC7EB}"/>
            </c:ext>
          </c:extLst>
        </c:ser>
        <c:ser>
          <c:idx val="4"/>
          <c:order val="4"/>
          <c:tx>
            <c:strRef>
              <c:f>'Budget statique équivalent'!$B$28</c:f>
              <c:strCache>
                <c:ptCount val="1"/>
                <c:pt idx="0">
                  <c:v>Exploitation </c:v>
                </c:pt>
              </c:strCache>
            </c:strRef>
          </c:tx>
          <c:spPr>
            <a:solidFill>
              <a:srgbClr val="00B050"/>
            </a:solidFill>
            <a:ln>
              <a:noFill/>
            </a:ln>
            <a:effectLst/>
          </c:spPr>
          <c:invertIfNegative val="0"/>
          <c:val>
            <c:numRef>
              <c:f>'Background graphEXPL_CH'!$O$5:$O$83</c:f>
              <c:numCache>
                <c:formatCode>General</c:formatCode>
                <c:ptCount val="79"/>
                <c:pt idx="0">
                  <c:v>0</c:v>
                </c:pt>
                <c:pt idx="1">
                  <c:v>0</c:v>
                </c:pt>
                <c:pt idx="2">
                  <c:v>2585.5157380365981</c:v>
                </c:pt>
                <c:pt idx="3">
                  <c:v>2585.5157380365981</c:v>
                </c:pt>
                <c:pt idx="4">
                  <c:v>2585.5157380365981</c:v>
                </c:pt>
                <c:pt idx="5">
                  <c:v>2585.5157380365981</c:v>
                </c:pt>
                <c:pt idx="6">
                  <c:v>2585.5157380365981</c:v>
                </c:pt>
                <c:pt idx="7">
                  <c:v>2585.5157380365981</c:v>
                </c:pt>
                <c:pt idx="8">
                  <c:v>2585.5157380365981</c:v>
                </c:pt>
                <c:pt idx="9">
                  <c:v>2585.5157380365981</c:v>
                </c:pt>
                <c:pt idx="10">
                  <c:v>2585.5157380365981</c:v>
                </c:pt>
                <c:pt idx="11">
                  <c:v>2585.5157380365981</c:v>
                </c:pt>
                <c:pt idx="12">
                  <c:v>2585.5157380365981</c:v>
                </c:pt>
                <c:pt idx="13">
                  <c:v>2585.5157380365981</c:v>
                </c:pt>
                <c:pt idx="14">
                  <c:v>2585.5157380365981</c:v>
                </c:pt>
                <c:pt idx="15">
                  <c:v>2585.5157380365981</c:v>
                </c:pt>
                <c:pt idx="16">
                  <c:v>2585.5157380365981</c:v>
                </c:pt>
                <c:pt idx="17">
                  <c:v>2585.5157380365981</c:v>
                </c:pt>
                <c:pt idx="18">
                  <c:v>2585.5157380365981</c:v>
                </c:pt>
                <c:pt idx="19">
                  <c:v>2585.5157380365981</c:v>
                </c:pt>
                <c:pt idx="20">
                  <c:v>2585.5157380365981</c:v>
                </c:pt>
                <c:pt idx="21">
                  <c:v>2585.5157380365981</c:v>
                </c:pt>
                <c:pt idx="22">
                  <c:v>2585.5157380365981</c:v>
                </c:pt>
                <c:pt idx="23">
                  <c:v>414.69957764721318</c:v>
                </c:pt>
                <c:pt idx="24">
                  <c:v>414.69957764721318</c:v>
                </c:pt>
                <c:pt idx="25">
                  <c:v>414.69957764721318</c:v>
                </c:pt>
                <c:pt idx="26">
                  <c:v>414.69957764721318</c:v>
                </c:pt>
                <c:pt idx="27">
                  <c:v>414.69957764721318</c:v>
                </c:pt>
                <c:pt idx="28">
                  <c:v>414.69957764721318</c:v>
                </c:pt>
                <c:pt idx="29">
                  <c:v>414.69957764721318</c:v>
                </c:pt>
                <c:pt idx="30">
                  <c:v>414.69957764721318</c:v>
                </c:pt>
                <c:pt idx="31">
                  <c:v>414.69957764721318</c:v>
                </c:pt>
                <c:pt idx="32">
                  <c:v>414.69957764721318</c:v>
                </c:pt>
                <c:pt idx="33">
                  <c:v>414.69957764721318</c:v>
                </c:pt>
                <c:pt idx="34">
                  <c:v>414.69957764721318</c:v>
                </c:pt>
                <c:pt idx="35">
                  <c:v>414.69957764721318</c:v>
                </c:pt>
                <c:pt idx="36">
                  <c:v>414.69957764721318</c:v>
                </c:pt>
                <c:pt idx="37">
                  <c:v>414.69957764721318</c:v>
                </c:pt>
                <c:pt idx="38">
                  <c:v>414.69957764721318</c:v>
                </c:pt>
                <c:pt idx="39">
                  <c:v>414.69957764721318</c:v>
                </c:pt>
                <c:pt idx="40">
                  <c:v>414.69957764721318</c:v>
                </c:pt>
                <c:pt idx="41">
                  <c:v>414.69957764721318</c:v>
                </c:pt>
                <c:pt idx="42">
                  <c:v>414.69957764721318</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4-2164-44A5-B6B1-2BB15A8FC7EB}"/>
            </c:ext>
          </c:extLst>
        </c:ser>
        <c:dLbls>
          <c:showLegendKey val="0"/>
          <c:showVal val="0"/>
          <c:showCatName val="0"/>
          <c:showSerName val="0"/>
          <c:showPercent val="0"/>
          <c:showBubbleSize val="0"/>
        </c:dLbls>
        <c:gapWidth val="219"/>
        <c:overlap val="-27"/>
        <c:axId val="2014329952"/>
        <c:axId val="2014330368"/>
      </c:barChart>
      <c:catAx>
        <c:axId val="201432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4330368"/>
        <c:crosses val="autoZero"/>
        <c:auto val="1"/>
        <c:lblAlgn val="ctr"/>
        <c:lblOffset val="100"/>
        <c:noMultiLvlLbl val="0"/>
      </c:catAx>
      <c:valAx>
        <c:axId val="2014330368"/>
        <c:scaling>
          <c:orientation val="minMax"/>
          <c:max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kgCO2éq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14329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Budgets carbone sur 60ans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'Budget statique équivalent'!$B$11</c:f>
              <c:strCache>
                <c:ptCount val="1"/>
                <c:pt idx="0">
                  <c:v>Budget "upfront" (fin de chantier)</c:v>
                </c:pt>
              </c:strCache>
            </c:strRef>
          </c:tx>
          <c:spPr>
            <a:solidFill>
              <a:schemeClr val="accent1"/>
            </a:solidFill>
            <a:ln>
              <a:noFill/>
            </a:ln>
            <a:effectLst/>
          </c:spPr>
          <c:invertIfNegative val="0"/>
          <c:cat>
            <c:numRef>
              <c:f>'Budget statique équivalent'!$D$4:$M$4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'Budget statique équivalent'!$D$11:$M$11</c:f>
              <c:numCache>
                <c:formatCode>#\ ##0.0</c:formatCode>
                <c:ptCount val="10"/>
                <c:pt idx="0">
                  <c:v>478.96211255367052</c:v>
                </c:pt>
                <c:pt idx="1">
                  <c:v>423.48890835140691</c:v>
                </c:pt>
                <c:pt idx="2">
                  <c:v>374.06854553324115</c:v>
                </c:pt>
                <c:pt idx="3">
                  <c:v>311.04320690378205</c:v>
                </c:pt>
                <c:pt idx="4">
                  <c:v>275.56062827607457</c:v>
                </c:pt>
                <c:pt idx="5">
                  <c:v>252.35602516880044</c:v>
                </c:pt>
                <c:pt idx="6">
                  <c:v>230.79781632642164</c:v>
                </c:pt>
                <c:pt idx="7">
                  <c:v>212.79234281701181</c:v>
                </c:pt>
                <c:pt idx="8">
                  <c:v>157.68796679973201</c:v>
                </c:pt>
                <c:pt idx="9">
                  <c:v>142.03696208901502</c:v>
                </c:pt>
              </c:numCache>
            </c:numRef>
          </c:val>
          <c:extLst>
            <c:ext xmlns:c16="http://schemas.microsoft.com/office/drawing/2014/chart" uri="{C3380CC4-5D6E-409C-BE32-E72D297353CC}">
              <c16:uniqueId val="{00000000-2C96-4B33-8158-AC1848EC6DE2}"/>
            </c:ext>
          </c:extLst>
        </c:ser>
        <c:ser>
          <c:idx val="1"/>
          <c:order val="1"/>
          <c:tx>
            <c:strRef>
              <c:f>'Budget statique équivalent'!$B$12</c:f>
              <c:strCache>
                <c:ptCount val="1"/>
                <c:pt idx="0">
                  <c:v>Budget remplacements (20 ans)</c:v>
                </c:pt>
              </c:strCache>
            </c:strRef>
          </c:tx>
          <c:spPr>
            <a:solidFill>
              <a:schemeClr val="accent2"/>
            </a:solidFill>
            <a:ln>
              <a:noFill/>
            </a:ln>
            <a:effectLst/>
          </c:spPr>
          <c:invertIfNegative val="0"/>
          <c:val>
            <c:numRef>
              <c:f>'Budget statique équivalent'!$D$12:$M$12</c:f>
              <c:numCache>
                <c:formatCode>#\ ##0.0</c:formatCode>
                <c:ptCount val="10"/>
                <c:pt idx="0">
                  <c:v>16.828398549183021</c:v>
                </c:pt>
                <c:pt idx="1">
                  <c:v>14.879340023157539</c:v>
                </c:pt>
                <c:pt idx="2">
                  <c:v>13.142948897113881</c:v>
                </c:pt>
                <c:pt idx="3">
                  <c:v>10.928545107430182</c:v>
                </c:pt>
                <c:pt idx="4">
                  <c:v>9.6818599124026221</c:v>
                </c:pt>
                <c:pt idx="5">
                  <c:v>8.8665630464713683</c:v>
                </c:pt>
                <c:pt idx="6">
                  <c:v>8.1091124655229248</c:v>
                </c:pt>
                <c:pt idx="7">
                  <c:v>7.4764877205977136</c:v>
                </c:pt>
                <c:pt idx="8">
                  <c:v>5.5403880226932873</c:v>
                </c:pt>
                <c:pt idx="9">
                  <c:v>4.9904878571816091</c:v>
                </c:pt>
              </c:numCache>
            </c:numRef>
          </c:val>
          <c:extLst>
            <c:ext xmlns:c16="http://schemas.microsoft.com/office/drawing/2014/chart" uri="{C3380CC4-5D6E-409C-BE32-E72D297353CC}">
              <c16:uniqueId val="{00000001-2C96-4B33-8158-AC1848EC6DE2}"/>
            </c:ext>
          </c:extLst>
        </c:ser>
        <c:ser>
          <c:idx val="2"/>
          <c:order val="2"/>
          <c:tx>
            <c:strRef>
              <c:f>'Budget statique équivalent'!$B$13</c:f>
              <c:strCache>
                <c:ptCount val="1"/>
                <c:pt idx="0">
                  <c:v>Budget remplacements (30 ans)</c:v>
                </c:pt>
              </c:strCache>
            </c:strRef>
          </c:tx>
          <c:spPr>
            <a:solidFill>
              <a:schemeClr val="accent3"/>
            </a:solidFill>
            <a:ln>
              <a:noFill/>
            </a:ln>
            <a:effectLst/>
          </c:spPr>
          <c:invertIfNegative val="0"/>
          <c:val>
            <c:numRef>
              <c:f>'Budget statique équivalent'!$D$13:$M$13</c:f>
              <c:numCache>
                <c:formatCode>#\ ##0.0</c:formatCode>
                <c:ptCount val="10"/>
                <c:pt idx="0">
                  <c:v>117.79878984428113</c:v>
                </c:pt>
                <c:pt idx="1">
                  <c:v>104.15538016210277</c:v>
                </c:pt>
                <c:pt idx="2">
                  <c:v>92.000642279797148</c:v>
                </c:pt>
                <c:pt idx="3">
                  <c:v>76.499815752011258</c:v>
                </c:pt>
                <c:pt idx="4">
                  <c:v>67.773019386818333</c:v>
                </c:pt>
                <c:pt idx="5">
                  <c:v>62.065941325299569</c:v>
                </c:pt>
                <c:pt idx="6">
                  <c:v>56.763787258660464</c:v>
                </c:pt>
                <c:pt idx="7">
                  <c:v>52.335414044183985</c:v>
                </c:pt>
                <c:pt idx="8">
                  <c:v>38.782716158853006</c:v>
                </c:pt>
                <c:pt idx="9">
                  <c:v>34.93341500027126</c:v>
                </c:pt>
              </c:numCache>
            </c:numRef>
          </c:val>
          <c:extLst>
            <c:ext xmlns:c16="http://schemas.microsoft.com/office/drawing/2014/chart" uri="{C3380CC4-5D6E-409C-BE32-E72D297353CC}">
              <c16:uniqueId val="{00000002-2C96-4B33-8158-AC1848EC6DE2}"/>
            </c:ext>
          </c:extLst>
        </c:ser>
        <c:ser>
          <c:idx val="3"/>
          <c:order val="3"/>
          <c:tx>
            <c:strRef>
              <c:f>'Budget statique équivalent'!$B$14</c:f>
              <c:strCache>
                <c:ptCount val="1"/>
                <c:pt idx="0">
                  <c:v>Budget remplacements (40 ans)</c:v>
                </c:pt>
              </c:strCache>
            </c:strRef>
          </c:tx>
          <c:spPr>
            <a:solidFill>
              <a:schemeClr val="accent4"/>
            </a:solidFill>
            <a:ln>
              <a:noFill/>
            </a:ln>
            <a:effectLst/>
          </c:spPr>
          <c:invertIfNegative val="0"/>
          <c:val>
            <c:numRef>
              <c:f>'Budget statique équivalent'!$D$14:$M$14</c:f>
              <c:numCache>
                <c:formatCode>#\ ##0.0</c:formatCode>
                <c:ptCount val="10"/>
                <c:pt idx="0">
                  <c:v>33.656797098366042</c:v>
                </c:pt>
                <c:pt idx="1">
                  <c:v>29.758680046315078</c:v>
                </c:pt>
                <c:pt idx="2">
                  <c:v>26.285897794227761</c:v>
                </c:pt>
                <c:pt idx="3">
                  <c:v>21.857090214860364</c:v>
                </c:pt>
                <c:pt idx="4">
                  <c:v>19.363719824805244</c:v>
                </c:pt>
                <c:pt idx="5">
                  <c:v>17.733126092942737</c:v>
                </c:pt>
                <c:pt idx="6">
                  <c:v>16.21822493104585</c:v>
                </c:pt>
                <c:pt idx="7">
                  <c:v>14.952975441195427</c:v>
                </c:pt>
                <c:pt idx="8">
                  <c:v>11.080776045386575</c:v>
                </c:pt>
                <c:pt idx="9">
                  <c:v>9.9809757143632183</c:v>
                </c:pt>
              </c:numCache>
            </c:numRef>
          </c:val>
          <c:extLst>
            <c:ext xmlns:c16="http://schemas.microsoft.com/office/drawing/2014/chart" uri="{C3380CC4-5D6E-409C-BE32-E72D297353CC}">
              <c16:uniqueId val="{00000003-2C96-4B33-8158-AC1848EC6DE2}"/>
            </c:ext>
          </c:extLst>
        </c:ser>
        <c:ser>
          <c:idx val="4"/>
          <c:order val="4"/>
          <c:tx>
            <c:strRef>
              <c:f>'Budget statique équivalent'!$B$15</c:f>
              <c:strCache>
                <c:ptCount val="1"/>
                <c:pt idx="0">
                  <c:v>Budget fin de vie (60ans)</c:v>
                </c:pt>
              </c:strCache>
            </c:strRef>
          </c:tx>
          <c:spPr>
            <a:solidFill>
              <a:schemeClr val="accent5"/>
            </a:solidFill>
            <a:ln>
              <a:noFill/>
            </a:ln>
            <a:effectLst/>
          </c:spPr>
          <c:invertIfNegative val="0"/>
          <c:val>
            <c:numRef>
              <c:f>'Budget statique équivalent'!$D$15:$M$15</c:f>
              <c:numCache>
                <c:formatCode>#\ ##0.0</c:formatCode>
                <c:ptCount val="10"/>
                <c:pt idx="0">
                  <c:v>82.456714350124045</c:v>
                </c:pt>
                <c:pt idx="1">
                  <c:v>48.314143692308946</c:v>
                </c:pt>
                <c:pt idx="2">
                  <c:v>40.58977711495038</c:v>
                </c:pt>
                <c:pt idx="3">
                  <c:v>33.601034052663621</c:v>
                </c:pt>
                <c:pt idx="4">
                  <c:v>30.344708621896526</c:v>
                </c:pt>
                <c:pt idx="5">
                  <c:v>28.462218309990217</c:v>
                </c:pt>
                <c:pt idx="6">
                  <c:v>26.770677347577912</c:v>
                </c:pt>
                <c:pt idx="7">
                  <c:v>25.242816996893364</c:v>
                </c:pt>
                <c:pt idx="8">
                  <c:v>22.592145503534493</c:v>
                </c:pt>
                <c:pt idx="9">
                  <c:v>21.435292542947437</c:v>
                </c:pt>
              </c:numCache>
            </c:numRef>
          </c:val>
          <c:extLst>
            <c:ext xmlns:c16="http://schemas.microsoft.com/office/drawing/2014/chart" uri="{C3380CC4-5D6E-409C-BE32-E72D297353CC}">
              <c16:uniqueId val="{00000004-2C96-4B33-8158-AC1848EC6DE2}"/>
            </c:ext>
          </c:extLst>
        </c:ser>
        <c:ser>
          <c:idx val="5"/>
          <c:order val="5"/>
          <c:tx>
            <c:strRef>
              <c:f>'Budget statique équivalent'!$B$28</c:f>
              <c:strCache>
                <c:ptCount val="1"/>
                <c:pt idx="0">
                  <c:v>Exploitation </c:v>
                </c:pt>
              </c:strCache>
            </c:strRef>
          </c:tx>
          <c:spPr>
            <a:solidFill>
              <a:schemeClr val="accent6"/>
            </a:solidFill>
            <a:ln>
              <a:noFill/>
            </a:ln>
            <a:effectLst/>
          </c:spPr>
          <c:invertIfNegative val="0"/>
          <c:val>
            <c:numRef>
              <c:f>'Background graphEXPL_CH'!$B$3:$K$3</c:f>
              <c:numCache>
                <c:formatCode>0.00</c:formatCode>
                <c:ptCount val="10"/>
                <c:pt idx="0">
                  <c:v>62.589822051712808</c:v>
                </c:pt>
                <c:pt idx="1">
                  <c:v>166.2049257066773</c:v>
                </c:pt>
                <c:pt idx="2">
                  <c:v>114.54975531933785</c:v>
                </c:pt>
                <c:pt idx="3">
                  <c:v>75.420267718720396</c:v>
                </c:pt>
                <c:pt idx="4">
                  <c:v>59.193689349832788</c:v>
                </c:pt>
                <c:pt idx="5">
                  <c:v>49.837509460683997</c:v>
                </c:pt>
                <c:pt idx="6">
                  <c:v>40.855278502676477</c:v>
                </c:pt>
                <c:pt idx="7">
                  <c:v>31.201566819726317</c:v>
                </c:pt>
                <c:pt idx="8">
                  <c:v>11.969665053264366</c:v>
                </c:pt>
                <c:pt idx="9">
                  <c:v>5.9476898204035349</c:v>
                </c:pt>
              </c:numCache>
            </c:numRef>
          </c:val>
          <c:extLst>
            <c:ext xmlns:c16="http://schemas.microsoft.com/office/drawing/2014/chart" uri="{C3380CC4-5D6E-409C-BE32-E72D297353CC}">
              <c16:uniqueId val="{00000005-2C96-4B33-8158-AC1848EC6DE2}"/>
            </c:ext>
          </c:extLst>
        </c:ser>
        <c:dLbls>
          <c:showLegendKey val="0"/>
          <c:showVal val="0"/>
          <c:showCatName val="0"/>
          <c:showSerName val="0"/>
          <c:showPercent val="0"/>
          <c:showBubbleSize val="0"/>
        </c:dLbls>
        <c:gapWidth val="150"/>
        <c:overlap val="100"/>
        <c:axId val="218942336"/>
        <c:axId val="218939008"/>
      </c:barChart>
      <c:catAx>
        <c:axId val="218942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Bâtiments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39008"/>
        <c:crosses val="autoZero"/>
        <c:auto val="1"/>
        <c:lblAlgn val="ctr"/>
        <c:lblOffset val="100"/>
        <c:noMultiLvlLbl val="0"/>
      </c:catAx>
      <c:valAx>
        <c:axId val="218939008"/>
        <c:scaling>
          <c:orientation val="minMax"/>
          <c:max val="8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kgCO2éq/m2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42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Cibles existantes en Suisse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3"/>
          <c:order val="0"/>
          <c:tx>
            <c:strRef>
              <c:f>'Budget statique équivalent'!$B$67</c:f>
              <c:strCache>
                <c:ptCount val="1"/>
                <c:pt idx="0">
                  <c:v>construction</c:v>
                </c:pt>
              </c:strCache>
            </c:strRef>
          </c:tx>
          <c:spPr>
            <a:solidFill>
              <a:schemeClr val="accent4"/>
            </a:solidFill>
            <a:ln>
              <a:noFill/>
            </a:ln>
            <a:effectLst/>
          </c:spPr>
          <c:invertIfNegative val="0"/>
          <c:cat>
            <c:strRef>
              <c:f>('Budget statique équivalent'!$B$61,'Budget statique équivalent'!$B$66,'Budget statique équivalent'!$B$71,'Budget statique équivalent'!$B$72,'Budget statique équivalent'!$B$73)</c:f>
              <c:strCache>
                <c:ptCount val="5"/>
                <c:pt idx="0">
                  <c:v>SIA 2040 (Bureaux)</c:v>
                </c:pt>
                <c:pt idx="1">
                  <c:v>SIA 2040 (Résidentiel)</c:v>
                </c:pt>
                <c:pt idx="2">
                  <c:v>Minergie min (Résidentiel/Bureaux)</c:v>
                </c:pt>
                <c:pt idx="3">
                  <c:v>Minergie max (Résidentiel)</c:v>
                </c:pt>
                <c:pt idx="4">
                  <c:v>Minergie max (Bureaux)</c:v>
                </c:pt>
              </c:strCache>
            </c:strRef>
          </c:cat>
          <c:val>
            <c:numRef>
              <c:f>('Budget statique équivalent'!$C$62,'Budget statique équivalent'!$C$67,'Budget statique équivalent'!$C$71,'Budget statique équivalent'!$C$72,'Budget statique équivalent'!$C$73)</c:f>
              <c:numCache>
                <c:formatCode>General</c:formatCode>
                <c:ptCount val="5"/>
                <c:pt idx="0">
                  <c:v>540</c:v>
                </c:pt>
                <c:pt idx="1">
                  <c:v>540</c:v>
                </c:pt>
                <c:pt idx="2">
                  <c:v>480</c:v>
                </c:pt>
                <c:pt idx="3">
                  <c:v>600</c:v>
                </c:pt>
                <c:pt idx="4">
                  <c:v>660</c:v>
                </c:pt>
              </c:numCache>
            </c:numRef>
          </c:val>
          <c:extLst>
            <c:ext xmlns:c16="http://schemas.microsoft.com/office/drawing/2014/chart" uri="{C3380CC4-5D6E-409C-BE32-E72D297353CC}">
              <c16:uniqueId val="{00000000-EAC9-4A45-8717-F696253449C2}"/>
            </c:ext>
          </c:extLst>
        </c:ser>
        <c:ser>
          <c:idx val="5"/>
          <c:order val="1"/>
          <c:tx>
            <c:strRef>
              <c:f>'Budget statique équivalent'!$B$68</c:f>
              <c:strCache>
                <c:ptCount val="1"/>
                <c:pt idx="0">
                  <c:v>exploitation</c:v>
                </c:pt>
              </c:strCache>
            </c:strRef>
          </c:tx>
          <c:spPr>
            <a:solidFill>
              <a:schemeClr val="accent6"/>
            </a:solidFill>
            <a:ln>
              <a:noFill/>
            </a:ln>
            <a:effectLst/>
          </c:spPr>
          <c:invertIfNegative val="0"/>
          <c:cat>
            <c:strRef>
              <c:f>('Budget statique équivalent'!$B$61,'Budget statique équivalent'!$B$66,'Budget statique équivalent'!$B$71,'Budget statique équivalent'!$B$72,'Budget statique équivalent'!$B$73)</c:f>
              <c:strCache>
                <c:ptCount val="5"/>
                <c:pt idx="0">
                  <c:v>SIA 2040 (Bureaux)</c:v>
                </c:pt>
                <c:pt idx="1">
                  <c:v>SIA 2040 (Résidentiel)</c:v>
                </c:pt>
                <c:pt idx="2">
                  <c:v>Minergie min (Résidentiel/Bureaux)</c:v>
                </c:pt>
                <c:pt idx="3">
                  <c:v>Minergie max (Résidentiel)</c:v>
                </c:pt>
                <c:pt idx="4">
                  <c:v>Minergie max (Bureaux)</c:v>
                </c:pt>
              </c:strCache>
            </c:strRef>
          </c:cat>
          <c:val>
            <c:numRef>
              <c:f>('Budget statique équivalent'!$C$63,'Budget statique équivalent'!$C$68,'Budget statique équivalent'!$D$71,'Budget statique équivalent'!$D$72,'Budget statique équivalent'!$D$73)</c:f>
              <c:numCache>
                <c:formatCode>General</c:formatCode>
                <c:ptCount val="5"/>
                <c:pt idx="0">
                  <c:v>240</c:v>
                </c:pt>
                <c:pt idx="1">
                  <c:v>180</c:v>
                </c:pt>
              </c:numCache>
            </c:numRef>
          </c:val>
          <c:extLst>
            <c:ext xmlns:c16="http://schemas.microsoft.com/office/drawing/2014/chart" uri="{C3380CC4-5D6E-409C-BE32-E72D297353CC}">
              <c16:uniqueId val="{00000001-EAC9-4A45-8717-F696253449C2}"/>
            </c:ext>
          </c:extLst>
        </c:ser>
        <c:dLbls>
          <c:showLegendKey val="0"/>
          <c:showVal val="0"/>
          <c:showCatName val="0"/>
          <c:showSerName val="0"/>
          <c:showPercent val="0"/>
          <c:showBubbleSize val="0"/>
        </c:dLbls>
        <c:gapWidth val="150"/>
        <c:overlap val="100"/>
        <c:axId val="218942336"/>
        <c:axId val="218939008"/>
      </c:barChart>
      <c:catAx>
        <c:axId val="21894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39008"/>
        <c:crosses val="autoZero"/>
        <c:auto val="1"/>
        <c:lblAlgn val="ctr"/>
        <c:lblOffset val="100"/>
        <c:noMultiLvlLbl val="0"/>
      </c:catAx>
      <c:valAx>
        <c:axId val="218939008"/>
        <c:scaling>
          <c:orientation val="minMax"/>
          <c:max val="8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kgCO2éq/m2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8942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Contrôle du budget construction par rapport aux projets en cours de conception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058609468859928"/>
          <c:y val="0.1284927113890077"/>
          <c:w val="0.78058516295643887"/>
          <c:h val="0.73763491503288869"/>
        </c:manualLayout>
      </c:layout>
      <c:barChart>
        <c:barDir val="col"/>
        <c:grouping val="clustered"/>
        <c:varyColors val="0"/>
        <c:ser>
          <c:idx val="1"/>
          <c:order val="1"/>
          <c:tx>
            <c:strRef>
              <c:f>EssentielTrack!$A$5</c:f>
              <c:strCache>
                <c:ptCount val="1"/>
                <c:pt idx="0">
                  <c:v>Cibles</c:v>
                </c:pt>
              </c:strCache>
            </c:strRef>
          </c:tx>
          <c:spPr>
            <a:solidFill>
              <a:schemeClr val="accent2"/>
            </a:solidFill>
            <a:ln>
              <a:noFill/>
            </a:ln>
            <a:effectLst/>
          </c:spPr>
          <c:invertIfNegative val="0"/>
          <c:val>
            <c:numRef>
              <c:f>EssentielTrack!$C$8:$M$8</c:f>
              <c:numCache>
                <c:formatCode>0.0</c:formatCode>
                <c:ptCount val="11"/>
                <c:pt idx="0">
                  <c:v>478.96211255367052</c:v>
                </c:pt>
                <c:pt idx="1">
                  <c:v>423.48890835140691</c:v>
                </c:pt>
                <c:pt idx="2">
                  <c:v>374.06854553324115</c:v>
                </c:pt>
                <c:pt idx="3">
                  <c:v>311.04320690378205</c:v>
                </c:pt>
                <c:pt idx="4">
                  <c:v>275.56062827607451</c:v>
                </c:pt>
                <c:pt idx="5">
                  <c:v>252.35602516880044</c:v>
                </c:pt>
                <c:pt idx="6">
                  <c:v>230.79781632642164</c:v>
                </c:pt>
                <c:pt idx="7">
                  <c:v>212.79234281701181</c:v>
                </c:pt>
                <c:pt idx="8">
                  <c:v>157.68796679973201</c:v>
                </c:pt>
                <c:pt idx="9">
                  <c:v>142.03696208901502</c:v>
                </c:pt>
              </c:numCache>
            </c:numRef>
          </c:val>
          <c:extLst>
            <c:ext xmlns:c16="http://schemas.microsoft.com/office/drawing/2014/chart" uri="{C3380CC4-5D6E-409C-BE32-E72D297353CC}">
              <c16:uniqueId val="{00000002-2B90-4CF4-9DB6-38D267141500}"/>
            </c:ext>
          </c:extLst>
        </c:ser>
        <c:ser>
          <c:idx val="2"/>
          <c:order val="2"/>
          <c:tx>
            <c:strRef>
              <c:f>EssentielTrack!$A$9</c:f>
              <c:strCache>
                <c:ptCount val="1"/>
                <c:pt idx="0">
                  <c:v>Avant-projet</c:v>
                </c:pt>
              </c:strCache>
            </c:strRef>
          </c:tx>
          <c:spPr>
            <a:solidFill>
              <a:schemeClr val="accent3"/>
            </a:solidFill>
            <a:ln>
              <a:noFill/>
            </a:ln>
            <a:effectLst/>
          </c:spPr>
          <c:invertIfNegative val="0"/>
          <c:val>
            <c:numRef>
              <c:f>EssentielTrack!$C$13:$M$13</c:f>
              <c:numCache>
                <c:formatCode>General</c:formatCode>
                <c:ptCount val="11"/>
                <c:pt idx="0">
                  <c:v>500</c:v>
                </c:pt>
                <c:pt idx="1">
                  <c:v>400</c:v>
                </c:pt>
                <c:pt idx="2">
                  <c:v>300</c:v>
                </c:pt>
                <c:pt idx="3">
                  <c:v>300</c:v>
                </c:pt>
                <c:pt idx="4">
                  <c:v>200</c:v>
                </c:pt>
                <c:pt idx="5">
                  <c:v>200</c:v>
                </c:pt>
                <c:pt idx="6">
                  <c:v>200</c:v>
                </c:pt>
                <c:pt idx="7">
                  <c:v>200</c:v>
                </c:pt>
                <c:pt idx="8">
                  <c:v>100</c:v>
                </c:pt>
                <c:pt idx="9">
                  <c:v>100</c:v>
                </c:pt>
                <c:pt idx="10">
                  <c:v>358.79451481915612</c:v>
                </c:pt>
              </c:numCache>
            </c:numRef>
          </c:val>
          <c:extLst>
            <c:ext xmlns:c16="http://schemas.microsoft.com/office/drawing/2014/chart" uri="{C3380CC4-5D6E-409C-BE32-E72D297353CC}">
              <c16:uniqueId val="{00000003-2B90-4CF4-9DB6-38D267141500}"/>
            </c:ext>
          </c:extLst>
        </c:ser>
        <c:dLbls>
          <c:showLegendKey val="0"/>
          <c:showVal val="0"/>
          <c:showCatName val="0"/>
          <c:showSerName val="0"/>
          <c:showPercent val="0"/>
          <c:showBubbleSize val="0"/>
        </c:dLbls>
        <c:gapWidth val="150"/>
        <c:axId val="823546223"/>
        <c:axId val="823546639"/>
      </c:barChart>
      <c:lineChart>
        <c:grouping val="standard"/>
        <c:varyColors val="0"/>
        <c:ser>
          <c:idx val="0"/>
          <c:order val="0"/>
          <c:tx>
            <c:strRef>
              <c:f>EssentielTrack!$A$15</c:f>
              <c:strCache>
                <c:ptCount val="1"/>
                <c:pt idx="0">
                  <c:v>Budget total upfront [tonnes]</c:v>
                </c:pt>
              </c:strCache>
            </c:strRef>
          </c:tx>
          <c:spPr>
            <a:ln w="28575" cap="rnd">
              <a:solidFill>
                <a:schemeClr val="accent1"/>
              </a:solidFill>
              <a:round/>
            </a:ln>
            <a:effectLst/>
          </c:spPr>
          <c:marker>
            <c:symbol val="none"/>
          </c:marker>
          <c:cat>
            <c:strRef>
              <c:f>EssentielTrack!$C$4:$M$4</c:f>
              <c:strCache>
                <c:ptCount val="11"/>
                <c:pt idx="0">
                  <c:v>1</c:v>
                </c:pt>
                <c:pt idx="1">
                  <c:v>2</c:v>
                </c:pt>
                <c:pt idx="2">
                  <c:v>3</c:v>
                </c:pt>
                <c:pt idx="3">
                  <c:v>4</c:v>
                </c:pt>
                <c:pt idx="4">
                  <c:v>5</c:v>
                </c:pt>
                <c:pt idx="5">
                  <c:v>6</c:v>
                </c:pt>
                <c:pt idx="6">
                  <c:v>7</c:v>
                </c:pt>
                <c:pt idx="7">
                  <c:v>8</c:v>
                </c:pt>
                <c:pt idx="8">
                  <c:v>9</c:v>
                </c:pt>
                <c:pt idx="9">
                  <c:v>10</c:v>
                </c:pt>
                <c:pt idx="10">
                  <c:v>Crédit / Déficit</c:v>
                </c:pt>
              </c:strCache>
            </c:strRef>
          </c:cat>
          <c:val>
            <c:numRef>
              <c:f>EssentielTrack!$B$15:$L$15</c:f>
              <c:numCache>
                <c:formatCode>0.00</c:formatCode>
                <c:ptCount val="11"/>
                <c:pt idx="0">
                  <c:v>2991.4669890326873</c:v>
                </c:pt>
                <c:pt idx="1">
                  <c:v>2491.4669890326873</c:v>
                </c:pt>
                <c:pt idx="2">
                  <c:v>2091.4669890326873</c:v>
                </c:pt>
                <c:pt idx="3">
                  <c:v>1791.4669890326873</c:v>
                </c:pt>
                <c:pt idx="4">
                  <c:v>1491.4669890326873</c:v>
                </c:pt>
                <c:pt idx="5">
                  <c:v>1291.4669890326873</c:v>
                </c:pt>
                <c:pt idx="6">
                  <c:v>1091.4669890326873</c:v>
                </c:pt>
                <c:pt idx="7">
                  <c:v>891.46698903268725</c:v>
                </c:pt>
                <c:pt idx="8">
                  <c:v>691.46698903268725</c:v>
                </c:pt>
                <c:pt idx="9">
                  <c:v>591.46698903268725</c:v>
                </c:pt>
                <c:pt idx="10">
                  <c:v>491.46698903268725</c:v>
                </c:pt>
              </c:numCache>
            </c:numRef>
          </c:val>
          <c:smooth val="0"/>
          <c:extLst>
            <c:ext xmlns:c16="http://schemas.microsoft.com/office/drawing/2014/chart" uri="{C3380CC4-5D6E-409C-BE32-E72D297353CC}">
              <c16:uniqueId val="{00000000-2B90-4CF4-9DB6-38D267141500}"/>
            </c:ext>
          </c:extLst>
        </c:ser>
        <c:dLbls>
          <c:showLegendKey val="0"/>
          <c:showVal val="0"/>
          <c:showCatName val="0"/>
          <c:showSerName val="0"/>
          <c:showPercent val="0"/>
          <c:showBubbleSize val="0"/>
        </c:dLbls>
        <c:marker val="1"/>
        <c:smooth val="0"/>
        <c:axId val="823546223"/>
        <c:axId val="823546639"/>
      </c:lineChart>
      <c:catAx>
        <c:axId val="823546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23546639"/>
        <c:crosses val="autoZero"/>
        <c:auto val="1"/>
        <c:lblAlgn val="ctr"/>
        <c:lblOffset val="100"/>
        <c:noMultiLvlLbl val="0"/>
      </c:catAx>
      <c:valAx>
        <c:axId val="8235466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a:t>Tonnes CO2éq.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23546223"/>
        <c:crosses val="autoZero"/>
        <c:crossBetween val="between"/>
      </c:valAx>
      <c:spPr>
        <a:noFill/>
        <a:ln>
          <a:noFill/>
        </a:ln>
        <a:effectLst/>
      </c:spPr>
    </c:plotArea>
    <c:legend>
      <c:legendPos val="r"/>
      <c:layout>
        <c:manualLayout>
          <c:xMode val="edge"/>
          <c:yMode val="edge"/>
          <c:x val="0.19479175932770773"/>
          <c:y val="0.87750047036572953"/>
          <c:w val="0.65717551764930837"/>
          <c:h val="0.119571887254871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png"/><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117347</xdr:colOff>
      <xdr:row>0</xdr:row>
      <xdr:rowOff>197528</xdr:rowOff>
    </xdr:from>
    <xdr:to>
      <xdr:col>0</xdr:col>
      <xdr:colOff>1363981</xdr:colOff>
      <xdr:row>0</xdr:row>
      <xdr:rowOff>653978</xdr:rowOff>
    </xdr:to>
    <xdr:pic>
      <xdr:nvPicPr>
        <xdr:cNvPr id="2" name="Image 1">
          <a:extLst>
            <a:ext uri="{FF2B5EF4-FFF2-40B4-BE49-F238E27FC236}">
              <a16:creationId xmlns:a16="http://schemas.microsoft.com/office/drawing/2014/main" id="{A9560EC7-192F-45C3-8FD6-F41758BDB57E}"/>
            </a:ext>
          </a:extLst>
        </xdr:cNvPr>
        <xdr:cNvPicPr>
          <a:picLocks noChangeAspect="1"/>
        </xdr:cNvPicPr>
      </xdr:nvPicPr>
      <xdr:blipFill>
        <a:blip xmlns:r="http://schemas.openxmlformats.org/officeDocument/2006/relationships" r:embed="rId1"/>
        <a:stretch>
          <a:fillRect/>
        </a:stretch>
      </xdr:blipFill>
      <xdr:spPr>
        <a:xfrm>
          <a:off x="117347" y="197528"/>
          <a:ext cx="1246634" cy="45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54179</xdr:colOff>
      <xdr:row>90</xdr:row>
      <xdr:rowOff>162426</xdr:rowOff>
    </xdr:from>
    <xdr:to>
      <xdr:col>12</xdr:col>
      <xdr:colOff>773543</xdr:colOff>
      <xdr:row>111</xdr:row>
      <xdr:rowOff>171111</xdr:rowOff>
    </xdr:to>
    <xdr:graphicFrame macro="">
      <xdr:nvGraphicFramePr>
        <xdr:cNvPr id="2" name="Graphique 1">
          <a:extLst>
            <a:ext uri="{FF2B5EF4-FFF2-40B4-BE49-F238E27FC236}">
              <a16:creationId xmlns:a16="http://schemas.microsoft.com/office/drawing/2014/main" id="{B517BC7A-F768-444D-AB65-FA4BCD9343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662642</xdr:colOff>
      <xdr:row>14</xdr:row>
      <xdr:rowOff>138293</xdr:rowOff>
    </xdr:to>
    <xdr:pic>
      <xdr:nvPicPr>
        <xdr:cNvPr id="2" name="Image 1">
          <a:extLst>
            <a:ext uri="{FF2B5EF4-FFF2-40B4-BE49-F238E27FC236}">
              <a16:creationId xmlns:a16="http://schemas.microsoft.com/office/drawing/2014/main" id="{ED0AA96F-CE5D-41F0-B16B-398F9BEBC612}"/>
            </a:ext>
          </a:extLst>
        </xdr:cNvPr>
        <xdr:cNvPicPr>
          <a:picLocks noChangeAspect="1"/>
        </xdr:cNvPicPr>
      </xdr:nvPicPr>
      <xdr:blipFill>
        <a:blip xmlns:r="http://schemas.openxmlformats.org/officeDocument/2006/relationships" r:embed="rId1"/>
        <a:stretch>
          <a:fillRect/>
        </a:stretch>
      </xdr:blipFill>
      <xdr:spPr>
        <a:xfrm>
          <a:off x="0" y="182880"/>
          <a:ext cx="7176397" cy="2515733"/>
        </a:xfrm>
        <a:prstGeom prst="rect">
          <a:avLst/>
        </a:prstGeom>
      </xdr:spPr>
    </xdr:pic>
    <xdr:clientData/>
  </xdr:twoCellAnchor>
  <xdr:twoCellAnchor editAs="oneCell">
    <xdr:from>
      <xdr:col>0</xdr:col>
      <xdr:colOff>25549</xdr:colOff>
      <xdr:row>15</xdr:row>
      <xdr:rowOff>161728</xdr:rowOff>
    </xdr:from>
    <xdr:to>
      <xdr:col>7</xdr:col>
      <xdr:colOff>854789</xdr:colOff>
      <xdr:row>27</xdr:row>
      <xdr:rowOff>158120</xdr:rowOff>
    </xdr:to>
    <xdr:pic>
      <xdr:nvPicPr>
        <xdr:cNvPr id="3" name="Image 2">
          <a:extLst>
            <a:ext uri="{FF2B5EF4-FFF2-40B4-BE49-F238E27FC236}">
              <a16:creationId xmlns:a16="http://schemas.microsoft.com/office/drawing/2014/main" id="{DBBA2F90-8DE4-4BC1-B24A-8D2B949E268C}"/>
            </a:ext>
          </a:extLst>
        </xdr:cNvPr>
        <xdr:cNvPicPr>
          <a:picLocks noChangeAspect="1"/>
        </xdr:cNvPicPr>
      </xdr:nvPicPr>
      <xdr:blipFill>
        <a:blip xmlns:r="http://schemas.openxmlformats.org/officeDocument/2006/relationships" r:embed="rId2"/>
        <a:stretch>
          <a:fillRect/>
        </a:stretch>
      </xdr:blipFill>
      <xdr:spPr>
        <a:xfrm>
          <a:off x="25549" y="2904928"/>
          <a:ext cx="6380186" cy="2190952"/>
        </a:xfrm>
        <a:prstGeom prst="rect">
          <a:avLst/>
        </a:prstGeom>
      </xdr:spPr>
    </xdr:pic>
    <xdr:clientData/>
  </xdr:twoCellAnchor>
  <xdr:twoCellAnchor editAs="oneCell">
    <xdr:from>
      <xdr:col>9</xdr:col>
      <xdr:colOff>232186</xdr:colOff>
      <xdr:row>3</xdr:row>
      <xdr:rowOff>13047</xdr:rowOff>
    </xdr:from>
    <xdr:to>
      <xdr:col>14</xdr:col>
      <xdr:colOff>408717</xdr:colOff>
      <xdr:row>12</xdr:row>
      <xdr:rowOff>139989</xdr:rowOff>
    </xdr:to>
    <xdr:pic>
      <xdr:nvPicPr>
        <xdr:cNvPr id="4" name="Image 3">
          <a:extLst>
            <a:ext uri="{FF2B5EF4-FFF2-40B4-BE49-F238E27FC236}">
              <a16:creationId xmlns:a16="http://schemas.microsoft.com/office/drawing/2014/main" id="{EAC69A88-10A1-43B6-AD24-E6AEBA95FAAD}"/>
            </a:ext>
          </a:extLst>
        </xdr:cNvPr>
        <xdr:cNvPicPr>
          <a:picLocks noChangeAspect="1"/>
        </xdr:cNvPicPr>
      </xdr:nvPicPr>
      <xdr:blipFill>
        <a:blip xmlns:r="http://schemas.openxmlformats.org/officeDocument/2006/relationships" r:embed="rId3"/>
        <a:stretch>
          <a:fillRect/>
        </a:stretch>
      </xdr:blipFill>
      <xdr:spPr>
        <a:xfrm>
          <a:off x="7364506" y="561687"/>
          <a:ext cx="4138931" cy="1772862"/>
        </a:xfrm>
        <a:prstGeom prst="rect">
          <a:avLst/>
        </a:prstGeom>
      </xdr:spPr>
    </xdr:pic>
    <xdr:clientData/>
  </xdr:twoCellAnchor>
  <xdr:twoCellAnchor editAs="oneCell">
    <xdr:from>
      <xdr:col>8</xdr:col>
      <xdr:colOff>208877</xdr:colOff>
      <xdr:row>15</xdr:row>
      <xdr:rowOff>155597</xdr:rowOff>
    </xdr:from>
    <xdr:to>
      <xdr:col>15</xdr:col>
      <xdr:colOff>128692</xdr:colOff>
      <xdr:row>23</xdr:row>
      <xdr:rowOff>170780</xdr:rowOff>
    </xdr:to>
    <xdr:pic>
      <xdr:nvPicPr>
        <xdr:cNvPr id="5" name="Image 4">
          <a:extLst>
            <a:ext uri="{FF2B5EF4-FFF2-40B4-BE49-F238E27FC236}">
              <a16:creationId xmlns:a16="http://schemas.microsoft.com/office/drawing/2014/main" id="{A64EBC55-FEAD-4FFE-81C6-B78AC6D383F8}"/>
            </a:ext>
          </a:extLst>
        </xdr:cNvPr>
        <xdr:cNvPicPr>
          <a:picLocks noChangeAspect="1"/>
        </xdr:cNvPicPr>
      </xdr:nvPicPr>
      <xdr:blipFill>
        <a:blip xmlns:r="http://schemas.openxmlformats.org/officeDocument/2006/relationships" r:embed="rId4"/>
        <a:stretch>
          <a:fillRect/>
        </a:stretch>
      </xdr:blipFill>
      <xdr:spPr>
        <a:xfrm>
          <a:off x="6548717" y="2898797"/>
          <a:ext cx="5467175" cy="1478223"/>
        </a:xfrm>
        <a:prstGeom prst="rect">
          <a:avLst/>
        </a:prstGeom>
      </xdr:spPr>
    </xdr:pic>
    <xdr:clientData/>
  </xdr:twoCellAnchor>
  <xdr:twoCellAnchor editAs="oneCell">
    <xdr:from>
      <xdr:col>16</xdr:col>
      <xdr:colOff>252549</xdr:colOff>
      <xdr:row>25</xdr:row>
      <xdr:rowOff>92529</xdr:rowOff>
    </xdr:from>
    <xdr:to>
      <xdr:col>26</xdr:col>
      <xdr:colOff>754417</xdr:colOff>
      <xdr:row>48</xdr:row>
      <xdr:rowOff>150243</xdr:rowOff>
    </xdr:to>
    <xdr:pic>
      <xdr:nvPicPr>
        <xdr:cNvPr id="6" name="Image 5">
          <a:extLst>
            <a:ext uri="{FF2B5EF4-FFF2-40B4-BE49-F238E27FC236}">
              <a16:creationId xmlns:a16="http://schemas.microsoft.com/office/drawing/2014/main" id="{D34C1727-0078-41EB-928C-843CE58A5187}"/>
            </a:ext>
          </a:extLst>
        </xdr:cNvPr>
        <xdr:cNvPicPr>
          <a:picLocks noChangeAspect="1"/>
        </xdr:cNvPicPr>
      </xdr:nvPicPr>
      <xdr:blipFill>
        <a:blip xmlns:r="http://schemas.openxmlformats.org/officeDocument/2006/relationships" r:embed="rId5"/>
        <a:stretch>
          <a:fillRect/>
        </a:stretch>
      </xdr:blipFill>
      <xdr:spPr>
        <a:xfrm>
          <a:off x="13054149" y="4855029"/>
          <a:ext cx="8502868" cy="4439214"/>
        </a:xfrm>
        <a:prstGeom prst="rect">
          <a:avLst/>
        </a:prstGeom>
      </xdr:spPr>
    </xdr:pic>
    <xdr:clientData/>
  </xdr:twoCellAnchor>
  <xdr:twoCellAnchor editAs="oneCell">
    <xdr:from>
      <xdr:col>16</xdr:col>
      <xdr:colOff>448492</xdr:colOff>
      <xdr:row>5</xdr:row>
      <xdr:rowOff>19050</xdr:rowOff>
    </xdr:from>
    <xdr:to>
      <xdr:col>27</xdr:col>
      <xdr:colOff>45497</xdr:colOff>
      <xdr:row>25</xdr:row>
      <xdr:rowOff>86629</xdr:rowOff>
    </xdr:to>
    <xdr:pic>
      <xdr:nvPicPr>
        <xdr:cNvPr id="7" name="Image 6">
          <a:extLst>
            <a:ext uri="{FF2B5EF4-FFF2-40B4-BE49-F238E27FC236}">
              <a16:creationId xmlns:a16="http://schemas.microsoft.com/office/drawing/2014/main" id="{D5CA1DA6-AA52-4DFF-AA7B-22CD49B28729}"/>
            </a:ext>
          </a:extLst>
        </xdr:cNvPr>
        <xdr:cNvPicPr>
          <a:picLocks noChangeAspect="1"/>
        </xdr:cNvPicPr>
      </xdr:nvPicPr>
      <xdr:blipFill>
        <a:blip xmlns:r="http://schemas.openxmlformats.org/officeDocument/2006/relationships" r:embed="rId6"/>
        <a:stretch>
          <a:fillRect/>
        </a:stretch>
      </xdr:blipFill>
      <xdr:spPr>
        <a:xfrm>
          <a:off x="13250092" y="971550"/>
          <a:ext cx="8398106" cy="3877579"/>
        </a:xfrm>
        <a:prstGeom prst="rect">
          <a:avLst/>
        </a:prstGeom>
      </xdr:spPr>
    </xdr:pic>
    <xdr:clientData/>
  </xdr:twoCellAnchor>
  <xdr:twoCellAnchor editAs="oneCell">
    <xdr:from>
      <xdr:col>16</xdr:col>
      <xdr:colOff>252549</xdr:colOff>
      <xdr:row>50</xdr:row>
      <xdr:rowOff>35379</xdr:rowOff>
    </xdr:from>
    <xdr:to>
      <xdr:col>26</xdr:col>
      <xdr:colOff>735369</xdr:colOff>
      <xdr:row>76</xdr:row>
      <xdr:rowOff>115884</xdr:rowOff>
    </xdr:to>
    <xdr:pic>
      <xdr:nvPicPr>
        <xdr:cNvPr id="8" name="Image 7">
          <a:extLst>
            <a:ext uri="{FF2B5EF4-FFF2-40B4-BE49-F238E27FC236}">
              <a16:creationId xmlns:a16="http://schemas.microsoft.com/office/drawing/2014/main" id="{327A07FA-E774-4E23-AD0A-2BF7CF44F064}"/>
            </a:ext>
          </a:extLst>
        </xdr:cNvPr>
        <xdr:cNvPicPr>
          <a:picLocks noChangeAspect="1"/>
        </xdr:cNvPicPr>
      </xdr:nvPicPr>
      <xdr:blipFill>
        <a:blip xmlns:r="http://schemas.openxmlformats.org/officeDocument/2006/relationships" r:embed="rId7"/>
        <a:stretch>
          <a:fillRect/>
        </a:stretch>
      </xdr:blipFill>
      <xdr:spPr>
        <a:xfrm>
          <a:off x="13054149" y="9560379"/>
          <a:ext cx="8483820" cy="5033505"/>
        </a:xfrm>
        <a:prstGeom prst="rect">
          <a:avLst/>
        </a:prstGeom>
      </xdr:spPr>
    </xdr:pic>
    <xdr:clientData/>
  </xdr:twoCellAnchor>
  <xdr:twoCellAnchor editAs="oneCell">
    <xdr:from>
      <xdr:col>16</xdr:col>
      <xdr:colOff>252549</xdr:colOff>
      <xdr:row>78</xdr:row>
      <xdr:rowOff>58239</xdr:rowOff>
    </xdr:from>
    <xdr:to>
      <xdr:col>26</xdr:col>
      <xdr:colOff>725845</xdr:colOff>
      <xdr:row>100</xdr:row>
      <xdr:rowOff>101560</xdr:rowOff>
    </xdr:to>
    <xdr:pic>
      <xdr:nvPicPr>
        <xdr:cNvPr id="9" name="Image 8">
          <a:extLst>
            <a:ext uri="{FF2B5EF4-FFF2-40B4-BE49-F238E27FC236}">
              <a16:creationId xmlns:a16="http://schemas.microsoft.com/office/drawing/2014/main" id="{461D9375-CAEF-44A8-8587-CB52AE9B5E18}"/>
            </a:ext>
          </a:extLst>
        </xdr:cNvPr>
        <xdr:cNvPicPr>
          <a:picLocks noChangeAspect="1"/>
        </xdr:cNvPicPr>
      </xdr:nvPicPr>
      <xdr:blipFill>
        <a:blip xmlns:r="http://schemas.openxmlformats.org/officeDocument/2006/relationships" r:embed="rId8"/>
        <a:stretch>
          <a:fillRect/>
        </a:stretch>
      </xdr:blipFill>
      <xdr:spPr>
        <a:xfrm>
          <a:off x="13054149" y="14917239"/>
          <a:ext cx="8474296" cy="4234321"/>
        </a:xfrm>
        <a:prstGeom prst="rect">
          <a:avLst/>
        </a:prstGeom>
      </xdr:spPr>
    </xdr:pic>
    <xdr:clientData/>
  </xdr:twoCellAnchor>
  <xdr:twoCellAnchor editAs="oneCell">
    <xdr:from>
      <xdr:col>16</xdr:col>
      <xdr:colOff>263435</xdr:colOff>
      <xdr:row>100</xdr:row>
      <xdr:rowOff>155122</xdr:rowOff>
    </xdr:from>
    <xdr:to>
      <xdr:col>26</xdr:col>
      <xdr:colOff>670064</xdr:colOff>
      <xdr:row>122</xdr:row>
      <xdr:rowOff>141300</xdr:rowOff>
    </xdr:to>
    <xdr:pic>
      <xdr:nvPicPr>
        <xdr:cNvPr id="10" name="Image 9">
          <a:extLst>
            <a:ext uri="{FF2B5EF4-FFF2-40B4-BE49-F238E27FC236}">
              <a16:creationId xmlns:a16="http://schemas.microsoft.com/office/drawing/2014/main" id="{69AFB11A-EBE0-4B26-8F03-1C6671A51639}"/>
            </a:ext>
          </a:extLst>
        </xdr:cNvPr>
        <xdr:cNvPicPr>
          <a:picLocks noChangeAspect="1"/>
        </xdr:cNvPicPr>
      </xdr:nvPicPr>
      <xdr:blipFill>
        <a:blip xmlns:r="http://schemas.openxmlformats.org/officeDocument/2006/relationships" r:embed="rId9"/>
        <a:stretch>
          <a:fillRect/>
        </a:stretch>
      </xdr:blipFill>
      <xdr:spPr>
        <a:xfrm>
          <a:off x="13065035" y="19205122"/>
          <a:ext cx="8407629" cy="4177178"/>
        </a:xfrm>
        <a:prstGeom prst="rect">
          <a:avLst/>
        </a:prstGeom>
      </xdr:spPr>
    </xdr:pic>
    <xdr:clientData/>
  </xdr:twoCellAnchor>
  <xdr:twoCellAnchor editAs="oneCell">
    <xdr:from>
      <xdr:col>5</xdr:col>
      <xdr:colOff>274383</xdr:colOff>
      <xdr:row>74</xdr:row>
      <xdr:rowOff>126371</xdr:rowOff>
    </xdr:from>
    <xdr:to>
      <xdr:col>15</xdr:col>
      <xdr:colOff>539477</xdr:colOff>
      <xdr:row>103</xdr:row>
      <xdr:rowOff>165727</xdr:rowOff>
    </xdr:to>
    <xdr:pic>
      <xdr:nvPicPr>
        <xdr:cNvPr id="11" name="Image 10">
          <a:extLst>
            <a:ext uri="{FF2B5EF4-FFF2-40B4-BE49-F238E27FC236}">
              <a16:creationId xmlns:a16="http://schemas.microsoft.com/office/drawing/2014/main" id="{77BBE197-96C9-4A70-B8FE-49EDA2171743}"/>
            </a:ext>
          </a:extLst>
        </xdr:cNvPr>
        <xdr:cNvPicPr>
          <a:picLocks noChangeAspect="1"/>
        </xdr:cNvPicPr>
      </xdr:nvPicPr>
      <xdr:blipFill>
        <a:blip xmlns:r="http://schemas.openxmlformats.org/officeDocument/2006/relationships" r:embed="rId10"/>
        <a:stretch>
          <a:fillRect/>
        </a:stretch>
      </xdr:blipFill>
      <xdr:spPr>
        <a:xfrm>
          <a:off x="4218854" y="13394136"/>
          <a:ext cx="8324364" cy="5238885"/>
        </a:xfrm>
        <a:prstGeom prst="rect">
          <a:avLst/>
        </a:prstGeom>
      </xdr:spPr>
    </xdr:pic>
    <xdr:clientData/>
  </xdr:twoCellAnchor>
  <xdr:twoCellAnchor editAs="oneCell">
    <xdr:from>
      <xdr:col>4</xdr:col>
      <xdr:colOff>571500</xdr:colOff>
      <xdr:row>104</xdr:row>
      <xdr:rowOff>9254</xdr:rowOff>
    </xdr:from>
    <xdr:to>
      <xdr:col>15</xdr:col>
      <xdr:colOff>66747</xdr:colOff>
      <xdr:row>133</xdr:row>
      <xdr:rowOff>37183</xdr:rowOff>
    </xdr:to>
    <xdr:pic>
      <xdr:nvPicPr>
        <xdr:cNvPr id="12" name="Image 11">
          <a:extLst>
            <a:ext uri="{FF2B5EF4-FFF2-40B4-BE49-F238E27FC236}">
              <a16:creationId xmlns:a16="http://schemas.microsoft.com/office/drawing/2014/main" id="{7F5D60B3-BC4A-4C1A-822F-BE89716019BA}"/>
            </a:ext>
          </a:extLst>
        </xdr:cNvPr>
        <xdr:cNvPicPr>
          <a:picLocks noChangeAspect="1"/>
        </xdr:cNvPicPr>
      </xdr:nvPicPr>
      <xdr:blipFill>
        <a:blip xmlns:r="http://schemas.openxmlformats.org/officeDocument/2006/relationships" r:embed="rId11"/>
        <a:stretch>
          <a:fillRect/>
        </a:stretch>
      </xdr:blipFill>
      <xdr:spPr>
        <a:xfrm>
          <a:off x="3771900" y="19821254"/>
          <a:ext cx="8466676" cy="5552429"/>
        </a:xfrm>
        <a:prstGeom prst="rect">
          <a:avLst/>
        </a:prstGeom>
      </xdr:spPr>
    </xdr:pic>
    <xdr:clientData/>
  </xdr:twoCellAnchor>
  <xdr:twoCellAnchor editAs="oneCell">
    <xdr:from>
      <xdr:col>0</xdr:col>
      <xdr:colOff>152400</xdr:colOff>
      <xdr:row>55</xdr:row>
      <xdr:rowOff>44824</xdr:rowOff>
    </xdr:from>
    <xdr:to>
      <xdr:col>5</xdr:col>
      <xdr:colOff>169834</xdr:colOff>
      <xdr:row>89</xdr:row>
      <xdr:rowOff>5967</xdr:rowOff>
    </xdr:to>
    <xdr:pic>
      <xdr:nvPicPr>
        <xdr:cNvPr id="13" name="Image 12">
          <a:extLst>
            <a:ext uri="{FF2B5EF4-FFF2-40B4-BE49-F238E27FC236}">
              <a16:creationId xmlns:a16="http://schemas.microsoft.com/office/drawing/2014/main" id="{ABDF032A-A808-B0F2-589A-1158165D75CA}"/>
            </a:ext>
          </a:extLst>
        </xdr:cNvPr>
        <xdr:cNvPicPr>
          <a:picLocks noChangeAspect="1"/>
        </xdr:cNvPicPr>
      </xdr:nvPicPr>
      <xdr:blipFill>
        <a:blip xmlns:r="http://schemas.openxmlformats.org/officeDocument/2006/relationships" r:embed="rId12"/>
        <a:stretch>
          <a:fillRect/>
        </a:stretch>
      </xdr:blipFill>
      <xdr:spPr>
        <a:xfrm>
          <a:off x="152400" y="9906000"/>
          <a:ext cx="3961905" cy="6057143"/>
        </a:xfrm>
        <a:prstGeom prst="rect">
          <a:avLst/>
        </a:prstGeom>
      </xdr:spPr>
    </xdr:pic>
    <xdr:clientData/>
  </xdr:twoCellAnchor>
  <xdr:twoCellAnchor editAs="oneCell">
    <xdr:from>
      <xdr:col>0</xdr:col>
      <xdr:colOff>1</xdr:colOff>
      <xdr:row>90</xdr:row>
      <xdr:rowOff>0</xdr:rowOff>
    </xdr:from>
    <xdr:to>
      <xdr:col>4</xdr:col>
      <xdr:colOff>723629</xdr:colOff>
      <xdr:row>120</xdr:row>
      <xdr:rowOff>98612</xdr:rowOff>
    </xdr:to>
    <xdr:pic>
      <xdr:nvPicPr>
        <xdr:cNvPr id="14" name="Image 13">
          <a:extLst>
            <a:ext uri="{FF2B5EF4-FFF2-40B4-BE49-F238E27FC236}">
              <a16:creationId xmlns:a16="http://schemas.microsoft.com/office/drawing/2014/main" id="{D9776CF1-1D4D-E8EC-9A25-642644A7C84E}"/>
            </a:ext>
          </a:extLst>
        </xdr:cNvPr>
        <xdr:cNvPicPr>
          <a:picLocks noChangeAspect="1"/>
        </xdr:cNvPicPr>
      </xdr:nvPicPr>
      <xdr:blipFill>
        <a:blip xmlns:r="http://schemas.openxmlformats.org/officeDocument/2006/relationships" r:embed="rId13"/>
        <a:stretch>
          <a:fillRect/>
        </a:stretch>
      </xdr:blipFill>
      <xdr:spPr>
        <a:xfrm>
          <a:off x="1" y="16136471"/>
          <a:ext cx="3879204" cy="5477435"/>
        </a:xfrm>
        <a:prstGeom prst="rect">
          <a:avLst/>
        </a:prstGeom>
      </xdr:spPr>
    </xdr:pic>
    <xdr:clientData/>
  </xdr:twoCellAnchor>
  <xdr:twoCellAnchor editAs="oneCell">
    <xdr:from>
      <xdr:col>0</xdr:col>
      <xdr:colOff>0</xdr:colOff>
      <xdr:row>139</xdr:row>
      <xdr:rowOff>0</xdr:rowOff>
    </xdr:from>
    <xdr:to>
      <xdr:col>7</xdr:col>
      <xdr:colOff>87265</xdr:colOff>
      <xdr:row>163</xdr:row>
      <xdr:rowOff>87417</xdr:rowOff>
    </xdr:to>
    <xdr:pic>
      <xdr:nvPicPr>
        <xdr:cNvPr id="15" name="Image 14">
          <a:extLst>
            <a:ext uri="{FF2B5EF4-FFF2-40B4-BE49-F238E27FC236}">
              <a16:creationId xmlns:a16="http://schemas.microsoft.com/office/drawing/2014/main" id="{AC64F27A-3DB2-915D-A887-EB0784EBF452}"/>
            </a:ext>
          </a:extLst>
        </xdr:cNvPr>
        <xdr:cNvPicPr>
          <a:picLocks noChangeAspect="1"/>
        </xdr:cNvPicPr>
      </xdr:nvPicPr>
      <xdr:blipFill>
        <a:blip xmlns:r="http://schemas.openxmlformats.org/officeDocument/2006/relationships" r:embed="rId14"/>
        <a:stretch>
          <a:fillRect/>
        </a:stretch>
      </xdr:blipFill>
      <xdr:spPr>
        <a:xfrm>
          <a:off x="0" y="24921882"/>
          <a:ext cx="5609524" cy="4390476"/>
        </a:xfrm>
        <a:prstGeom prst="rect">
          <a:avLst/>
        </a:prstGeom>
      </xdr:spPr>
    </xdr:pic>
    <xdr:clientData/>
  </xdr:twoCellAnchor>
  <xdr:twoCellAnchor editAs="oneCell">
    <xdr:from>
      <xdr:col>7</xdr:col>
      <xdr:colOff>143434</xdr:colOff>
      <xdr:row>138</xdr:row>
      <xdr:rowOff>125505</xdr:rowOff>
    </xdr:from>
    <xdr:to>
      <xdr:col>14</xdr:col>
      <xdr:colOff>60370</xdr:colOff>
      <xdr:row>169</xdr:row>
      <xdr:rowOff>119768</xdr:rowOff>
    </xdr:to>
    <xdr:pic>
      <xdr:nvPicPr>
        <xdr:cNvPr id="16" name="Image 15">
          <a:extLst>
            <a:ext uri="{FF2B5EF4-FFF2-40B4-BE49-F238E27FC236}">
              <a16:creationId xmlns:a16="http://schemas.microsoft.com/office/drawing/2014/main" id="{B578EEC8-4D5C-8429-1E03-7C7648B08C15}"/>
            </a:ext>
          </a:extLst>
        </xdr:cNvPr>
        <xdr:cNvPicPr>
          <a:picLocks noChangeAspect="1"/>
        </xdr:cNvPicPr>
      </xdr:nvPicPr>
      <xdr:blipFill>
        <a:blip xmlns:r="http://schemas.openxmlformats.org/officeDocument/2006/relationships" r:embed="rId15"/>
        <a:stretch>
          <a:fillRect/>
        </a:stretch>
      </xdr:blipFill>
      <xdr:spPr>
        <a:xfrm>
          <a:off x="5665693" y="24868093"/>
          <a:ext cx="5609524" cy="5552381"/>
        </a:xfrm>
        <a:prstGeom prst="rect">
          <a:avLst/>
        </a:prstGeom>
      </xdr:spPr>
    </xdr:pic>
    <xdr:clientData/>
  </xdr:twoCellAnchor>
  <xdr:twoCellAnchor editAs="oneCell">
    <xdr:from>
      <xdr:col>15</xdr:col>
      <xdr:colOff>0</xdr:colOff>
      <xdr:row>140</xdr:row>
      <xdr:rowOff>0</xdr:rowOff>
    </xdr:from>
    <xdr:to>
      <xdr:col>21</xdr:col>
      <xdr:colOff>723778</xdr:colOff>
      <xdr:row>145</xdr:row>
      <xdr:rowOff>65434</xdr:rowOff>
    </xdr:to>
    <xdr:pic>
      <xdr:nvPicPr>
        <xdr:cNvPr id="17" name="Image 16">
          <a:extLst>
            <a:ext uri="{FF2B5EF4-FFF2-40B4-BE49-F238E27FC236}">
              <a16:creationId xmlns:a16="http://schemas.microsoft.com/office/drawing/2014/main" id="{680CD27B-31D0-BDA2-4729-B30DB280D4E7}"/>
            </a:ext>
          </a:extLst>
        </xdr:cNvPr>
        <xdr:cNvPicPr>
          <a:picLocks noChangeAspect="1"/>
        </xdr:cNvPicPr>
      </xdr:nvPicPr>
      <xdr:blipFill>
        <a:blip xmlns:r="http://schemas.openxmlformats.org/officeDocument/2006/relationships" r:embed="rId16"/>
        <a:stretch>
          <a:fillRect/>
        </a:stretch>
      </xdr:blipFill>
      <xdr:spPr>
        <a:xfrm>
          <a:off x="11833412" y="25101176"/>
          <a:ext cx="5457143" cy="961905"/>
        </a:xfrm>
        <a:prstGeom prst="rect">
          <a:avLst/>
        </a:prstGeom>
      </xdr:spPr>
    </xdr:pic>
    <xdr:clientData/>
  </xdr:twoCellAnchor>
  <xdr:twoCellAnchor editAs="oneCell">
    <xdr:from>
      <xdr:col>0</xdr:col>
      <xdr:colOff>0</xdr:colOff>
      <xdr:row>164</xdr:row>
      <xdr:rowOff>0</xdr:rowOff>
    </xdr:from>
    <xdr:to>
      <xdr:col>6</xdr:col>
      <xdr:colOff>438064</xdr:colOff>
      <xdr:row>170</xdr:row>
      <xdr:rowOff>57568</xdr:rowOff>
    </xdr:to>
    <xdr:pic>
      <xdr:nvPicPr>
        <xdr:cNvPr id="18" name="Image 17">
          <a:extLst>
            <a:ext uri="{FF2B5EF4-FFF2-40B4-BE49-F238E27FC236}">
              <a16:creationId xmlns:a16="http://schemas.microsoft.com/office/drawing/2014/main" id="{160FA4DB-B260-098A-F9E9-2F96ED2DAE0C}"/>
            </a:ext>
          </a:extLst>
        </xdr:cNvPr>
        <xdr:cNvPicPr>
          <a:picLocks noChangeAspect="1"/>
        </xdr:cNvPicPr>
      </xdr:nvPicPr>
      <xdr:blipFill>
        <a:blip xmlns:r="http://schemas.openxmlformats.org/officeDocument/2006/relationships" r:embed="rId17"/>
        <a:stretch>
          <a:fillRect/>
        </a:stretch>
      </xdr:blipFill>
      <xdr:spPr>
        <a:xfrm>
          <a:off x="0" y="29404235"/>
          <a:ext cx="5171429" cy="1133333"/>
        </a:xfrm>
        <a:prstGeom prst="rect">
          <a:avLst/>
        </a:prstGeom>
      </xdr:spPr>
    </xdr:pic>
    <xdr:clientData/>
  </xdr:twoCellAnchor>
  <xdr:twoCellAnchor editAs="oneCell">
    <xdr:from>
      <xdr:col>4</xdr:col>
      <xdr:colOff>387284</xdr:colOff>
      <xdr:row>173</xdr:row>
      <xdr:rowOff>130554</xdr:rowOff>
    </xdr:from>
    <xdr:to>
      <xdr:col>19</xdr:col>
      <xdr:colOff>378446</xdr:colOff>
      <xdr:row>212</xdr:row>
      <xdr:rowOff>149070</xdr:rowOff>
    </xdr:to>
    <xdr:pic>
      <xdr:nvPicPr>
        <xdr:cNvPr id="19" name="Image 18">
          <a:extLst>
            <a:ext uri="{FF2B5EF4-FFF2-40B4-BE49-F238E27FC236}">
              <a16:creationId xmlns:a16="http://schemas.microsoft.com/office/drawing/2014/main" id="{4A253E0C-4871-4936-BB20-0A85B41409F2}"/>
            </a:ext>
          </a:extLst>
        </xdr:cNvPr>
        <xdr:cNvPicPr>
          <a:picLocks noChangeAspect="1"/>
        </xdr:cNvPicPr>
      </xdr:nvPicPr>
      <xdr:blipFill>
        <a:blip xmlns:r="http://schemas.openxmlformats.org/officeDocument/2006/relationships" r:embed="rId18"/>
        <a:stretch>
          <a:fillRect/>
        </a:stretch>
      </xdr:blipFill>
      <xdr:spPr>
        <a:xfrm>
          <a:off x="3504557" y="30091009"/>
          <a:ext cx="11871434" cy="6772606"/>
        </a:xfrm>
        <a:prstGeom prst="rect">
          <a:avLst/>
        </a:prstGeom>
      </xdr:spPr>
    </xdr:pic>
    <xdr:clientData/>
  </xdr:twoCellAnchor>
  <xdr:twoCellAnchor editAs="oneCell">
    <xdr:from>
      <xdr:col>20</xdr:col>
      <xdr:colOff>568037</xdr:colOff>
      <xdr:row>180</xdr:row>
      <xdr:rowOff>124692</xdr:rowOff>
    </xdr:from>
    <xdr:to>
      <xdr:col>27</xdr:col>
      <xdr:colOff>182930</xdr:colOff>
      <xdr:row>202</xdr:row>
      <xdr:rowOff>86101</xdr:rowOff>
    </xdr:to>
    <xdr:pic>
      <xdr:nvPicPr>
        <xdr:cNvPr id="20" name="Image 19">
          <a:extLst>
            <a:ext uri="{FF2B5EF4-FFF2-40B4-BE49-F238E27FC236}">
              <a16:creationId xmlns:a16="http://schemas.microsoft.com/office/drawing/2014/main" id="{42425AEC-6143-472B-B0D3-FC30D4C15B9C}"/>
            </a:ext>
          </a:extLst>
        </xdr:cNvPr>
        <xdr:cNvPicPr>
          <a:picLocks noChangeAspect="1"/>
        </xdr:cNvPicPr>
      </xdr:nvPicPr>
      <xdr:blipFill>
        <a:blip xmlns:r="http://schemas.openxmlformats.org/officeDocument/2006/relationships" r:embed="rId19"/>
        <a:stretch>
          <a:fillRect/>
        </a:stretch>
      </xdr:blipFill>
      <xdr:spPr>
        <a:xfrm>
          <a:off x="16528473" y="32544328"/>
          <a:ext cx="5142857" cy="3923809"/>
        </a:xfrm>
        <a:prstGeom prst="rect">
          <a:avLst/>
        </a:prstGeom>
      </xdr:spPr>
    </xdr:pic>
    <xdr:clientData/>
  </xdr:twoCellAnchor>
  <xdr:twoCellAnchor editAs="oneCell">
    <xdr:from>
      <xdr:col>20</xdr:col>
      <xdr:colOff>290946</xdr:colOff>
      <xdr:row>207</xdr:row>
      <xdr:rowOff>96981</xdr:rowOff>
    </xdr:from>
    <xdr:to>
      <xdr:col>30</xdr:col>
      <xdr:colOff>89093</xdr:colOff>
      <xdr:row>216</xdr:row>
      <xdr:rowOff>95047</xdr:rowOff>
    </xdr:to>
    <xdr:pic>
      <xdr:nvPicPr>
        <xdr:cNvPr id="21" name="Image 20">
          <a:extLst>
            <a:ext uri="{FF2B5EF4-FFF2-40B4-BE49-F238E27FC236}">
              <a16:creationId xmlns:a16="http://schemas.microsoft.com/office/drawing/2014/main" id="{64897941-B458-4ABF-B260-F1727BA6A734}"/>
            </a:ext>
          </a:extLst>
        </xdr:cNvPr>
        <xdr:cNvPicPr>
          <a:picLocks noChangeAspect="1"/>
        </xdr:cNvPicPr>
      </xdr:nvPicPr>
      <xdr:blipFill>
        <a:blip xmlns:r="http://schemas.openxmlformats.org/officeDocument/2006/relationships" r:embed="rId20"/>
        <a:stretch>
          <a:fillRect/>
        </a:stretch>
      </xdr:blipFill>
      <xdr:spPr>
        <a:xfrm>
          <a:off x="16251382" y="37379563"/>
          <a:ext cx="7695238" cy="16190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420939</xdr:colOff>
      <xdr:row>68</xdr:row>
      <xdr:rowOff>53349</xdr:rowOff>
    </xdr:from>
    <xdr:to>
      <xdr:col>8</xdr:col>
      <xdr:colOff>284462</xdr:colOff>
      <xdr:row>83</xdr:row>
      <xdr:rowOff>61665</xdr:rowOff>
    </xdr:to>
    <xdr:graphicFrame macro="">
      <xdr:nvGraphicFramePr>
        <xdr:cNvPr id="2" name="Graphique 1">
          <a:extLst>
            <a:ext uri="{FF2B5EF4-FFF2-40B4-BE49-F238E27FC236}">
              <a16:creationId xmlns:a16="http://schemas.microsoft.com/office/drawing/2014/main" id="{1DE9C72F-6308-412E-91BB-238908D2A5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644236</xdr:colOff>
      <xdr:row>69</xdr:row>
      <xdr:rowOff>110838</xdr:rowOff>
    </xdr:from>
    <xdr:to>
      <xdr:col>25</xdr:col>
      <xdr:colOff>145473</xdr:colOff>
      <xdr:row>84</xdr:row>
      <xdr:rowOff>152401</xdr:rowOff>
    </xdr:to>
    <xdr:graphicFrame macro="">
      <xdr:nvGraphicFramePr>
        <xdr:cNvPr id="3" name="Graphique 2">
          <a:extLst>
            <a:ext uri="{FF2B5EF4-FFF2-40B4-BE49-F238E27FC236}">
              <a16:creationId xmlns:a16="http://schemas.microsoft.com/office/drawing/2014/main" id="{0A76AA22-5D74-4436-999C-7306F94A8B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540327</xdr:colOff>
      <xdr:row>69</xdr:row>
      <xdr:rowOff>152400</xdr:rowOff>
    </xdr:from>
    <xdr:to>
      <xdr:col>18</xdr:col>
      <xdr:colOff>374072</xdr:colOff>
      <xdr:row>85</xdr:row>
      <xdr:rowOff>13854</xdr:rowOff>
    </xdr:to>
    <xdr:graphicFrame macro="">
      <xdr:nvGraphicFramePr>
        <xdr:cNvPr id="4" name="Graphique 3">
          <a:extLst>
            <a:ext uri="{FF2B5EF4-FFF2-40B4-BE49-F238E27FC236}">
              <a16:creationId xmlns:a16="http://schemas.microsoft.com/office/drawing/2014/main" id="{054019D3-DA1D-4364-A921-FD7E988B4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381000</xdr:colOff>
      <xdr:row>40</xdr:row>
      <xdr:rowOff>138545</xdr:rowOff>
    </xdr:from>
    <xdr:to>
      <xdr:col>26</xdr:col>
      <xdr:colOff>685800</xdr:colOff>
      <xdr:row>55</xdr:row>
      <xdr:rowOff>96981</xdr:rowOff>
    </xdr:to>
    <xdr:graphicFrame macro="">
      <xdr:nvGraphicFramePr>
        <xdr:cNvPr id="5" name="Graphique 4">
          <a:extLst>
            <a:ext uri="{FF2B5EF4-FFF2-40B4-BE49-F238E27FC236}">
              <a16:creationId xmlns:a16="http://schemas.microsoft.com/office/drawing/2014/main" id="{FDD1C7A5-16A1-4874-992E-52370C5FE5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83128</xdr:colOff>
      <xdr:row>40</xdr:row>
      <xdr:rowOff>166255</xdr:rowOff>
    </xdr:from>
    <xdr:to>
      <xdr:col>32</xdr:col>
      <xdr:colOff>706583</xdr:colOff>
      <xdr:row>55</xdr:row>
      <xdr:rowOff>124691</xdr:rowOff>
    </xdr:to>
    <xdr:graphicFrame macro="">
      <xdr:nvGraphicFramePr>
        <xdr:cNvPr id="6" name="Graphique 5">
          <a:extLst>
            <a:ext uri="{FF2B5EF4-FFF2-40B4-BE49-F238E27FC236}">
              <a16:creationId xmlns:a16="http://schemas.microsoft.com/office/drawing/2014/main" id="{50319EDF-6AF7-452D-A3E5-9935AED54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117347</xdr:colOff>
      <xdr:row>0</xdr:row>
      <xdr:rowOff>197528</xdr:rowOff>
    </xdr:from>
    <xdr:to>
      <xdr:col>0</xdr:col>
      <xdr:colOff>1350646</xdr:colOff>
      <xdr:row>0</xdr:row>
      <xdr:rowOff>667313</xdr:rowOff>
    </xdr:to>
    <xdr:pic>
      <xdr:nvPicPr>
        <xdr:cNvPr id="2" name="Image 1">
          <a:extLst>
            <a:ext uri="{FF2B5EF4-FFF2-40B4-BE49-F238E27FC236}">
              <a16:creationId xmlns:a16="http://schemas.microsoft.com/office/drawing/2014/main" id="{68A5C28E-CB1F-4206-BB5C-610B4654D3FF}"/>
            </a:ext>
          </a:extLst>
        </xdr:cNvPr>
        <xdr:cNvPicPr>
          <a:picLocks noChangeAspect="1"/>
        </xdr:cNvPicPr>
      </xdr:nvPicPr>
      <xdr:blipFill>
        <a:blip xmlns:r="http://schemas.openxmlformats.org/officeDocument/2006/relationships" r:embed="rId1"/>
        <a:stretch>
          <a:fillRect/>
        </a:stretch>
      </xdr:blipFill>
      <xdr:spPr>
        <a:xfrm>
          <a:off x="117347" y="197528"/>
          <a:ext cx="1233299" cy="4697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1906</xdr:colOff>
      <xdr:row>2</xdr:row>
      <xdr:rowOff>39228</xdr:rowOff>
    </xdr:from>
    <xdr:to>
      <xdr:col>11</xdr:col>
      <xdr:colOff>173580</xdr:colOff>
      <xdr:row>21</xdr:row>
      <xdr:rowOff>168120</xdr:rowOff>
    </xdr:to>
    <xdr:pic>
      <xdr:nvPicPr>
        <xdr:cNvPr id="2" name="Image 1">
          <a:extLst>
            <a:ext uri="{FF2B5EF4-FFF2-40B4-BE49-F238E27FC236}">
              <a16:creationId xmlns:a16="http://schemas.microsoft.com/office/drawing/2014/main" id="{E35730AA-FE9D-4839-91AF-15A9DCEAE24F}"/>
            </a:ext>
          </a:extLst>
        </xdr:cNvPr>
        <xdr:cNvPicPr>
          <a:picLocks noChangeAspect="1"/>
        </xdr:cNvPicPr>
      </xdr:nvPicPr>
      <xdr:blipFill>
        <a:blip xmlns:r="http://schemas.openxmlformats.org/officeDocument/2006/relationships" r:embed="rId1"/>
        <a:stretch>
          <a:fillRect/>
        </a:stretch>
      </xdr:blipFill>
      <xdr:spPr>
        <a:xfrm>
          <a:off x="1906" y="397816"/>
          <a:ext cx="8929183" cy="4107061"/>
        </a:xfrm>
        <a:prstGeom prst="rect">
          <a:avLst/>
        </a:prstGeom>
      </xdr:spPr>
    </xdr:pic>
    <xdr:clientData/>
  </xdr:twoCellAnchor>
  <xdr:twoCellAnchor editAs="oneCell">
    <xdr:from>
      <xdr:col>0</xdr:col>
      <xdr:colOff>90322</xdr:colOff>
      <xdr:row>23</xdr:row>
      <xdr:rowOff>151696</xdr:rowOff>
    </xdr:from>
    <xdr:to>
      <xdr:col>10</xdr:col>
      <xdr:colOff>628107</xdr:colOff>
      <xdr:row>50</xdr:row>
      <xdr:rowOff>171596</xdr:rowOff>
    </xdr:to>
    <xdr:pic>
      <xdr:nvPicPr>
        <xdr:cNvPr id="3" name="Image 2">
          <a:extLst>
            <a:ext uri="{FF2B5EF4-FFF2-40B4-BE49-F238E27FC236}">
              <a16:creationId xmlns:a16="http://schemas.microsoft.com/office/drawing/2014/main" id="{FF3572E7-E497-4623-A221-7A3FBCDB99C1}"/>
            </a:ext>
          </a:extLst>
        </xdr:cNvPr>
        <xdr:cNvPicPr>
          <a:picLocks noChangeAspect="1"/>
        </xdr:cNvPicPr>
      </xdr:nvPicPr>
      <xdr:blipFill>
        <a:blip xmlns:r="http://schemas.openxmlformats.org/officeDocument/2006/relationships" r:embed="rId2"/>
        <a:stretch>
          <a:fillRect/>
        </a:stretch>
      </xdr:blipFill>
      <xdr:spPr>
        <a:xfrm>
          <a:off x="90322" y="4220232"/>
          <a:ext cx="8437548" cy="4780767"/>
        </a:xfrm>
        <a:prstGeom prst="rect">
          <a:avLst/>
        </a:prstGeom>
      </xdr:spPr>
    </xdr:pic>
    <xdr:clientData/>
  </xdr:twoCellAnchor>
  <xdr:twoCellAnchor editAs="oneCell">
    <xdr:from>
      <xdr:col>0</xdr:col>
      <xdr:colOff>0</xdr:colOff>
      <xdr:row>53</xdr:row>
      <xdr:rowOff>99734</xdr:rowOff>
    </xdr:from>
    <xdr:to>
      <xdr:col>11</xdr:col>
      <xdr:colOff>0</xdr:colOff>
      <xdr:row>73</xdr:row>
      <xdr:rowOff>60695</xdr:rowOff>
    </xdr:to>
    <xdr:pic>
      <xdr:nvPicPr>
        <xdr:cNvPr id="4" name="Image 3">
          <a:extLst>
            <a:ext uri="{FF2B5EF4-FFF2-40B4-BE49-F238E27FC236}">
              <a16:creationId xmlns:a16="http://schemas.microsoft.com/office/drawing/2014/main" id="{50C8A84E-B94A-43A9-819E-FC7AED3E51EC}"/>
            </a:ext>
          </a:extLst>
        </xdr:cNvPr>
        <xdr:cNvPicPr>
          <a:picLocks noChangeAspect="1"/>
        </xdr:cNvPicPr>
      </xdr:nvPicPr>
      <xdr:blipFill>
        <a:blip xmlns:r="http://schemas.openxmlformats.org/officeDocument/2006/relationships" r:embed="rId3"/>
        <a:stretch>
          <a:fillRect/>
        </a:stretch>
      </xdr:blipFill>
      <xdr:spPr>
        <a:xfrm>
          <a:off x="0" y="9475055"/>
          <a:ext cx="8681357" cy="3491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126871</xdr:colOff>
      <xdr:row>0</xdr:row>
      <xdr:rowOff>228007</xdr:rowOff>
    </xdr:from>
    <xdr:to>
      <xdr:col>1</xdr:col>
      <xdr:colOff>1712259</xdr:colOff>
      <xdr:row>0</xdr:row>
      <xdr:rowOff>820618</xdr:rowOff>
    </xdr:to>
    <xdr:pic>
      <xdr:nvPicPr>
        <xdr:cNvPr id="6" name="Image 5">
          <a:extLst>
            <a:ext uri="{FF2B5EF4-FFF2-40B4-BE49-F238E27FC236}">
              <a16:creationId xmlns:a16="http://schemas.microsoft.com/office/drawing/2014/main" id="{FD02DDC4-C516-44B0-A049-BC7F9D8AA690}"/>
            </a:ext>
          </a:extLst>
        </xdr:cNvPr>
        <xdr:cNvPicPr>
          <a:picLocks noChangeAspect="1"/>
        </xdr:cNvPicPr>
      </xdr:nvPicPr>
      <xdr:blipFill>
        <a:blip xmlns:r="http://schemas.openxmlformats.org/officeDocument/2006/relationships" r:embed="rId1"/>
        <a:stretch>
          <a:fillRect/>
        </a:stretch>
      </xdr:blipFill>
      <xdr:spPr>
        <a:xfrm>
          <a:off x="126871" y="228007"/>
          <a:ext cx="1585388" cy="592611"/>
        </a:xfrm>
        <a:prstGeom prst="rect">
          <a:avLst/>
        </a:prstGeom>
      </xdr:spPr>
    </xdr:pic>
    <xdr:clientData/>
  </xdr:twoCellAnchor>
  <xdr:twoCellAnchor>
    <xdr:from>
      <xdr:col>1</xdr:col>
      <xdr:colOff>38002</xdr:colOff>
      <xdr:row>28</xdr:row>
      <xdr:rowOff>97841</xdr:rowOff>
    </xdr:from>
    <xdr:to>
      <xdr:col>12</xdr:col>
      <xdr:colOff>704021</xdr:colOff>
      <xdr:row>56</xdr:row>
      <xdr:rowOff>67015</xdr:rowOff>
    </xdr:to>
    <xdr:graphicFrame macro="">
      <xdr:nvGraphicFramePr>
        <xdr:cNvPr id="5" name="Graphique 4">
          <a:extLst>
            <a:ext uri="{FF2B5EF4-FFF2-40B4-BE49-F238E27FC236}">
              <a16:creationId xmlns:a16="http://schemas.microsoft.com/office/drawing/2014/main" id="{3FF761CA-37E6-43C4-B51E-E3AAB4D23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218660</xdr:colOff>
      <xdr:row>73</xdr:row>
      <xdr:rowOff>135834</xdr:rowOff>
    </xdr:from>
    <xdr:to>
      <xdr:col>12</xdr:col>
      <xdr:colOff>549964</xdr:colOff>
      <xdr:row>88</xdr:row>
      <xdr:rowOff>96078</xdr:rowOff>
    </xdr:to>
    <xdr:graphicFrame macro="">
      <xdr:nvGraphicFramePr>
        <xdr:cNvPr id="2" name="Graphique 1">
          <a:extLst>
            <a:ext uri="{FF2B5EF4-FFF2-40B4-BE49-F238E27FC236}">
              <a16:creationId xmlns:a16="http://schemas.microsoft.com/office/drawing/2014/main" id="{3D4C0C5D-6313-4461-94BB-6F3FB776B0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22216</xdr:colOff>
      <xdr:row>59</xdr:row>
      <xdr:rowOff>10721</xdr:rowOff>
    </xdr:from>
    <xdr:to>
      <xdr:col>12</xdr:col>
      <xdr:colOff>406529</xdr:colOff>
      <xdr:row>73</xdr:row>
      <xdr:rowOff>150258</xdr:rowOff>
    </xdr:to>
    <xdr:graphicFrame macro="">
      <xdr:nvGraphicFramePr>
        <xdr:cNvPr id="3" name="Graphique 2">
          <a:extLst>
            <a:ext uri="{FF2B5EF4-FFF2-40B4-BE49-F238E27FC236}">
              <a16:creationId xmlns:a16="http://schemas.microsoft.com/office/drawing/2014/main" id="{90D11FB0-454D-458D-ACB4-27EFD786A0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271670</xdr:colOff>
      <xdr:row>76</xdr:row>
      <xdr:rowOff>46383</xdr:rowOff>
    </xdr:from>
    <xdr:to>
      <xdr:col>10</xdr:col>
      <xdr:colOff>549965</xdr:colOff>
      <xdr:row>76</xdr:row>
      <xdr:rowOff>46383</xdr:rowOff>
    </xdr:to>
    <xdr:cxnSp macro="">
      <xdr:nvCxnSpPr>
        <xdr:cNvPr id="7" name="Connecteur droit 6">
          <a:extLst>
            <a:ext uri="{FF2B5EF4-FFF2-40B4-BE49-F238E27FC236}">
              <a16:creationId xmlns:a16="http://schemas.microsoft.com/office/drawing/2014/main" id="{DEF9D426-8438-4AAC-A876-7FA2328120D2}"/>
            </a:ext>
          </a:extLst>
        </xdr:cNvPr>
        <xdr:cNvCxnSpPr/>
      </xdr:nvCxnSpPr>
      <xdr:spPr>
        <a:xfrm>
          <a:off x="675861" y="15067722"/>
          <a:ext cx="9097617" cy="0"/>
        </a:xfrm>
        <a:prstGeom prst="line">
          <a:avLst/>
        </a:prstGeom>
        <a:ln w="190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457200</xdr:colOff>
      <xdr:row>58</xdr:row>
      <xdr:rowOff>106013</xdr:rowOff>
    </xdr:from>
    <xdr:to>
      <xdr:col>31</xdr:col>
      <xdr:colOff>139148</xdr:colOff>
      <xdr:row>77</xdr:row>
      <xdr:rowOff>125895</xdr:rowOff>
    </xdr:to>
    <xdr:graphicFrame macro="">
      <xdr:nvGraphicFramePr>
        <xdr:cNvPr id="15" name="Graphique 14">
          <a:extLst>
            <a:ext uri="{FF2B5EF4-FFF2-40B4-BE49-F238E27FC236}">
              <a16:creationId xmlns:a16="http://schemas.microsoft.com/office/drawing/2014/main" id="{38C5472F-8495-43B8-B67C-4B21A9F77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126871</xdr:colOff>
      <xdr:row>0</xdr:row>
      <xdr:rowOff>228007</xdr:rowOff>
    </xdr:from>
    <xdr:to>
      <xdr:col>1</xdr:col>
      <xdr:colOff>1712259</xdr:colOff>
      <xdr:row>0</xdr:row>
      <xdr:rowOff>816808</xdr:rowOff>
    </xdr:to>
    <xdr:pic>
      <xdr:nvPicPr>
        <xdr:cNvPr id="2" name="Image 1">
          <a:extLst>
            <a:ext uri="{FF2B5EF4-FFF2-40B4-BE49-F238E27FC236}">
              <a16:creationId xmlns:a16="http://schemas.microsoft.com/office/drawing/2014/main" id="{F58FB0AA-933E-46AD-89A2-07BCF78294FB}"/>
            </a:ext>
          </a:extLst>
        </xdr:cNvPr>
        <xdr:cNvPicPr>
          <a:picLocks noChangeAspect="1"/>
        </xdr:cNvPicPr>
      </xdr:nvPicPr>
      <xdr:blipFill>
        <a:blip xmlns:r="http://schemas.openxmlformats.org/officeDocument/2006/relationships" r:embed="rId1"/>
        <a:stretch>
          <a:fillRect/>
        </a:stretch>
      </xdr:blipFill>
      <xdr:spPr>
        <a:xfrm>
          <a:off x="1107946" y="228007"/>
          <a:ext cx="1585388" cy="588801"/>
        </a:xfrm>
        <a:prstGeom prst="rect">
          <a:avLst/>
        </a:prstGeom>
      </xdr:spPr>
    </xdr:pic>
    <xdr:clientData/>
  </xdr:twoCellAnchor>
  <xdr:twoCellAnchor>
    <xdr:from>
      <xdr:col>1</xdr:col>
      <xdr:colOff>38002</xdr:colOff>
      <xdr:row>28</xdr:row>
      <xdr:rowOff>97841</xdr:rowOff>
    </xdr:from>
    <xdr:to>
      <xdr:col>12</xdr:col>
      <xdr:colOff>704021</xdr:colOff>
      <xdr:row>56</xdr:row>
      <xdr:rowOff>67015</xdr:rowOff>
    </xdr:to>
    <xdr:graphicFrame macro="">
      <xdr:nvGraphicFramePr>
        <xdr:cNvPr id="3" name="Graphique 2">
          <a:extLst>
            <a:ext uri="{FF2B5EF4-FFF2-40B4-BE49-F238E27FC236}">
              <a16:creationId xmlns:a16="http://schemas.microsoft.com/office/drawing/2014/main" id="{E9E51646-6D88-4504-94E1-590286316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218660</xdr:colOff>
      <xdr:row>73</xdr:row>
      <xdr:rowOff>135834</xdr:rowOff>
    </xdr:from>
    <xdr:to>
      <xdr:col>12</xdr:col>
      <xdr:colOff>549964</xdr:colOff>
      <xdr:row>88</xdr:row>
      <xdr:rowOff>96078</xdr:rowOff>
    </xdr:to>
    <xdr:graphicFrame macro="">
      <xdr:nvGraphicFramePr>
        <xdr:cNvPr id="4" name="Graphique 3">
          <a:extLst>
            <a:ext uri="{FF2B5EF4-FFF2-40B4-BE49-F238E27FC236}">
              <a16:creationId xmlns:a16="http://schemas.microsoft.com/office/drawing/2014/main" id="{C3C0215F-0F6F-4519-B3E5-A41432111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22216</xdr:colOff>
      <xdr:row>59</xdr:row>
      <xdr:rowOff>10721</xdr:rowOff>
    </xdr:from>
    <xdr:to>
      <xdr:col>12</xdr:col>
      <xdr:colOff>406529</xdr:colOff>
      <xdr:row>73</xdr:row>
      <xdr:rowOff>150258</xdr:rowOff>
    </xdr:to>
    <xdr:graphicFrame macro="">
      <xdr:nvGraphicFramePr>
        <xdr:cNvPr id="5" name="Graphique 4">
          <a:extLst>
            <a:ext uri="{FF2B5EF4-FFF2-40B4-BE49-F238E27FC236}">
              <a16:creationId xmlns:a16="http://schemas.microsoft.com/office/drawing/2014/main" id="{AA2E2F15-C807-4BB4-8D0D-FFF7B2076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271670</xdr:colOff>
      <xdr:row>76</xdr:row>
      <xdr:rowOff>46383</xdr:rowOff>
    </xdr:from>
    <xdr:to>
      <xdr:col>10</xdr:col>
      <xdr:colOff>549965</xdr:colOff>
      <xdr:row>76</xdr:row>
      <xdr:rowOff>46383</xdr:rowOff>
    </xdr:to>
    <xdr:cxnSp macro="">
      <xdr:nvCxnSpPr>
        <xdr:cNvPr id="6" name="Connecteur droit 5">
          <a:extLst>
            <a:ext uri="{FF2B5EF4-FFF2-40B4-BE49-F238E27FC236}">
              <a16:creationId xmlns:a16="http://schemas.microsoft.com/office/drawing/2014/main" id="{65FB64AB-7F21-4123-B757-47306EAAF93D}"/>
            </a:ext>
          </a:extLst>
        </xdr:cNvPr>
        <xdr:cNvCxnSpPr/>
      </xdr:nvCxnSpPr>
      <xdr:spPr>
        <a:xfrm>
          <a:off x="1252745" y="15448308"/>
          <a:ext cx="8860320" cy="0"/>
        </a:xfrm>
        <a:prstGeom prst="line">
          <a:avLst/>
        </a:prstGeom>
        <a:ln w="190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457200</xdr:colOff>
      <xdr:row>58</xdr:row>
      <xdr:rowOff>106013</xdr:rowOff>
    </xdr:from>
    <xdr:to>
      <xdr:col>31</xdr:col>
      <xdr:colOff>139148</xdr:colOff>
      <xdr:row>77</xdr:row>
      <xdr:rowOff>125895</xdr:rowOff>
    </xdr:to>
    <xdr:graphicFrame macro="">
      <xdr:nvGraphicFramePr>
        <xdr:cNvPr id="7" name="Graphique 6">
          <a:extLst>
            <a:ext uri="{FF2B5EF4-FFF2-40B4-BE49-F238E27FC236}">
              <a16:creationId xmlns:a16="http://schemas.microsoft.com/office/drawing/2014/main" id="{9C4B43E0-14AA-4A27-A9D2-D5CAC6496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126871</xdr:colOff>
      <xdr:row>0</xdr:row>
      <xdr:rowOff>228007</xdr:rowOff>
    </xdr:from>
    <xdr:to>
      <xdr:col>0</xdr:col>
      <xdr:colOff>1712259</xdr:colOff>
      <xdr:row>1</xdr:row>
      <xdr:rowOff>1468</xdr:rowOff>
    </xdr:to>
    <xdr:pic>
      <xdr:nvPicPr>
        <xdr:cNvPr id="2" name="Image 1">
          <a:extLst>
            <a:ext uri="{FF2B5EF4-FFF2-40B4-BE49-F238E27FC236}">
              <a16:creationId xmlns:a16="http://schemas.microsoft.com/office/drawing/2014/main" id="{16EAF7BE-0C22-4BB5-AF8D-730F25F8FF43}"/>
            </a:ext>
          </a:extLst>
        </xdr:cNvPr>
        <xdr:cNvPicPr>
          <a:picLocks noChangeAspect="1"/>
        </xdr:cNvPicPr>
      </xdr:nvPicPr>
      <xdr:blipFill>
        <a:blip xmlns:r="http://schemas.openxmlformats.org/officeDocument/2006/relationships" r:embed="rId1"/>
        <a:stretch>
          <a:fillRect/>
        </a:stretch>
      </xdr:blipFill>
      <xdr:spPr>
        <a:xfrm>
          <a:off x="130681" y="228007"/>
          <a:ext cx="1581578" cy="592611"/>
        </a:xfrm>
        <a:prstGeom prst="rect">
          <a:avLst/>
        </a:prstGeom>
      </xdr:spPr>
    </xdr:pic>
    <xdr:clientData/>
  </xdr:twoCellAnchor>
  <xdr:twoCellAnchor>
    <xdr:from>
      <xdr:col>12</xdr:col>
      <xdr:colOff>36195</xdr:colOff>
      <xdr:row>0</xdr:row>
      <xdr:rowOff>14287</xdr:rowOff>
    </xdr:from>
    <xdr:to>
      <xdr:col>20</xdr:col>
      <xdr:colOff>114299</xdr:colOff>
      <xdr:row>16</xdr:row>
      <xdr:rowOff>43815</xdr:rowOff>
    </xdr:to>
    <xdr:graphicFrame macro="">
      <xdr:nvGraphicFramePr>
        <xdr:cNvPr id="3" name="Graphique 2">
          <a:extLst>
            <a:ext uri="{FF2B5EF4-FFF2-40B4-BE49-F238E27FC236}">
              <a16:creationId xmlns:a16="http://schemas.microsoft.com/office/drawing/2014/main" id="{C5880109-60F5-4F93-B602-24CB380938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27</xdr:col>
      <xdr:colOff>356537</xdr:colOff>
      <xdr:row>133</xdr:row>
      <xdr:rowOff>90452</xdr:rowOff>
    </xdr:from>
    <xdr:to>
      <xdr:col>35</xdr:col>
      <xdr:colOff>549895</xdr:colOff>
      <xdr:row>149</xdr:row>
      <xdr:rowOff>82533</xdr:rowOff>
    </xdr:to>
    <xdr:graphicFrame macro="">
      <xdr:nvGraphicFramePr>
        <xdr:cNvPr id="3" name="Graphique 2">
          <a:extLst>
            <a:ext uri="{FF2B5EF4-FFF2-40B4-BE49-F238E27FC236}">
              <a16:creationId xmlns:a16="http://schemas.microsoft.com/office/drawing/2014/main" id="{63AB3A52-5B5D-453D-917B-2F02DE92C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576402</xdr:colOff>
      <xdr:row>101</xdr:row>
      <xdr:rowOff>127634</xdr:rowOff>
    </xdr:from>
    <xdr:to>
      <xdr:col>53</xdr:col>
      <xdr:colOff>249471</xdr:colOff>
      <xdr:row>130</xdr:row>
      <xdr:rowOff>27884</xdr:rowOff>
    </xdr:to>
    <xdr:graphicFrame macro="">
      <xdr:nvGraphicFramePr>
        <xdr:cNvPr id="4" name="Graphique 3">
          <a:extLst>
            <a:ext uri="{FF2B5EF4-FFF2-40B4-BE49-F238E27FC236}">
              <a16:creationId xmlns:a16="http://schemas.microsoft.com/office/drawing/2014/main" id="{EFD2AA1B-2F9E-4E1A-B83B-F5E9C5C62A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714325</xdr:colOff>
      <xdr:row>101</xdr:row>
      <xdr:rowOff>176892</xdr:rowOff>
    </xdr:from>
    <xdr:to>
      <xdr:col>43</xdr:col>
      <xdr:colOff>400730</xdr:colOff>
      <xdr:row>130</xdr:row>
      <xdr:rowOff>107201</xdr:rowOff>
    </xdr:to>
    <xdr:graphicFrame macro="">
      <xdr:nvGraphicFramePr>
        <xdr:cNvPr id="5" name="Graphique 4">
          <a:extLst>
            <a:ext uri="{FF2B5EF4-FFF2-40B4-BE49-F238E27FC236}">
              <a16:creationId xmlns:a16="http://schemas.microsoft.com/office/drawing/2014/main" id="{68700DA5-EAF4-4F65-BCBC-03DDF01B5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6927</xdr:colOff>
      <xdr:row>74</xdr:row>
      <xdr:rowOff>130406</xdr:rowOff>
    </xdr:from>
    <xdr:to>
      <xdr:col>40</xdr:col>
      <xdr:colOff>315538</xdr:colOff>
      <xdr:row>101</xdr:row>
      <xdr:rowOff>130406</xdr:rowOff>
    </xdr:to>
    <xdr:graphicFrame macro="">
      <xdr:nvGraphicFramePr>
        <xdr:cNvPr id="6" name="Graphique 5">
          <a:extLst>
            <a:ext uri="{FF2B5EF4-FFF2-40B4-BE49-F238E27FC236}">
              <a16:creationId xmlns:a16="http://schemas.microsoft.com/office/drawing/2014/main" id="{E6D28597-66E8-40E3-8B90-1B501DE7AA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379078</xdr:colOff>
      <xdr:row>118</xdr:row>
      <xdr:rowOff>118463</xdr:rowOff>
    </xdr:from>
    <xdr:to>
      <xdr:col>9</xdr:col>
      <xdr:colOff>72356</xdr:colOff>
      <xdr:row>133</xdr:row>
      <xdr:rowOff>172250</xdr:rowOff>
    </xdr:to>
    <xdr:graphicFrame macro="">
      <xdr:nvGraphicFramePr>
        <xdr:cNvPr id="7" name="Graphique 6">
          <a:extLst>
            <a:ext uri="{FF2B5EF4-FFF2-40B4-BE49-F238E27FC236}">
              <a16:creationId xmlns:a16="http://schemas.microsoft.com/office/drawing/2014/main" id="{8A2EA693-AEE1-4F9E-AC33-F997277057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62753</xdr:colOff>
      <xdr:row>133</xdr:row>
      <xdr:rowOff>35859</xdr:rowOff>
    </xdr:from>
    <xdr:to>
      <xdr:col>7</xdr:col>
      <xdr:colOff>605117</xdr:colOff>
      <xdr:row>148</xdr:row>
      <xdr:rowOff>89648</xdr:rowOff>
    </xdr:to>
    <xdr:graphicFrame macro="">
      <xdr:nvGraphicFramePr>
        <xdr:cNvPr id="8" name="Graphique 7">
          <a:extLst>
            <a:ext uri="{FF2B5EF4-FFF2-40B4-BE49-F238E27FC236}">
              <a16:creationId xmlns:a16="http://schemas.microsoft.com/office/drawing/2014/main" id="{F371B7F9-56DC-4C44-BBFE-97F11A85B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124609</xdr:colOff>
      <xdr:row>117</xdr:row>
      <xdr:rowOff>74407</xdr:rowOff>
    </xdr:from>
    <xdr:to>
      <xdr:col>12</xdr:col>
      <xdr:colOff>762000</xdr:colOff>
      <xdr:row>132</xdr:row>
      <xdr:rowOff>128195</xdr:rowOff>
    </xdr:to>
    <xdr:graphicFrame macro="">
      <xdr:nvGraphicFramePr>
        <xdr:cNvPr id="9" name="Graphique 8">
          <a:extLst>
            <a:ext uri="{FF2B5EF4-FFF2-40B4-BE49-F238E27FC236}">
              <a16:creationId xmlns:a16="http://schemas.microsoft.com/office/drawing/2014/main" id="{5509CE91-2654-4BA3-AB2E-3605D1BF1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701040</xdr:colOff>
      <xdr:row>133</xdr:row>
      <xdr:rowOff>106680</xdr:rowOff>
    </xdr:from>
    <xdr:to>
      <xdr:col>15</xdr:col>
      <xdr:colOff>553571</xdr:colOff>
      <xdr:row>148</xdr:row>
      <xdr:rowOff>160468</xdr:rowOff>
    </xdr:to>
    <xdr:graphicFrame macro="">
      <xdr:nvGraphicFramePr>
        <xdr:cNvPr id="10" name="Graphique 9">
          <a:extLst>
            <a:ext uri="{FF2B5EF4-FFF2-40B4-BE49-F238E27FC236}">
              <a16:creationId xmlns:a16="http://schemas.microsoft.com/office/drawing/2014/main" id="{ECEB1B70-AFFE-4B3C-ABAD-27702CF71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111034</xdr:colOff>
      <xdr:row>119</xdr:row>
      <xdr:rowOff>180702</xdr:rowOff>
    </xdr:from>
    <xdr:to>
      <xdr:col>23</xdr:col>
      <xdr:colOff>652054</xdr:colOff>
      <xdr:row>135</xdr:row>
      <xdr:rowOff>49433</xdr:rowOff>
    </xdr:to>
    <xdr:graphicFrame macro="">
      <xdr:nvGraphicFramePr>
        <xdr:cNvPr id="11" name="Graphique 10">
          <a:extLst>
            <a:ext uri="{FF2B5EF4-FFF2-40B4-BE49-F238E27FC236}">
              <a16:creationId xmlns:a16="http://schemas.microsoft.com/office/drawing/2014/main" id="{A0224373-8316-421F-95A9-A1BF0D7E9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141310</xdr:colOff>
      <xdr:row>19</xdr:row>
      <xdr:rowOff>113627</xdr:rowOff>
    </xdr:from>
    <xdr:to>
      <xdr:col>8</xdr:col>
      <xdr:colOff>515696</xdr:colOff>
      <xdr:row>40</xdr:row>
      <xdr:rowOff>130854</xdr:rowOff>
    </xdr:to>
    <xdr:pic>
      <xdr:nvPicPr>
        <xdr:cNvPr id="2" name="Image 1">
          <a:extLst>
            <a:ext uri="{FF2B5EF4-FFF2-40B4-BE49-F238E27FC236}">
              <a16:creationId xmlns:a16="http://schemas.microsoft.com/office/drawing/2014/main" id="{3CFBD53C-38B3-40D0-8C71-06BDC810F097}"/>
            </a:ext>
          </a:extLst>
        </xdr:cNvPr>
        <xdr:cNvPicPr>
          <a:picLocks noChangeAspect="1"/>
        </xdr:cNvPicPr>
      </xdr:nvPicPr>
      <xdr:blipFill>
        <a:blip xmlns:r="http://schemas.openxmlformats.org/officeDocument/2006/relationships" r:embed="rId1"/>
        <a:stretch>
          <a:fillRect/>
        </a:stretch>
      </xdr:blipFill>
      <xdr:spPr>
        <a:xfrm>
          <a:off x="141310" y="3699509"/>
          <a:ext cx="6725992" cy="3778594"/>
        </a:xfrm>
        <a:prstGeom prst="rect">
          <a:avLst/>
        </a:prstGeom>
      </xdr:spPr>
    </xdr:pic>
    <xdr:clientData/>
  </xdr:twoCellAnchor>
  <xdr:twoCellAnchor editAs="oneCell">
    <xdr:from>
      <xdr:col>8</xdr:col>
      <xdr:colOff>517489</xdr:colOff>
      <xdr:row>19</xdr:row>
      <xdr:rowOff>118895</xdr:rowOff>
    </xdr:from>
    <xdr:to>
      <xdr:col>17</xdr:col>
      <xdr:colOff>94914</xdr:colOff>
      <xdr:row>42</xdr:row>
      <xdr:rowOff>16049</xdr:rowOff>
    </xdr:to>
    <xdr:pic>
      <xdr:nvPicPr>
        <xdr:cNvPr id="3" name="Image 2">
          <a:extLst>
            <a:ext uri="{FF2B5EF4-FFF2-40B4-BE49-F238E27FC236}">
              <a16:creationId xmlns:a16="http://schemas.microsoft.com/office/drawing/2014/main" id="{A068D743-2EF7-4082-99F2-2DDCAE510D4B}"/>
            </a:ext>
          </a:extLst>
        </xdr:cNvPr>
        <xdr:cNvPicPr>
          <a:picLocks noChangeAspect="1"/>
        </xdr:cNvPicPr>
      </xdr:nvPicPr>
      <xdr:blipFill>
        <a:blip xmlns:r="http://schemas.openxmlformats.org/officeDocument/2006/relationships" r:embed="rId2"/>
        <a:stretch>
          <a:fillRect/>
        </a:stretch>
      </xdr:blipFill>
      <xdr:spPr>
        <a:xfrm>
          <a:off x="6882430" y="3704777"/>
          <a:ext cx="6751319" cy="40094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638450</xdr:colOff>
      <xdr:row>53</xdr:row>
      <xdr:rowOff>169385</xdr:rowOff>
    </xdr:from>
    <xdr:to>
      <xdr:col>27</xdr:col>
      <xdr:colOff>307976</xdr:colOff>
      <xdr:row>69</xdr:row>
      <xdr:rowOff>188882</xdr:rowOff>
    </xdr:to>
    <xdr:pic>
      <xdr:nvPicPr>
        <xdr:cNvPr id="2" name="Image 1">
          <a:extLst>
            <a:ext uri="{FF2B5EF4-FFF2-40B4-BE49-F238E27FC236}">
              <a16:creationId xmlns:a16="http://schemas.microsoft.com/office/drawing/2014/main" id="{22578CC7-C01D-8ACA-17DB-A4AE79898ED9}"/>
            </a:ext>
          </a:extLst>
        </xdr:cNvPr>
        <xdr:cNvPicPr>
          <a:picLocks noChangeAspect="1"/>
        </xdr:cNvPicPr>
      </xdr:nvPicPr>
      <xdr:blipFill>
        <a:blip xmlns:r="http://schemas.openxmlformats.org/officeDocument/2006/relationships" r:embed="rId1"/>
        <a:stretch>
          <a:fillRect/>
        </a:stretch>
      </xdr:blipFill>
      <xdr:spPr>
        <a:xfrm>
          <a:off x="10032821" y="15888356"/>
          <a:ext cx="9673498" cy="3154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hyperlink" Target="https://data.worldbank.org/indicator/SP.POP.TOTL"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F3915-0B60-433E-9E4F-50B31CA72E4B}">
  <dimension ref="A1:R34"/>
  <sheetViews>
    <sheetView workbookViewId="0">
      <selection activeCell="B19" sqref="B19"/>
    </sheetView>
  </sheetViews>
  <sheetFormatPr baseColWidth="10" defaultRowHeight="14.4" x14ac:dyDescent="0.3"/>
  <cols>
    <col min="1" max="1" width="21.44140625" customWidth="1"/>
    <col min="2" max="2" width="33.33203125" bestFit="1" customWidth="1"/>
    <col min="3" max="3" width="43.88671875" bestFit="1" customWidth="1"/>
    <col min="4" max="4" width="93.33203125" bestFit="1" customWidth="1"/>
  </cols>
  <sheetData>
    <row r="1" spans="1:18" ht="61.95" customHeight="1" thickBot="1" x14ac:dyDescent="0.35">
      <c r="A1" s="17"/>
      <c r="B1" s="288" t="s">
        <v>0</v>
      </c>
      <c r="C1" s="288"/>
      <c r="D1" s="288"/>
      <c r="E1" s="22"/>
      <c r="F1" s="22"/>
    </row>
    <row r="2" spans="1:18" ht="14.4" customHeight="1" x14ac:dyDescent="0.3">
      <c r="A2" s="279" t="s">
        <v>260</v>
      </c>
      <c r="B2" s="280"/>
      <c r="C2" s="280"/>
      <c r="D2" s="281"/>
      <c r="E2" s="208"/>
      <c r="F2" s="208"/>
      <c r="G2" s="208"/>
      <c r="H2" s="208"/>
      <c r="I2" s="208"/>
      <c r="J2" s="208"/>
      <c r="K2" s="208"/>
      <c r="L2" s="208"/>
      <c r="M2" s="208"/>
      <c r="N2" s="208"/>
      <c r="O2" s="208"/>
      <c r="P2" s="208"/>
      <c r="Q2" s="208"/>
      <c r="R2" s="208"/>
    </row>
    <row r="3" spans="1:18" x14ac:dyDescent="0.3">
      <c r="A3" s="282"/>
      <c r="B3" s="283"/>
      <c r="C3" s="283"/>
      <c r="D3" s="284"/>
      <c r="E3" s="208"/>
      <c r="F3" s="208"/>
      <c r="G3" s="208"/>
      <c r="H3" s="208"/>
      <c r="I3" s="208"/>
      <c r="J3" s="208"/>
      <c r="K3" s="208"/>
      <c r="L3" s="208"/>
      <c r="M3" s="208"/>
      <c r="N3" s="208"/>
      <c r="O3" s="208"/>
      <c r="P3" s="208"/>
      <c r="Q3" s="208"/>
      <c r="R3" s="208"/>
    </row>
    <row r="4" spans="1:18" x14ac:dyDescent="0.3">
      <c r="A4" s="282"/>
      <c r="B4" s="283"/>
      <c r="C4" s="283"/>
      <c r="D4" s="284"/>
      <c r="E4" s="208"/>
      <c r="F4" s="208"/>
      <c r="G4" s="208"/>
      <c r="H4" s="208"/>
      <c r="I4" s="208"/>
      <c r="J4" s="208"/>
      <c r="K4" s="208"/>
      <c r="L4" s="208"/>
      <c r="M4" s="208"/>
      <c r="N4" s="208"/>
      <c r="O4" s="208"/>
      <c r="P4" s="208"/>
      <c r="Q4" s="208"/>
      <c r="R4" s="208"/>
    </row>
    <row r="5" spans="1:18" x14ac:dyDescent="0.3">
      <c r="A5" s="282"/>
      <c r="B5" s="283"/>
      <c r="C5" s="283"/>
      <c r="D5" s="284"/>
      <c r="E5" s="208"/>
      <c r="F5" s="208"/>
      <c r="G5" s="208"/>
      <c r="H5" s="208"/>
      <c r="I5" s="208"/>
      <c r="J5" s="208"/>
      <c r="K5" s="208"/>
      <c r="L5" s="208"/>
      <c r="M5" s="208"/>
      <c r="N5" s="208"/>
      <c r="O5" s="208"/>
      <c r="P5" s="208"/>
      <c r="Q5" s="208"/>
      <c r="R5" s="208"/>
    </row>
    <row r="6" spans="1:18" x14ac:dyDescent="0.3">
      <c r="A6" s="282"/>
      <c r="B6" s="283"/>
      <c r="C6" s="283"/>
      <c r="D6" s="284"/>
      <c r="E6" s="208"/>
      <c r="F6" s="208"/>
      <c r="G6" s="208"/>
      <c r="H6" s="208"/>
      <c r="I6" s="208"/>
      <c r="J6" s="208"/>
      <c r="K6" s="208"/>
      <c r="L6" s="208"/>
      <c r="M6" s="208"/>
      <c r="N6" s="208"/>
      <c r="O6" s="208"/>
      <c r="P6" s="208"/>
      <c r="Q6" s="208"/>
      <c r="R6" s="208"/>
    </row>
    <row r="7" spans="1:18" x14ac:dyDescent="0.3">
      <c r="A7" s="282"/>
      <c r="B7" s="283"/>
      <c r="C7" s="283"/>
      <c r="D7" s="284"/>
      <c r="E7" s="208"/>
      <c r="F7" s="208"/>
      <c r="G7" s="208"/>
      <c r="H7" s="208"/>
      <c r="I7" s="208"/>
      <c r="J7" s="208"/>
      <c r="K7" s="208"/>
      <c r="L7" s="208"/>
      <c r="M7" s="208"/>
      <c r="N7" s="208"/>
      <c r="O7" s="208"/>
      <c r="P7" s="208"/>
      <c r="Q7" s="208"/>
      <c r="R7" s="208"/>
    </row>
    <row r="8" spans="1:18" x14ac:dyDescent="0.3">
      <c r="A8" s="282"/>
      <c r="B8" s="283"/>
      <c r="C8" s="283"/>
      <c r="D8" s="284"/>
      <c r="E8" s="208"/>
      <c r="F8" s="208"/>
      <c r="G8" s="208"/>
      <c r="H8" s="208"/>
      <c r="I8" s="208"/>
      <c r="J8" s="208"/>
      <c r="K8" s="208"/>
      <c r="L8" s="208"/>
      <c r="M8" s="208"/>
      <c r="N8" s="208"/>
      <c r="O8" s="208"/>
      <c r="P8" s="208"/>
      <c r="Q8" s="208"/>
      <c r="R8" s="208"/>
    </row>
    <row r="9" spans="1:18" x14ac:dyDescent="0.3">
      <c r="A9" s="282"/>
      <c r="B9" s="283"/>
      <c r="C9" s="283"/>
      <c r="D9" s="284"/>
      <c r="E9" s="208"/>
      <c r="F9" s="208"/>
      <c r="G9" s="208"/>
      <c r="H9" s="208"/>
      <c r="I9" s="208"/>
      <c r="J9" s="208"/>
      <c r="K9" s="208"/>
      <c r="L9" s="208"/>
      <c r="M9" s="208"/>
      <c r="N9" s="208"/>
      <c r="O9" s="208"/>
      <c r="P9" s="208"/>
      <c r="Q9" s="208"/>
      <c r="R9" s="208"/>
    </row>
    <row r="10" spans="1:18" ht="15" thickBot="1" x14ac:dyDescent="0.35">
      <c r="A10" s="285"/>
      <c r="B10" s="286"/>
      <c r="C10" s="286"/>
      <c r="D10" s="287"/>
      <c r="E10" s="208"/>
      <c r="F10" s="208"/>
      <c r="G10" s="208"/>
      <c r="H10" s="208"/>
      <c r="I10" s="208"/>
      <c r="J10" s="208"/>
      <c r="K10" s="208"/>
      <c r="L10" s="208"/>
      <c r="M10" s="208"/>
      <c r="N10" s="208"/>
      <c r="O10" s="208"/>
      <c r="P10" s="208"/>
      <c r="Q10" s="208"/>
      <c r="R10" s="208"/>
    </row>
    <row r="11" spans="1:18" x14ac:dyDescent="0.3">
      <c r="A11" s="209" t="s">
        <v>245</v>
      </c>
      <c r="B11" s="210"/>
      <c r="C11" s="210"/>
      <c r="D11" s="211"/>
      <c r="E11" s="207"/>
      <c r="F11" s="207"/>
      <c r="G11" s="207"/>
      <c r="H11" s="207"/>
      <c r="I11" s="207"/>
      <c r="J11" s="207"/>
      <c r="K11" s="207"/>
      <c r="L11" s="207"/>
      <c r="M11" s="207"/>
      <c r="N11" s="207"/>
      <c r="O11" s="207"/>
      <c r="P11" s="207"/>
      <c r="Q11" s="207"/>
      <c r="R11" s="207"/>
    </row>
    <row r="12" spans="1:18" x14ac:dyDescent="0.3">
      <c r="A12" s="212">
        <v>1</v>
      </c>
      <c r="B12" s="207" t="s">
        <v>246</v>
      </c>
      <c r="C12" s="207" t="s">
        <v>247</v>
      </c>
      <c r="D12" s="213" t="s">
        <v>248</v>
      </c>
      <c r="E12" s="207"/>
      <c r="F12" s="207"/>
      <c r="G12" s="207"/>
      <c r="H12" s="207"/>
      <c r="I12" s="207"/>
      <c r="J12" s="207"/>
      <c r="K12" s="207"/>
      <c r="L12" s="207"/>
      <c r="M12" s="207"/>
      <c r="N12" s="207"/>
      <c r="O12" s="207"/>
      <c r="P12" s="207"/>
      <c r="Q12" s="207"/>
      <c r="R12" s="207"/>
    </row>
    <row r="13" spans="1:18" x14ac:dyDescent="0.3">
      <c r="A13" s="212">
        <v>2</v>
      </c>
      <c r="B13" s="207" t="s">
        <v>249</v>
      </c>
      <c r="C13" s="207" t="s">
        <v>252</v>
      </c>
      <c r="D13" s="213" t="s">
        <v>250</v>
      </c>
      <c r="E13" s="207"/>
      <c r="F13" s="207"/>
      <c r="G13" s="207"/>
      <c r="H13" s="207"/>
      <c r="I13" s="207"/>
      <c r="J13" s="207"/>
      <c r="K13" s="207"/>
      <c r="L13" s="207"/>
      <c r="M13" s="207"/>
      <c r="N13" s="207"/>
      <c r="O13" s="207"/>
      <c r="P13" s="207"/>
      <c r="Q13" s="207"/>
      <c r="R13" s="207"/>
    </row>
    <row r="14" spans="1:18" x14ac:dyDescent="0.3">
      <c r="A14" s="212">
        <v>3</v>
      </c>
      <c r="B14" s="207" t="s">
        <v>251</v>
      </c>
      <c r="C14" s="207" t="s">
        <v>252</v>
      </c>
      <c r="D14" s="213" t="s">
        <v>250</v>
      </c>
      <c r="E14" s="207"/>
      <c r="F14" s="207"/>
      <c r="G14" s="207"/>
      <c r="H14" s="207"/>
      <c r="I14" s="207"/>
      <c r="J14" s="207"/>
      <c r="K14" s="207"/>
      <c r="L14" s="207"/>
      <c r="M14" s="207"/>
      <c r="N14" s="207"/>
      <c r="O14" s="207"/>
      <c r="P14" s="207"/>
      <c r="Q14" s="207"/>
      <c r="R14" s="207"/>
    </row>
    <row r="15" spans="1:18" ht="100.8" x14ac:dyDescent="0.3">
      <c r="A15" s="212">
        <v>4</v>
      </c>
      <c r="B15" s="207" t="s">
        <v>253</v>
      </c>
      <c r="C15" s="214" t="s">
        <v>254</v>
      </c>
      <c r="D15" s="213" t="s">
        <v>250</v>
      </c>
      <c r="E15" s="207"/>
      <c r="F15" s="207"/>
      <c r="G15" s="207"/>
      <c r="H15" s="207"/>
      <c r="I15" s="207"/>
      <c r="J15" s="207"/>
      <c r="K15" s="207"/>
      <c r="L15" s="207"/>
      <c r="M15" s="207"/>
      <c r="N15" s="207"/>
      <c r="O15" s="207"/>
      <c r="P15" s="207"/>
      <c r="Q15" s="207"/>
      <c r="R15" s="207"/>
    </row>
    <row r="16" spans="1:18" ht="86.4" x14ac:dyDescent="0.3">
      <c r="A16" s="212">
        <v>5</v>
      </c>
      <c r="B16" s="214" t="s">
        <v>255</v>
      </c>
      <c r="C16" s="214" t="s">
        <v>256</v>
      </c>
      <c r="D16" s="213" t="s">
        <v>257</v>
      </c>
      <c r="E16" s="207"/>
      <c r="F16" s="207"/>
      <c r="G16" s="207"/>
      <c r="H16" s="207"/>
      <c r="I16" s="207"/>
      <c r="J16" s="207"/>
      <c r="K16" s="207"/>
      <c r="L16" s="207"/>
      <c r="M16" s="207"/>
      <c r="N16" s="207"/>
      <c r="O16" s="207"/>
      <c r="P16" s="207"/>
      <c r="Q16" s="207"/>
      <c r="R16" s="207"/>
    </row>
    <row r="17" spans="1:18" ht="72.599999999999994" thickBot="1" x14ac:dyDescent="0.35">
      <c r="A17" s="215">
        <v>6</v>
      </c>
      <c r="B17" s="218" t="s">
        <v>258</v>
      </c>
      <c r="C17" s="216" t="s">
        <v>259</v>
      </c>
      <c r="D17" s="217"/>
      <c r="E17" s="207"/>
      <c r="F17" s="207"/>
      <c r="G17" s="207"/>
      <c r="H17" s="207"/>
      <c r="I17" s="207"/>
      <c r="J17" s="207"/>
      <c r="K17" s="207"/>
      <c r="L17" s="207"/>
      <c r="M17" s="207"/>
      <c r="N17" s="207"/>
      <c r="O17" s="207"/>
      <c r="P17" s="207"/>
      <c r="Q17" s="207"/>
      <c r="R17" s="207"/>
    </row>
    <row r="18" spans="1:18" x14ac:dyDescent="0.3">
      <c r="A18" s="207"/>
      <c r="B18" s="207"/>
      <c r="C18" s="207"/>
      <c r="D18" s="207"/>
      <c r="E18" s="207"/>
      <c r="F18" s="207"/>
      <c r="G18" s="207"/>
      <c r="H18" s="207"/>
      <c r="I18" s="207"/>
      <c r="J18" s="207"/>
      <c r="K18" s="207"/>
      <c r="L18" s="207"/>
      <c r="M18" s="207"/>
      <c r="N18" s="207"/>
      <c r="O18" s="207"/>
      <c r="P18" s="207"/>
      <c r="Q18" s="207"/>
      <c r="R18" s="207"/>
    </row>
    <row r="19" spans="1:18" x14ac:dyDescent="0.3">
      <c r="A19" s="207"/>
      <c r="B19" s="207"/>
      <c r="C19" s="207"/>
      <c r="D19" s="207"/>
      <c r="E19" s="207"/>
      <c r="F19" s="207"/>
      <c r="G19" s="207"/>
      <c r="H19" s="207"/>
      <c r="I19" s="207"/>
      <c r="J19" s="207"/>
      <c r="K19" s="207"/>
      <c r="L19" s="207"/>
      <c r="M19" s="207"/>
      <c r="N19" s="207"/>
      <c r="O19" s="207"/>
      <c r="P19" s="207"/>
      <c r="Q19" s="207"/>
      <c r="R19" s="207"/>
    </row>
    <row r="20" spans="1:18" x14ac:dyDescent="0.3">
      <c r="A20" s="207"/>
      <c r="B20" s="207"/>
      <c r="C20" s="207"/>
      <c r="D20" s="207"/>
      <c r="E20" s="207"/>
      <c r="F20" s="207"/>
      <c r="G20" s="207"/>
      <c r="H20" s="207"/>
      <c r="I20" s="207"/>
      <c r="J20" s="207"/>
      <c r="K20" s="207"/>
      <c r="L20" s="207"/>
      <c r="M20" s="207"/>
      <c r="N20" s="207"/>
      <c r="O20" s="207"/>
      <c r="P20" s="207"/>
      <c r="Q20" s="207"/>
      <c r="R20" s="207"/>
    </row>
    <row r="21" spans="1:18" x14ac:dyDescent="0.3">
      <c r="A21" s="207"/>
      <c r="B21" s="207"/>
      <c r="C21" s="207"/>
      <c r="D21" s="207"/>
      <c r="E21" s="207"/>
      <c r="F21" s="207"/>
      <c r="G21" s="207"/>
      <c r="H21" s="207"/>
      <c r="I21" s="207"/>
      <c r="J21" s="207"/>
      <c r="K21" s="207"/>
      <c r="L21" s="207"/>
      <c r="M21" s="207"/>
      <c r="N21" s="207"/>
      <c r="O21" s="207"/>
      <c r="P21" s="207"/>
      <c r="Q21" s="207"/>
      <c r="R21" s="207"/>
    </row>
    <row r="22" spans="1:18" x14ac:dyDescent="0.3">
      <c r="A22" s="207"/>
      <c r="B22" s="207"/>
      <c r="C22" s="207"/>
      <c r="D22" s="207"/>
      <c r="E22" s="207"/>
      <c r="F22" s="207"/>
      <c r="G22" s="207"/>
      <c r="H22" s="207"/>
      <c r="I22" s="207"/>
      <c r="J22" s="207"/>
      <c r="K22" s="207"/>
      <c r="L22" s="207"/>
      <c r="M22" s="207"/>
      <c r="N22" s="207"/>
      <c r="O22" s="207"/>
      <c r="P22" s="207"/>
      <c r="Q22" s="207"/>
      <c r="R22" s="207"/>
    </row>
    <row r="23" spans="1:18" x14ac:dyDescent="0.3">
      <c r="A23" s="207"/>
      <c r="B23" s="207"/>
      <c r="C23" s="207"/>
      <c r="D23" s="207"/>
      <c r="E23" s="207"/>
      <c r="F23" s="207"/>
      <c r="G23" s="207"/>
      <c r="H23" s="207"/>
      <c r="I23" s="207"/>
      <c r="J23" s="207"/>
      <c r="K23" s="207"/>
      <c r="L23" s="207"/>
      <c r="M23" s="207"/>
      <c r="N23" s="207"/>
      <c r="O23" s="207"/>
      <c r="P23" s="207"/>
      <c r="Q23" s="207"/>
      <c r="R23" s="207"/>
    </row>
    <row r="24" spans="1:18" x14ac:dyDescent="0.3">
      <c r="A24" s="207"/>
      <c r="B24" s="207"/>
      <c r="C24" s="207"/>
      <c r="D24" s="207"/>
      <c r="E24" s="207"/>
      <c r="F24" s="207"/>
      <c r="G24" s="207"/>
      <c r="H24" s="207"/>
      <c r="I24" s="207"/>
      <c r="J24" s="207"/>
      <c r="K24" s="207"/>
      <c r="L24" s="207"/>
      <c r="M24" s="207"/>
      <c r="N24" s="207"/>
      <c r="O24" s="207"/>
      <c r="P24" s="207"/>
      <c r="Q24" s="207"/>
      <c r="R24" s="207"/>
    </row>
    <row r="25" spans="1:18" x14ac:dyDescent="0.3">
      <c r="A25" s="207"/>
      <c r="B25" s="207"/>
      <c r="C25" s="207"/>
      <c r="D25" s="207"/>
      <c r="E25" s="207"/>
      <c r="F25" s="207"/>
      <c r="G25" s="207"/>
      <c r="H25" s="207"/>
      <c r="I25" s="207"/>
      <c r="J25" s="207"/>
      <c r="K25" s="207"/>
      <c r="L25" s="207"/>
      <c r="M25" s="207"/>
      <c r="N25" s="207"/>
      <c r="O25" s="207"/>
      <c r="P25" s="207"/>
      <c r="Q25" s="207"/>
      <c r="R25" s="207"/>
    </row>
    <row r="31" spans="1:18" x14ac:dyDescent="0.3">
      <c r="A31" s="62"/>
      <c r="B31" t="s">
        <v>223</v>
      </c>
    </row>
    <row r="32" spans="1:18" x14ac:dyDescent="0.3">
      <c r="A32" s="12"/>
      <c r="B32" t="s">
        <v>222</v>
      </c>
    </row>
    <row r="33" spans="1:2" x14ac:dyDescent="0.3">
      <c r="A33" s="116"/>
      <c r="B33" t="s">
        <v>224</v>
      </c>
    </row>
    <row r="34" spans="1:2" x14ac:dyDescent="0.3">
      <c r="A34" s="140"/>
      <c r="B34" t="s">
        <v>225</v>
      </c>
    </row>
  </sheetData>
  <mergeCells count="2">
    <mergeCell ref="A2:D10"/>
    <mergeCell ref="B1:D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09168-4898-4A26-9A19-5CAAD9DC448F}">
  <dimension ref="A1:G54"/>
  <sheetViews>
    <sheetView zoomScaleNormal="100" workbookViewId="0">
      <selection activeCell="H14" sqref="H14"/>
    </sheetView>
  </sheetViews>
  <sheetFormatPr baseColWidth="10" defaultRowHeight="14.4" x14ac:dyDescent="0.3"/>
  <sheetData>
    <row r="1" spans="1:5" ht="25.8" x14ac:dyDescent="0.5">
      <c r="A1" s="221" t="s">
        <v>361</v>
      </c>
    </row>
    <row r="2" spans="1:5" x14ac:dyDescent="0.3">
      <c r="A2" s="207" t="s">
        <v>45</v>
      </c>
      <c r="B2" s="207"/>
      <c r="C2" s="207"/>
      <c r="D2" s="207"/>
    </row>
    <row r="3" spans="1:5" ht="15" thickBot="1" x14ac:dyDescent="0.35">
      <c r="C3" s="207"/>
    </row>
    <row r="4" spans="1:5" x14ac:dyDescent="0.3">
      <c r="B4" s="17"/>
      <c r="C4" s="22"/>
      <c r="D4" s="18" t="s">
        <v>305</v>
      </c>
    </row>
    <row r="5" spans="1:5" x14ac:dyDescent="0.3">
      <c r="A5" s="207"/>
      <c r="B5" s="212" t="s">
        <v>15</v>
      </c>
      <c r="D5" s="251" t="s">
        <v>279</v>
      </c>
      <c r="E5" t="s">
        <v>360</v>
      </c>
    </row>
    <row r="6" spans="1:5" x14ac:dyDescent="0.3">
      <c r="A6" s="207"/>
      <c r="B6" s="212"/>
      <c r="D6" s="5"/>
    </row>
    <row r="7" spans="1:5" x14ac:dyDescent="0.3">
      <c r="A7" s="219" t="s">
        <v>269</v>
      </c>
      <c r="B7" s="246"/>
      <c r="C7" s="247">
        <f>A52+(A46*B47*C48)+(A46*B50)</f>
        <v>0.91674999999999995</v>
      </c>
      <c r="D7" s="5">
        <f>B7*C7</f>
        <v>0</v>
      </c>
    </row>
    <row r="8" spans="1:5" x14ac:dyDescent="0.3">
      <c r="A8" s="219" t="s">
        <v>270</v>
      </c>
      <c r="B8" s="246"/>
      <c r="C8" s="248">
        <f>-(A46*B47*C49)-(A46*B51)+(A52/A46)+100%</f>
        <v>1.0278611111111111</v>
      </c>
      <c r="D8" s="5">
        <f>B8*C8</f>
        <v>0</v>
      </c>
    </row>
    <row r="9" spans="1:5" x14ac:dyDescent="0.3">
      <c r="A9" s="219"/>
      <c r="B9" s="212"/>
      <c r="C9" s="208"/>
      <c r="D9" s="5"/>
    </row>
    <row r="10" spans="1:5" ht="15" thickBot="1" x14ac:dyDescent="0.35">
      <c r="A10" s="1" t="s">
        <v>273</v>
      </c>
      <c r="B10" s="249"/>
      <c r="C10" s="250">
        <f>100%+(B50/(C48*B47))+(A52/(C48*B47*A46))</f>
        <v>1.2614379084967322</v>
      </c>
      <c r="D10" s="8">
        <f>B10*C10</f>
        <v>0</v>
      </c>
    </row>
    <row r="17" spans="1:7" x14ac:dyDescent="0.3">
      <c r="A17" t="s">
        <v>304</v>
      </c>
    </row>
    <row r="18" spans="1:7" x14ac:dyDescent="0.3">
      <c r="B18" t="s">
        <v>283</v>
      </c>
    </row>
    <row r="19" spans="1:7" x14ac:dyDescent="0.3">
      <c r="B19" t="s">
        <v>284</v>
      </c>
    </row>
    <row r="23" spans="1:7" x14ac:dyDescent="0.3">
      <c r="A23" s="11"/>
    </row>
    <row r="24" spans="1:7" x14ac:dyDescent="0.3">
      <c r="G24" s="36"/>
    </row>
    <row r="26" spans="1:7" x14ac:dyDescent="0.3">
      <c r="D26" s="1"/>
    </row>
    <row r="27" spans="1:7" x14ac:dyDescent="0.3">
      <c r="A27" s="220"/>
    </row>
    <row r="28" spans="1:7" x14ac:dyDescent="0.3">
      <c r="C28" s="1"/>
    </row>
    <row r="44" spans="1:4" ht="15" thickBot="1" x14ac:dyDescent="0.35">
      <c r="A44" s="207" t="s">
        <v>268</v>
      </c>
      <c r="B44" s="207"/>
      <c r="C44" s="207"/>
      <c r="D44" s="207"/>
    </row>
    <row r="45" spans="1:4" x14ac:dyDescent="0.3">
      <c r="A45" s="241" t="s">
        <v>269</v>
      </c>
      <c r="B45" s="210"/>
      <c r="C45" s="210"/>
      <c r="D45" s="211"/>
    </row>
    <row r="46" spans="1:4" x14ac:dyDescent="0.3">
      <c r="A46" s="190">
        <v>0.9</v>
      </c>
      <c r="B46" s="219" t="s">
        <v>270</v>
      </c>
      <c r="C46" s="207"/>
      <c r="D46" s="213"/>
    </row>
    <row r="47" spans="1:4" x14ac:dyDescent="0.3">
      <c r="A47" s="2"/>
      <c r="B47" s="242">
        <v>0.85</v>
      </c>
      <c r="C47" s="207" t="s">
        <v>272</v>
      </c>
      <c r="D47" s="213"/>
    </row>
    <row r="48" spans="1:4" x14ac:dyDescent="0.3">
      <c r="A48" s="2"/>
      <c r="C48" s="25">
        <v>0.95</v>
      </c>
      <c r="D48" s="243" t="s">
        <v>273</v>
      </c>
    </row>
    <row r="49" spans="1:5" x14ac:dyDescent="0.3">
      <c r="A49" s="2"/>
      <c r="C49" s="25">
        <v>0.05</v>
      </c>
      <c r="D49" s="244" t="s">
        <v>274</v>
      </c>
      <c r="E49" t="s">
        <v>281</v>
      </c>
    </row>
    <row r="50" spans="1:5" x14ac:dyDescent="0.3">
      <c r="A50" s="2"/>
      <c r="B50" s="25">
        <v>0.1</v>
      </c>
      <c r="C50" s="15" t="s">
        <v>275</v>
      </c>
      <c r="D50" s="5"/>
      <c r="E50" t="s">
        <v>280</v>
      </c>
    </row>
    <row r="51" spans="1:5" x14ac:dyDescent="0.3">
      <c r="A51" s="2"/>
      <c r="B51" s="25">
        <v>0.05</v>
      </c>
      <c r="C51" s="245" t="s">
        <v>276</v>
      </c>
      <c r="D51" s="5"/>
      <c r="E51" t="s">
        <v>282</v>
      </c>
    </row>
    <row r="52" spans="1:5" x14ac:dyDescent="0.3">
      <c r="A52" s="190">
        <v>0.1</v>
      </c>
      <c r="B52" s="15" t="s">
        <v>271</v>
      </c>
      <c r="D52" s="5"/>
    </row>
    <row r="53" spans="1:5" x14ac:dyDescent="0.3">
      <c r="A53" s="2"/>
      <c r="C53" t="s">
        <v>277</v>
      </c>
      <c r="D53" s="5"/>
    </row>
    <row r="54" spans="1:5" ht="15" thickBot="1" x14ac:dyDescent="0.35">
      <c r="A54" s="6"/>
      <c r="B54" s="7"/>
      <c r="C54" s="7" t="s">
        <v>278</v>
      </c>
      <c r="D54" s="8"/>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070CF-112E-4AEC-8335-16E1D2A141C2}">
  <dimension ref="A1:AG166"/>
  <sheetViews>
    <sheetView topLeftCell="A76" workbookViewId="0">
      <selection activeCell="B3" sqref="B3"/>
    </sheetView>
  </sheetViews>
  <sheetFormatPr baseColWidth="10" defaultColWidth="11.44140625" defaultRowHeight="14.4" x14ac:dyDescent="0.3"/>
  <cols>
    <col min="14" max="25" width="0" hidden="1" customWidth="1"/>
  </cols>
  <sheetData>
    <row r="1" spans="1:33" x14ac:dyDescent="0.3">
      <c r="B1" s="1" t="s">
        <v>37</v>
      </c>
      <c r="O1" s="1" t="s">
        <v>38</v>
      </c>
      <c r="AA1" t="s">
        <v>53</v>
      </c>
      <c r="AC1" t="s">
        <v>337</v>
      </c>
      <c r="AE1" t="s">
        <v>338</v>
      </c>
      <c r="AG1" t="s">
        <v>339</v>
      </c>
    </row>
    <row r="2" spans="1:33" x14ac:dyDescent="0.3">
      <c r="B2">
        <v>1</v>
      </c>
      <c r="C2">
        <v>2</v>
      </c>
      <c r="D2">
        <v>3</v>
      </c>
      <c r="E2">
        <v>4</v>
      </c>
      <c r="F2">
        <v>5</v>
      </c>
      <c r="G2">
        <v>6</v>
      </c>
      <c r="H2">
        <v>7</v>
      </c>
      <c r="I2">
        <v>8</v>
      </c>
      <c r="J2">
        <v>9</v>
      </c>
      <c r="K2">
        <v>10</v>
      </c>
      <c r="L2" t="s">
        <v>39</v>
      </c>
      <c r="O2">
        <v>1</v>
      </c>
      <c r="P2">
        <v>2</v>
      </c>
      <c r="Q2">
        <v>3</v>
      </c>
      <c r="R2">
        <v>4</v>
      </c>
      <c r="S2">
        <v>5</v>
      </c>
      <c r="T2">
        <v>6</v>
      </c>
      <c r="U2">
        <v>7</v>
      </c>
      <c r="V2">
        <v>8</v>
      </c>
      <c r="W2">
        <v>9</v>
      </c>
      <c r="X2">
        <v>10</v>
      </c>
      <c r="Y2" t="s">
        <v>39</v>
      </c>
    </row>
    <row r="3" spans="1:33" x14ac:dyDescent="0.3">
      <c r="B3">
        <f>SUM(B5:B83)/60</f>
        <v>8610.7328044003007</v>
      </c>
      <c r="C3">
        <f t="shared" ref="C3:K3" si="0">SUM(C5:C83)/60</f>
        <v>7587.9930148218064</v>
      </c>
      <c r="D3">
        <f t="shared" si="0"/>
        <v>6596.593651504264</v>
      </c>
      <c r="E3">
        <f t="shared" si="0"/>
        <v>5382.3222388442455</v>
      </c>
      <c r="F3">
        <f t="shared" si="0"/>
        <v>4697.4836188392801</v>
      </c>
      <c r="G3">
        <f t="shared" si="0"/>
        <v>4250.0459859961411</v>
      </c>
      <c r="H3">
        <f t="shared" si="0"/>
        <v>3878.1564147749818</v>
      </c>
      <c r="I3">
        <f t="shared" si="0"/>
        <v>3570.0965271108435</v>
      </c>
      <c r="J3">
        <f t="shared" si="0"/>
        <v>2636.2497724001519</v>
      </c>
      <c r="K3">
        <f t="shared" si="0"/>
        <v>2367.9176490853365</v>
      </c>
    </row>
    <row r="4" spans="1:33" x14ac:dyDescent="0.3">
      <c r="A4" t="s">
        <v>40</v>
      </c>
      <c r="B4" t="s">
        <v>41</v>
      </c>
      <c r="N4" t="s">
        <v>40</v>
      </c>
      <c r="O4" t="s">
        <v>41</v>
      </c>
    </row>
    <row r="5" spans="1:33" x14ac:dyDescent="0.3">
      <c r="A5">
        <v>2022</v>
      </c>
      <c r="B5">
        <f>IF($A5='Outil Cibles'!D$7,'Outil Cibles'!D$11*'Outil Cibles'!D$8,IF($A5=('Outil Cibles'!D$7+20),'Outil Cibles'!D$12*'Outil Cibles'!D$8,IF($A5=('Outil Cibles'!D$7+30),'Outil Cibles'!D$13*'Outil Cibles'!D$8,IF($A5=('Outil Cibles'!D$7+40),'Outil Cibles'!D$14*'Outil Cibles'!D$8,0))))</f>
        <v>0</v>
      </c>
      <c r="C5">
        <f>IF($A5='Outil Cibles'!E$7,'Outil Cibles'!E$11*'Outil Cibles'!E$8,IF($A5=('Outil Cibles'!E$7+20),'Outil Cibles'!E$12*'Outil Cibles'!E$8,IF($A5=('Outil Cibles'!E$7+30),'Outil Cibles'!E$13*'Outil Cibles'!E$8,IF($A5=('Outil Cibles'!E$7+40),'Outil Cibles'!E$14*'Outil Cibles'!E$8,0))))</f>
        <v>0</v>
      </c>
      <c r="D5">
        <f>IF($A5='Outil Cibles'!F$7,'Outil Cibles'!F$11*'Outil Cibles'!F$8,IF($A5=('Outil Cibles'!F$7+20),'Outil Cibles'!F$12*'Outil Cibles'!F$8,IF($A5=('Outil Cibles'!F$7+30),'Outil Cibles'!F$13*'Outil Cibles'!F$8,IF($A5=('Outil Cibles'!F$7+40),'Outil Cibles'!F$14*'Outil Cibles'!F$8,0))))</f>
        <v>0</v>
      </c>
      <c r="E5">
        <f>IF($A5='Outil Cibles'!G$7,'Outil Cibles'!G$11*'Outil Cibles'!G$8,IF($A5=('Outil Cibles'!G$7+20),'Outil Cibles'!G$12*'Outil Cibles'!G$8,IF($A5=('Outil Cibles'!G$7+30),'Outil Cibles'!G$13*'Outil Cibles'!G$8,IF($A5=('Outil Cibles'!G$7+40),'Outil Cibles'!G$14*'Outil Cibles'!G$8,0))))</f>
        <v>0</v>
      </c>
      <c r="F5">
        <f>IF($A5='Outil Cibles'!H$7,'Outil Cibles'!H$11*'Outil Cibles'!H$8,IF($A5=('Outil Cibles'!H$7+20),'Outil Cibles'!H$12*'Outil Cibles'!H$8,IF($A5=('Outil Cibles'!H$7+30),'Outil Cibles'!H$13*'Outil Cibles'!H$8,IF($A5=('Outil Cibles'!H$7+40),'Outil Cibles'!H$14*'Outil Cibles'!H$8,0))))</f>
        <v>0</v>
      </c>
      <c r="G5">
        <f>IF($A5='Outil Cibles'!I$7,'Outil Cibles'!I$11*'Outil Cibles'!I$8,IF($A5=('Outil Cibles'!I$7+20),'Outil Cibles'!I$12*'Outil Cibles'!I$8,IF($A5=('Outil Cibles'!I$7+30),'Outil Cibles'!I$13*'Outil Cibles'!I$8,IF($A5=('Outil Cibles'!I$7+40),'Outil Cibles'!I$14*'Outil Cibles'!I$8,0))))</f>
        <v>0</v>
      </c>
      <c r="H5">
        <f>IF($A5='Outil Cibles'!J$7,'Outil Cibles'!J$11*'Outil Cibles'!J$8,IF($A5=('Outil Cibles'!J$7+20),'Outil Cibles'!J$12*'Outil Cibles'!J$8,IF($A5=('Outil Cibles'!J$7+30),'Outil Cibles'!J$13*'Outil Cibles'!J$8,IF($A5=('Outil Cibles'!J$7+40),'Outil Cibles'!J$14*'Outil Cibles'!J$8,0))))</f>
        <v>0</v>
      </c>
      <c r="I5">
        <f>IF($A5='Outil Cibles'!K$7,'Outil Cibles'!K$11*'Outil Cibles'!K$8,IF($A5=('Outil Cibles'!K$7+20),'Outil Cibles'!K$12*'Outil Cibles'!K$8,IF($A5=('Outil Cibles'!K$7+30),'Outil Cibles'!K$13*'Outil Cibles'!K$8,IF($A5=('Outil Cibles'!K$7+40),'Outil Cibles'!K$14*'Outil Cibles'!K$8,0))))</f>
        <v>0</v>
      </c>
      <c r="J5">
        <f>IF($A5='Outil Cibles'!L$7,'Outil Cibles'!L$11*'Outil Cibles'!L$8,IF($A5=('Outil Cibles'!L$7+20),'Outil Cibles'!L$12*'Outil Cibles'!L$8,IF($A5=('Outil Cibles'!L$7+30),'Outil Cibles'!L$13*'Outil Cibles'!L$8,IF($A5=('Outil Cibles'!L$7+40),'Outil Cibles'!L$14*'Outil Cibles'!L$8,0))))</f>
        <v>0</v>
      </c>
      <c r="K5">
        <f>IF($A5='Outil Cibles'!M$7,'Outil Cibles'!M$11*'Outil Cibles'!M$8,IF($A5=('Outil Cibles'!M$7+20),'Outil Cibles'!M$12*'Outil Cibles'!M$8,IF($A5=('Outil Cibles'!M$7+30),'Outil Cibles'!M$13*'Outil Cibles'!M$8,IF($A5=('Outil Cibles'!M$7+40),'Outil Cibles'!M$14*'Outil Cibles'!M$8,0))))</f>
        <v>0</v>
      </c>
      <c r="L5">
        <f>SUM(B5:K5)</f>
        <v>0</v>
      </c>
      <c r="N5">
        <v>2022</v>
      </c>
      <c r="O5">
        <f>IF(N5='Outil Cibles'!$Q$7, 'Outil Cibles'!$Q$18, 0)</f>
        <v>0</v>
      </c>
      <c r="P5">
        <f>IF(N5='Outil Cibles'!$R$7, 'Outil Cibles'!$R$18, 0)</f>
        <v>0</v>
      </c>
      <c r="Q5">
        <f>IF(N5='Outil Cibles'!$S$7, 'Outil Cibles'!$S$18, 0)</f>
        <v>0</v>
      </c>
      <c r="R5">
        <f>IF(N5='Outil Cibles'!$T$7, 'Outil Cibles'!$T$18, 0)</f>
        <v>0</v>
      </c>
      <c r="S5">
        <f>IF(N5='Outil Cibles'!$U$7, 'Outil Cibles'!$U$18, 0)</f>
        <v>0</v>
      </c>
      <c r="T5">
        <f>IF(N5='Outil Cibles'!$V$7, 'Outil Cibles'!$V$18, 0)</f>
        <v>0</v>
      </c>
      <c r="U5">
        <f>IF(N5='Outil Cibles'!$W$7, 'Outil Cibles'!$W$18, 0)</f>
        <v>0</v>
      </c>
      <c r="V5">
        <f>IF(N5='Outil Cibles'!$X$7, 'Outil Cibles'!$X$18, 0)</f>
        <v>0</v>
      </c>
      <c r="W5">
        <f>IF(N5='Outil Cibles'!$Y$7, 'Outil Cibles'!$Y$18, 0)</f>
        <v>0</v>
      </c>
      <c r="X5">
        <f>IF(N5='Outil Cibles'!$Z$7, 'Outil Cibles'!$Z$18, 0)</f>
        <v>0</v>
      </c>
      <c r="Y5">
        <f>SUM(O5:X5)</f>
        <v>0</v>
      </c>
      <c r="AA5">
        <f>IF($A5='Outil Cibles'!D$7,'Outil Cibles'!D$11*'Outil Cibles'!D$8,0)</f>
        <v>0</v>
      </c>
      <c r="AC5">
        <f>IF($A5=('Outil Cibles'!D$7+20),'Outil Cibles'!D$12*'Outil Cibles'!D$8,0)</f>
        <v>0</v>
      </c>
      <c r="AE5">
        <f>IF($A5=('Outil Cibles'!D$7+30),'Outil Cibles'!D$13*'Outil Cibles'!D$8,0)</f>
        <v>0</v>
      </c>
      <c r="AG5">
        <f>IF($A5=('Outil Cibles'!D$7+40),'Outil Cibles'!D$14*'Outil Cibles'!D$8,0)</f>
        <v>0</v>
      </c>
    </row>
    <row r="6" spans="1:33" x14ac:dyDescent="0.3">
      <c r="A6">
        <v>2023</v>
      </c>
      <c r="B6">
        <f>IF($A6='Outil Cibles'!D$7,'Outil Cibles'!D$11*'Outil Cibles'!D$8,IF($A6=('Outil Cibles'!D$7+20),'Outil Cibles'!D$12*'Outil Cibles'!D$8,IF($A6=('Outil Cibles'!D$7+30),'Outil Cibles'!D$13*'Outil Cibles'!D$8,IF($A6=('Outil Cibles'!D$7+40),'Outil Cibles'!D$14*'Outil Cibles'!D$8,0))))</f>
        <v>0</v>
      </c>
      <c r="C6">
        <f>IF($A6='Outil Cibles'!E$7,'Outil Cibles'!E$11*'Outil Cibles'!E$8,IF($A6=('Outil Cibles'!E$7+20),'Outil Cibles'!E$12*'Outil Cibles'!E$8,IF($A6=('Outil Cibles'!E$7+30),'Outil Cibles'!E$13*'Outil Cibles'!E$8,IF($A6=('Outil Cibles'!E$7+40),'Outil Cibles'!E$14*'Outil Cibles'!E$8,0))))</f>
        <v>0</v>
      </c>
      <c r="D6">
        <f>IF($A6='Outil Cibles'!F$7,'Outil Cibles'!F$11*'Outil Cibles'!F$8,IF($A6=('Outil Cibles'!F$7+20),'Outil Cibles'!F$12*'Outil Cibles'!F$8,IF($A6=('Outil Cibles'!F$7+30),'Outil Cibles'!F$13*'Outil Cibles'!F$8,IF($A6=('Outil Cibles'!F$7+40),'Outil Cibles'!F$14*'Outil Cibles'!F$8,0))))</f>
        <v>0</v>
      </c>
      <c r="E6">
        <f>IF($A6='Outil Cibles'!G$7,'Outil Cibles'!G$11*'Outil Cibles'!G$8,IF($A6=('Outil Cibles'!G$7+20),'Outil Cibles'!G$12*'Outil Cibles'!G$8,IF($A6=('Outil Cibles'!G$7+30),'Outil Cibles'!G$13*'Outil Cibles'!G$8,IF($A6=('Outil Cibles'!G$7+40),'Outil Cibles'!G$14*'Outil Cibles'!G$8,0))))</f>
        <v>0</v>
      </c>
      <c r="F6">
        <f>IF($A6='Outil Cibles'!H$7,'Outil Cibles'!H$11*'Outil Cibles'!H$8,IF($A6=('Outil Cibles'!H$7+20),'Outil Cibles'!H$12*'Outil Cibles'!H$8,IF($A6=('Outil Cibles'!H$7+30),'Outil Cibles'!H$13*'Outil Cibles'!H$8,IF($A6=('Outil Cibles'!H$7+40),'Outil Cibles'!H$14*'Outil Cibles'!H$8,0))))</f>
        <v>0</v>
      </c>
      <c r="G6">
        <f>IF($A6='Outil Cibles'!I$7,'Outil Cibles'!I$11*'Outil Cibles'!I$8,IF($A6=('Outil Cibles'!I$7+20),'Outil Cibles'!I$12*'Outil Cibles'!I$8,IF($A6=('Outil Cibles'!I$7+30),'Outil Cibles'!I$13*'Outil Cibles'!I$8,IF($A6=('Outil Cibles'!I$7+40),'Outil Cibles'!I$14*'Outil Cibles'!I$8,0))))</f>
        <v>0</v>
      </c>
      <c r="H6">
        <f>IF($A6='Outil Cibles'!J$7,'Outil Cibles'!J$11*'Outil Cibles'!J$8,IF($A6=('Outil Cibles'!J$7+20),'Outil Cibles'!J$12*'Outil Cibles'!J$8,IF($A6=('Outil Cibles'!J$7+30),'Outil Cibles'!J$13*'Outil Cibles'!J$8,IF($A6=('Outil Cibles'!J$7+40),'Outil Cibles'!J$14*'Outil Cibles'!J$8,0))))</f>
        <v>0</v>
      </c>
      <c r="I6">
        <f>IF($A6='Outil Cibles'!K$7,'Outil Cibles'!K$11*'Outil Cibles'!K$8,IF($A6=('Outil Cibles'!K$7+20),'Outil Cibles'!K$12*'Outil Cibles'!K$8,IF($A6=('Outil Cibles'!K$7+30),'Outil Cibles'!K$13*'Outil Cibles'!K$8,IF($A6=('Outil Cibles'!K$7+40),'Outil Cibles'!K$14*'Outil Cibles'!K$8,0))))</f>
        <v>0</v>
      </c>
      <c r="J6">
        <f>IF($A6='Outil Cibles'!L$7,'Outil Cibles'!L$11*'Outil Cibles'!L$8,IF($A6=('Outil Cibles'!L$7+20),'Outil Cibles'!L$12*'Outil Cibles'!L$8,IF($A6=('Outil Cibles'!L$7+30),'Outil Cibles'!L$13*'Outil Cibles'!L$8,IF($A6=('Outil Cibles'!L$7+40),'Outil Cibles'!L$14*'Outil Cibles'!L$8,0))))</f>
        <v>0</v>
      </c>
      <c r="K6">
        <f>IF($A6='Outil Cibles'!M$7,'Outil Cibles'!M$11*'Outil Cibles'!M$8,IF($A6=('Outil Cibles'!M$7+20),'Outil Cibles'!M$12*'Outil Cibles'!M$8,IF($A6=('Outil Cibles'!M$7+30),'Outil Cibles'!M$13*'Outil Cibles'!M$8,IF($A6=('Outil Cibles'!M$7+40),'Outil Cibles'!M$14*'Outil Cibles'!M$8,0))))</f>
        <v>0</v>
      </c>
      <c r="L6">
        <f t="shared" ref="L6:L69" si="1">SUM(B6:K6)</f>
        <v>0</v>
      </c>
      <c r="N6">
        <v>2023</v>
      </c>
      <c r="O6">
        <f>IF(N6='Outil Cibles'!$Q$7, 'Outil Cibles'!$Q$18, 0)</f>
        <v>0</v>
      </c>
      <c r="P6">
        <f>IF(N6='Outil Cibles'!$R$7, 'Outil Cibles'!$R$18, 0)</f>
        <v>0</v>
      </c>
      <c r="Q6">
        <f>IF(N6='Outil Cibles'!$S$7, 'Outil Cibles'!$S$18, 0)</f>
        <v>0</v>
      </c>
      <c r="R6">
        <f>IF(N6='Outil Cibles'!$T$7, 'Outil Cibles'!$T$18, 0)</f>
        <v>0</v>
      </c>
      <c r="S6">
        <f>IF(N6='Outil Cibles'!$U$7, 'Outil Cibles'!$U$18, 0)</f>
        <v>0</v>
      </c>
      <c r="T6">
        <f>IF(N6='Outil Cibles'!$V$7, 'Outil Cibles'!$V$18, 0)</f>
        <v>0</v>
      </c>
      <c r="U6">
        <f>IF(N6='Outil Cibles'!$W$7, 'Outil Cibles'!$W$18, 0)</f>
        <v>0</v>
      </c>
      <c r="V6">
        <f>IF(N6='Outil Cibles'!$X$7, 'Outil Cibles'!$X$18, 0)</f>
        <v>0</v>
      </c>
      <c r="W6">
        <f>IF(N6='Outil Cibles'!$Y$7, 'Outil Cibles'!$Y$18, 0)</f>
        <v>0</v>
      </c>
      <c r="X6">
        <f>IF(N6='Outil Cibles'!$Z$7, 'Outil Cibles'!$Z$18, 0)</f>
        <v>0</v>
      </c>
      <c r="Y6">
        <f t="shared" ref="Y6:Y69" si="2">SUM(O6:X6)</f>
        <v>0</v>
      </c>
      <c r="AA6">
        <f>IF($A6='Outil Cibles'!D$7,'Outil Cibles'!D$11*'Outil Cibles'!D$8,0)</f>
        <v>0</v>
      </c>
      <c r="AC6">
        <f>IF($A6=('Outil Cibles'!D$7+20),'Outil Cibles'!D$12*'Outil Cibles'!D$8,0)</f>
        <v>0</v>
      </c>
      <c r="AE6">
        <f>IF($A6=('Outil Cibles'!D$7+30),'Outil Cibles'!D$13*'Outil Cibles'!D$8,0)</f>
        <v>0</v>
      </c>
      <c r="AG6">
        <f>IF($A6=('Outil Cibles'!D$7+40),'Outil Cibles'!D$14*'Outil Cibles'!D$8,0)</f>
        <v>0</v>
      </c>
    </row>
    <row r="7" spans="1:33" x14ac:dyDescent="0.3">
      <c r="A7">
        <v>2024</v>
      </c>
      <c r="B7">
        <f>IF($A7='Outil Cibles'!D$7,'Outil Cibles'!D$11*'Outil Cibles'!D$8,IF($A7=('Outil Cibles'!D$7+20),'Outil Cibles'!D$12*'Outil Cibles'!D$8,IF($A7=('Outil Cibles'!D$7+30),'Outil Cibles'!D$13*'Outil Cibles'!D$8,IF($A7=('Outil Cibles'!D$7+40),'Outil Cibles'!D$14*'Outil Cibles'!D$8,0))))</f>
        <v>478962.11255367054</v>
      </c>
      <c r="C7">
        <f>IF($A7='Outil Cibles'!E$7,'Outil Cibles'!E$11*'Outil Cibles'!E$8,IF($A7=('Outil Cibles'!E$7+20),'Outil Cibles'!E$12*'Outil Cibles'!E$8,IF($A7=('Outil Cibles'!E$7+30),'Outil Cibles'!E$13*'Outil Cibles'!E$8,IF($A7=('Outil Cibles'!E$7+40),'Outil Cibles'!E$14*'Outil Cibles'!E$8,0))))</f>
        <v>0</v>
      </c>
      <c r="D7">
        <f>IF($A7='Outil Cibles'!F$7,'Outil Cibles'!F$11*'Outil Cibles'!F$8,IF($A7=('Outil Cibles'!F$7+20),'Outil Cibles'!F$12*'Outil Cibles'!F$8,IF($A7=('Outil Cibles'!F$7+30),'Outil Cibles'!F$13*'Outil Cibles'!F$8,IF($A7=('Outil Cibles'!F$7+40),'Outil Cibles'!F$14*'Outil Cibles'!F$8,0))))</f>
        <v>0</v>
      </c>
      <c r="E7">
        <f>IF($A7='Outil Cibles'!G$7,'Outil Cibles'!G$11*'Outil Cibles'!G$8,IF($A7=('Outil Cibles'!G$7+20),'Outil Cibles'!G$12*'Outil Cibles'!G$8,IF($A7=('Outil Cibles'!G$7+30),'Outil Cibles'!G$13*'Outil Cibles'!G$8,IF($A7=('Outil Cibles'!G$7+40),'Outil Cibles'!G$14*'Outil Cibles'!G$8,0))))</f>
        <v>0</v>
      </c>
      <c r="F7">
        <f>IF($A7='Outil Cibles'!H$7,'Outil Cibles'!H$11*'Outil Cibles'!H$8,IF($A7=('Outil Cibles'!H$7+20),'Outil Cibles'!H$12*'Outil Cibles'!H$8,IF($A7=('Outil Cibles'!H$7+30),'Outil Cibles'!H$13*'Outil Cibles'!H$8,IF($A7=('Outil Cibles'!H$7+40),'Outil Cibles'!H$14*'Outil Cibles'!H$8,0))))</f>
        <v>0</v>
      </c>
      <c r="G7">
        <f>IF($A7='Outil Cibles'!I$7,'Outil Cibles'!I$11*'Outil Cibles'!I$8,IF($A7=('Outil Cibles'!I$7+20),'Outil Cibles'!I$12*'Outil Cibles'!I$8,IF($A7=('Outil Cibles'!I$7+30),'Outil Cibles'!I$13*'Outil Cibles'!I$8,IF($A7=('Outil Cibles'!I$7+40),'Outil Cibles'!I$14*'Outil Cibles'!I$8,0))))</f>
        <v>0</v>
      </c>
      <c r="H7">
        <f>IF($A7='Outil Cibles'!J$7,'Outil Cibles'!J$11*'Outil Cibles'!J$8,IF($A7=('Outil Cibles'!J$7+20),'Outil Cibles'!J$12*'Outil Cibles'!J$8,IF($A7=('Outil Cibles'!J$7+30),'Outil Cibles'!J$13*'Outil Cibles'!J$8,IF($A7=('Outil Cibles'!J$7+40),'Outil Cibles'!J$14*'Outil Cibles'!J$8,0))))</f>
        <v>0</v>
      </c>
      <c r="I7">
        <f>IF($A7='Outil Cibles'!K$7,'Outil Cibles'!K$11*'Outil Cibles'!K$8,IF($A7=('Outil Cibles'!K$7+20),'Outil Cibles'!K$12*'Outil Cibles'!K$8,IF($A7=('Outil Cibles'!K$7+30),'Outil Cibles'!K$13*'Outil Cibles'!K$8,IF($A7=('Outil Cibles'!K$7+40),'Outil Cibles'!K$14*'Outil Cibles'!K$8,0))))</f>
        <v>0</v>
      </c>
      <c r="J7">
        <f>IF($A7='Outil Cibles'!L$7,'Outil Cibles'!L$11*'Outil Cibles'!L$8,IF($A7=('Outil Cibles'!L$7+20),'Outil Cibles'!L$12*'Outil Cibles'!L$8,IF($A7=('Outil Cibles'!L$7+30),'Outil Cibles'!L$13*'Outil Cibles'!L$8,IF($A7=('Outil Cibles'!L$7+40),'Outil Cibles'!L$14*'Outil Cibles'!L$8,0))))</f>
        <v>0</v>
      </c>
      <c r="K7">
        <f>IF($A7='Outil Cibles'!M$7,'Outil Cibles'!M$11*'Outil Cibles'!M$8,IF($A7=('Outil Cibles'!M$7+20),'Outil Cibles'!M$12*'Outil Cibles'!M$8,IF($A7=('Outil Cibles'!M$7+30),'Outil Cibles'!M$13*'Outil Cibles'!M$8,IF($A7=('Outil Cibles'!M$7+40),'Outil Cibles'!M$14*'Outil Cibles'!M$8,0))))</f>
        <v>0</v>
      </c>
      <c r="L7">
        <f t="shared" si="1"/>
        <v>478962.11255367054</v>
      </c>
      <c r="N7">
        <v>2024</v>
      </c>
      <c r="O7">
        <f>IF(N7='Outil Cibles'!$Q$7, 'Outil Cibles'!$Q$18, 0)</f>
        <v>553255.84200133197</v>
      </c>
      <c r="P7">
        <f>IF(N7='Outil Cibles'!$R$7, 'Outil Cibles'!$R$18, 0)</f>
        <v>0</v>
      </c>
      <c r="Q7">
        <f>IF(N7='Outil Cibles'!$S$7, 'Outil Cibles'!$S$18, 0)</f>
        <v>0</v>
      </c>
      <c r="R7">
        <f>IF(N7='Outil Cibles'!$T$7, 'Outil Cibles'!$T$18, 0)</f>
        <v>0</v>
      </c>
      <c r="S7">
        <f>IF(N7='Outil Cibles'!$U$7, 'Outil Cibles'!$U$18, 0)</f>
        <v>0</v>
      </c>
      <c r="T7">
        <f>IF(N7='Outil Cibles'!$V$7, 'Outil Cibles'!$V$18, 0)</f>
        <v>0</v>
      </c>
      <c r="U7">
        <f>IF(N7='Outil Cibles'!$W$7, 'Outil Cibles'!$W$18, 0)</f>
        <v>0</v>
      </c>
      <c r="V7">
        <f>IF(N7='Outil Cibles'!$X$7, 'Outil Cibles'!$X$18, 0)</f>
        <v>0</v>
      </c>
      <c r="W7">
        <f>IF(N7='Outil Cibles'!$Y$7, 'Outil Cibles'!$Y$18, 0)</f>
        <v>0</v>
      </c>
      <c r="X7">
        <f>IF(N7='Outil Cibles'!$Z$7, 'Outil Cibles'!$Z$18, 0)</f>
        <v>0</v>
      </c>
      <c r="Y7">
        <f t="shared" si="2"/>
        <v>553255.84200133197</v>
      </c>
      <c r="AA7">
        <f>IF($A7='Outil Cibles'!D$7,'Outil Cibles'!D$11*'Outil Cibles'!D$8,0)</f>
        <v>478962.11255367054</v>
      </c>
      <c r="AC7">
        <f>IF($A7=('Outil Cibles'!D$7+20),'Outil Cibles'!D$12*'Outil Cibles'!D$8,0)</f>
        <v>0</v>
      </c>
      <c r="AE7">
        <f>IF($A7=('Outil Cibles'!D$7+30),'Outil Cibles'!D$13*'Outil Cibles'!D$8,0)</f>
        <v>0</v>
      </c>
      <c r="AG7">
        <f>IF($A7=('Outil Cibles'!D$7+40),'Outil Cibles'!D$14*'Outil Cibles'!D$8,0)</f>
        <v>0</v>
      </c>
    </row>
    <row r="8" spans="1:33" x14ac:dyDescent="0.3">
      <c r="A8" s="10">
        <v>2025</v>
      </c>
      <c r="B8">
        <f>IF($A8='Outil Cibles'!D$7,'Outil Cibles'!D$11*'Outil Cibles'!D$8,IF($A8=('Outil Cibles'!D$7+20),'Outil Cibles'!D$12*'Outil Cibles'!D$8,IF($A8=('Outil Cibles'!D$7+30),'Outil Cibles'!D$13*'Outil Cibles'!D$8,IF($A8=('Outil Cibles'!D$7+40),'Outil Cibles'!D$14*'Outil Cibles'!D$8,0))))</f>
        <v>0</v>
      </c>
      <c r="C8">
        <f>IF($A8='Outil Cibles'!E$7,'Outil Cibles'!E$11*'Outil Cibles'!E$8,IF($A8=('Outil Cibles'!E$7+20),'Outil Cibles'!E$12*'Outil Cibles'!E$8,IF($A8=('Outil Cibles'!E$7+30),'Outil Cibles'!E$13*'Outil Cibles'!E$8,IF($A8=('Outil Cibles'!E$7+40),'Outil Cibles'!E$14*'Outil Cibles'!E$8,0))))</f>
        <v>0</v>
      </c>
      <c r="D8">
        <f>IF($A8='Outil Cibles'!F$7,'Outil Cibles'!F$11*'Outil Cibles'!F$8,IF($A8=('Outil Cibles'!F$7+20),'Outil Cibles'!F$12*'Outil Cibles'!F$8,IF($A8=('Outil Cibles'!F$7+30),'Outil Cibles'!F$13*'Outil Cibles'!F$8,IF($A8=('Outil Cibles'!F$7+40),'Outil Cibles'!F$14*'Outil Cibles'!F$8,0))))</f>
        <v>0</v>
      </c>
      <c r="E8">
        <f>IF($A8='Outil Cibles'!G$7,'Outil Cibles'!G$11*'Outil Cibles'!G$8,IF($A8=('Outil Cibles'!G$7+20),'Outil Cibles'!G$12*'Outil Cibles'!G$8,IF($A8=('Outil Cibles'!G$7+30),'Outil Cibles'!G$13*'Outil Cibles'!G$8,IF($A8=('Outil Cibles'!G$7+40),'Outil Cibles'!G$14*'Outil Cibles'!G$8,0))))</f>
        <v>0</v>
      </c>
      <c r="F8">
        <f>IF($A8='Outil Cibles'!H$7,'Outil Cibles'!H$11*'Outil Cibles'!H$8,IF($A8=('Outil Cibles'!H$7+20),'Outil Cibles'!H$12*'Outil Cibles'!H$8,IF($A8=('Outil Cibles'!H$7+30),'Outil Cibles'!H$13*'Outil Cibles'!H$8,IF($A8=('Outil Cibles'!H$7+40),'Outil Cibles'!H$14*'Outil Cibles'!H$8,0))))</f>
        <v>0</v>
      </c>
      <c r="G8">
        <f>IF($A8='Outil Cibles'!I$7,'Outil Cibles'!I$11*'Outil Cibles'!I$8,IF($A8=('Outil Cibles'!I$7+20),'Outil Cibles'!I$12*'Outil Cibles'!I$8,IF($A8=('Outil Cibles'!I$7+30),'Outil Cibles'!I$13*'Outil Cibles'!I$8,IF($A8=('Outil Cibles'!I$7+40),'Outil Cibles'!I$14*'Outil Cibles'!I$8,0))))</f>
        <v>0</v>
      </c>
      <c r="H8">
        <f>IF($A8='Outil Cibles'!J$7,'Outil Cibles'!J$11*'Outil Cibles'!J$8,IF($A8=('Outil Cibles'!J$7+20),'Outil Cibles'!J$12*'Outil Cibles'!J$8,IF($A8=('Outil Cibles'!J$7+30),'Outil Cibles'!J$13*'Outil Cibles'!J$8,IF($A8=('Outil Cibles'!J$7+40),'Outil Cibles'!J$14*'Outil Cibles'!J$8,0))))</f>
        <v>0</v>
      </c>
      <c r="I8">
        <f>IF($A8='Outil Cibles'!K$7,'Outil Cibles'!K$11*'Outil Cibles'!K$8,IF($A8=('Outil Cibles'!K$7+20),'Outil Cibles'!K$12*'Outil Cibles'!K$8,IF($A8=('Outil Cibles'!K$7+30),'Outil Cibles'!K$13*'Outil Cibles'!K$8,IF($A8=('Outil Cibles'!K$7+40),'Outil Cibles'!K$14*'Outil Cibles'!K$8,0))))</f>
        <v>0</v>
      </c>
      <c r="J8">
        <f>IF($A8='Outil Cibles'!L$7,'Outil Cibles'!L$11*'Outil Cibles'!L$8,IF($A8=('Outil Cibles'!L$7+20),'Outil Cibles'!L$12*'Outil Cibles'!L$8,IF($A8=('Outil Cibles'!L$7+30),'Outil Cibles'!L$13*'Outil Cibles'!L$8,IF($A8=('Outil Cibles'!L$7+40),'Outil Cibles'!L$14*'Outil Cibles'!L$8,0))))</f>
        <v>0</v>
      </c>
      <c r="K8">
        <f>IF($A8='Outil Cibles'!M$7,'Outil Cibles'!M$11*'Outil Cibles'!M$8,IF($A8=('Outil Cibles'!M$7+20),'Outil Cibles'!M$12*'Outil Cibles'!M$8,IF($A8=('Outil Cibles'!M$7+30),'Outil Cibles'!M$13*'Outil Cibles'!M$8,IF($A8=('Outil Cibles'!M$7+40),'Outil Cibles'!M$14*'Outil Cibles'!M$8,0))))</f>
        <v>0</v>
      </c>
      <c r="L8">
        <f t="shared" si="1"/>
        <v>0</v>
      </c>
      <c r="N8" s="10">
        <v>2025</v>
      </c>
      <c r="O8">
        <f>IF(N8='Outil Cibles'!$Q$7, 'Outil Cibles'!$Q$18, 0)</f>
        <v>0</v>
      </c>
      <c r="P8">
        <f>IF(N8='Outil Cibles'!$R$7, 'Outil Cibles'!$R$18, 0)</f>
        <v>0</v>
      </c>
      <c r="Q8">
        <f>IF(N8='Outil Cibles'!$S$7, 'Outil Cibles'!$S$18, 0)</f>
        <v>0</v>
      </c>
      <c r="R8">
        <f>IF(N8='Outil Cibles'!$T$7, 'Outil Cibles'!$T$18, 0)</f>
        <v>0</v>
      </c>
      <c r="S8">
        <f>IF(N8='Outil Cibles'!$U$7, 'Outil Cibles'!$U$18, 0)</f>
        <v>0</v>
      </c>
      <c r="T8">
        <f>IF(N8='Outil Cibles'!$V$7, 'Outil Cibles'!$V$18, 0)</f>
        <v>0</v>
      </c>
      <c r="U8">
        <f>IF(N8='Outil Cibles'!$W$7, 'Outil Cibles'!$W$18, 0)</f>
        <v>0</v>
      </c>
      <c r="V8">
        <f>IF(N8='Outil Cibles'!$X$7, 'Outil Cibles'!$X$18, 0)</f>
        <v>0</v>
      </c>
      <c r="W8">
        <f>IF(N8='Outil Cibles'!$Y$7, 'Outil Cibles'!$Y$18, 0)</f>
        <v>0</v>
      </c>
      <c r="X8">
        <f>IF(N8='Outil Cibles'!$Z$7, 'Outil Cibles'!$Z$18, 0)</f>
        <v>0</v>
      </c>
      <c r="Y8">
        <f t="shared" si="2"/>
        <v>0</v>
      </c>
      <c r="AA8">
        <f>IF($A8='Outil Cibles'!D$7,'Outil Cibles'!D$11*'Outil Cibles'!D$8,0)</f>
        <v>0</v>
      </c>
      <c r="AC8">
        <f>IF($A8=('Outil Cibles'!D$7+20),'Outil Cibles'!D$12*'Outil Cibles'!D$8,0)</f>
        <v>0</v>
      </c>
      <c r="AE8">
        <f>IF($A8=('Outil Cibles'!D$7+30),'Outil Cibles'!D$13*'Outil Cibles'!D$8,0)</f>
        <v>0</v>
      </c>
      <c r="AG8">
        <f>IF($A8=('Outil Cibles'!D$7+40),'Outil Cibles'!D$14*'Outil Cibles'!D$8,0)</f>
        <v>0</v>
      </c>
    </row>
    <row r="9" spans="1:33" x14ac:dyDescent="0.3">
      <c r="A9">
        <v>2026</v>
      </c>
      <c r="B9">
        <f>IF($A9='Outil Cibles'!D$7,'Outil Cibles'!D$11*'Outil Cibles'!D$8,IF($A9=('Outil Cibles'!D$7+20),'Outil Cibles'!D$12*'Outil Cibles'!D$8,IF($A9=('Outil Cibles'!D$7+30),'Outil Cibles'!D$13*'Outil Cibles'!D$8,IF($A9=('Outil Cibles'!D$7+40),'Outil Cibles'!D$14*'Outil Cibles'!D$8,0))))</f>
        <v>0</v>
      </c>
      <c r="C9">
        <f>IF($A9='Outil Cibles'!E$7,'Outil Cibles'!E$11*'Outil Cibles'!E$8,IF($A9=('Outil Cibles'!E$7+20),'Outil Cibles'!E$12*'Outil Cibles'!E$8,IF($A9=('Outil Cibles'!E$7+30),'Outil Cibles'!E$13*'Outil Cibles'!E$8,IF($A9=('Outil Cibles'!E$7+40),'Outil Cibles'!E$14*'Outil Cibles'!E$8,0))))</f>
        <v>423488.90835140692</v>
      </c>
      <c r="D9">
        <f>IF($A9='Outil Cibles'!F$7,'Outil Cibles'!F$11*'Outil Cibles'!F$8,IF($A9=('Outil Cibles'!F$7+20),'Outil Cibles'!F$12*'Outil Cibles'!F$8,IF($A9=('Outil Cibles'!F$7+30),'Outil Cibles'!F$13*'Outil Cibles'!F$8,IF($A9=('Outil Cibles'!F$7+40),'Outil Cibles'!F$14*'Outil Cibles'!F$8,0))))</f>
        <v>0</v>
      </c>
      <c r="E9">
        <f>IF($A9='Outil Cibles'!G$7,'Outil Cibles'!G$11*'Outil Cibles'!G$8,IF($A9=('Outil Cibles'!G$7+20),'Outil Cibles'!G$12*'Outil Cibles'!G$8,IF($A9=('Outil Cibles'!G$7+30),'Outil Cibles'!G$13*'Outil Cibles'!G$8,IF($A9=('Outil Cibles'!G$7+40),'Outil Cibles'!G$14*'Outil Cibles'!G$8,0))))</f>
        <v>0</v>
      </c>
      <c r="F9">
        <f>IF($A9='Outil Cibles'!H$7,'Outil Cibles'!H$11*'Outil Cibles'!H$8,IF($A9=('Outil Cibles'!H$7+20),'Outil Cibles'!H$12*'Outil Cibles'!H$8,IF($A9=('Outil Cibles'!H$7+30),'Outil Cibles'!H$13*'Outil Cibles'!H$8,IF($A9=('Outil Cibles'!H$7+40),'Outil Cibles'!H$14*'Outil Cibles'!H$8,0))))</f>
        <v>0</v>
      </c>
      <c r="G9">
        <f>IF($A9='Outil Cibles'!I$7,'Outil Cibles'!I$11*'Outil Cibles'!I$8,IF($A9=('Outil Cibles'!I$7+20),'Outil Cibles'!I$12*'Outil Cibles'!I$8,IF($A9=('Outil Cibles'!I$7+30),'Outil Cibles'!I$13*'Outil Cibles'!I$8,IF($A9=('Outil Cibles'!I$7+40),'Outil Cibles'!I$14*'Outil Cibles'!I$8,0))))</f>
        <v>0</v>
      </c>
      <c r="H9">
        <f>IF($A9='Outil Cibles'!J$7,'Outil Cibles'!J$11*'Outil Cibles'!J$8,IF($A9=('Outil Cibles'!J$7+20),'Outil Cibles'!J$12*'Outil Cibles'!J$8,IF($A9=('Outil Cibles'!J$7+30),'Outil Cibles'!J$13*'Outil Cibles'!J$8,IF($A9=('Outil Cibles'!J$7+40),'Outil Cibles'!J$14*'Outil Cibles'!J$8,0))))</f>
        <v>0</v>
      </c>
      <c r="I9">
        <f>IF($A9='Outil Cibles'!K$7,'Outil Cibles'!K$11*'Outil Cibles'!K$8,IF($A9=('Outil Cibles'!K$7+20),'Outil Cibles'!K$12*'Outil Cibles'!K$8,IF($A9=('Outil Cibles'!K$7+30),'Outil Cibles'!K$13*'Outil Cibles'!K$8,IF($A9=('Outil Cibles'!K$7+40),'Outil Cibles'!K$14*'Outil Cibles'!K$8,0))))</f>
        <v>0</v>
      </c>
      <c r="J9">
        <f>IF($A9='Outil Cibles'!L$7,'Outil Cibles'!L$11*'Outil Cibles'!L$8,IF($A9=('Outil Cibles'!L$7+20),'Outil Cibles'!L$12*'Outil Cibles'!L$8,IF($A9=('Outil Cibles'!L$7+30),'Outil Cibles'!L$13*'Outil Cibles'!L$8,IF($A9=('Outil Cibles'!L$7+40),'Outil Cibles'!L$14*'Outil Cibles'!L$8,0))))</f>
        <v>0</v>
      </c>
      <c r="K9">
        <f>IF($A9='Outil Cibles'!M$7,'Outil Cibles'!M$11*'Outil Cibles'!M$8,IF($A9=('Outil Cibles'!M$7+20),'Outil Cibles'!M$12*'Outil Cibles'!M$8,IF($A9=('Outil Cibles'!M$7+30),'Outil Cibles'!M$13*'Outil Cibles'!M$8,IF($A9=('Outil Cibles'!M$7+40),'Outil Cibles'!M$14*'Outil Cibles'!M$8,0))))</f>
        <v>0</v>
      </c>
      <c r="L9">
        <f t="shared" si="1"/>
        <v>423488.90835140692</v>
      </c>
      <c r="N9">
        <v>2026</v>
      </c>
      <c r="O9">
        <f>IF(N9='Outil Cibles'!$Q$7, 'Outil Cibles'!$Q$18, 0)</f>
        <v>0</v>
      </c>
      <c r="P9">
        <f>IF(N9='Outil Cibles'!$R$7, 'Outil Cibles'!$R$18, 0)</f>
        <v>473573.16146959213</v>
      </c>
      <c r="Q9">
        <f>IF(N9='Outil Cibles'!$S$7, 'Outil Cibles'!$S$18, 0)</f>
        <v>0</v>
      </c>
      <c r="R9">
        <f>IF(N9='Outil Cibles'!$T$7, 'Outil Cibles'!$T$18, 0)</f>
        <v>0</v>
      </c>
      <c r="S9">
        <f>IF(N9='Outil Cibles'!$U$7, 'Outil Cibles'!$U$18, 0)</f>
        <v>0</v>
      </c>
      <c r="T9">
        <f>IF(N9='Outil Cibles'!$V$7, 'Outil Cibles'!$V$18, 0)</f>
        <v>0</v>
      </c>
      <c r="U9">
        <f>IF(N9='Outil Cibles'!$W$7, 'Outil Cibles'!$W$18, 0)</f>
        <v>0</v>
      </c>
      <c r="V9">
        <f>IF(N9='Outil Cibles'!$X$7, 'Outil Cibles'!$X$18, 0)</f>
        <v>0</v>
      </c>
      <c r="W9">
        <f>IF(N9='Outil Cibles'!$Y$7, 'Outil Cibles'!$Y$18, 0)</f>
        <v>0</v>
      </c>
      <c r="X9">
        <f>IF(N9='Outil Cibles'!$Z$7, 'Outil Cibles'!$Z$18, 0)</f>
        <v>0</v>
      </c>
      <c r="Y9">
        <f t="shared" si="2"/>
        <v>473573.16146959213</v>
      </c>
      <c r="AA9">
        <f>IF($A9='Outil Cibles'!D$7,'Outil Cibles'!D$11*'Outil Cibles'!D$8,0)</f>
        <v>0</v>
      </c>
      <c r="AC9">
        <f>IF($A9=('Outil Cibles'!D$7+20),'Outil Cibles'!D$12*'Outil Cibles'!D$8,0)</f>
        <v>0</v>
      </c>
      <c r="AE9">
        <f>IF($A9=('Outil Cibles'!D$7+30),'Outil Cibles'!D$13*'Outil Cibles'!D$8,0)</f>
        <v>0</v>
      </c>
      <c r="AG9">
        <f>IF($A9=('Outil Cibles'!D$7+40),'Outil Cibles'!D$14*'Outil Cibles'!D$8,0)</f>
        <v>0</v>
      </c>
    </row>
    <row r="10" spans="1:33" x14ac:dyDescent="0.3">
      <c r="A10">
        <v>2027</v>
      </c>
      <c r="B10">
        <f>IF($A10='Outil Cibles'!D$7,'Outil Cibles'!D$11*'Outil Cibles'!D$8,IF($A10=('Outil Cibles'!D$7+20),'Outil Cibles'!D$12*'Outil Cibles'!D$8,IF($A10=('Outil Cibles'!D$7+30),'Outil Cibles'!D$13*'Outil Cibles'!D$8,IF($A10=('Outil Cibles'!D$7+40),'Outil Cibles'!D$14*'Outil Cibles'!D$8,0))))</f>
        <v>0</v>
      </c>
      <c r="C10">
        <f>IF($A10='Outil Cibles'!E$7,'Outil Cibles'!E$11*'Outil Cibles'!E$8,IF($A10=('Outil Cibles'!E$7+20),'Outil Cibles'!E$12*'Outil Cibles'!E$8,IF($A10=('Outil Cibles'!E$7+30),'Outil Cibles'!E$13*'Outil Cibles'!E$8,IF($A10=('Outil Cibles'!E$7+40),'Outil Cibles'!E$14*'Outil Cibles'!E$8,0))))</f>
        <v>0</v>
      </c>
      <c r="D10">
        <f>IF($A10='Outil Cibles'!F$7,'Outil Cibles'!F$11*'Outil Cibles'!F$8,IF($A10=('Outil Cibles'!F$7+20),'Outil Cibles'!F$12*'Outil Cibles'!F$8,IF($A10=('Outil Cibles'!F$7+30),'Outil Cibles'!F$13*'Outil Cibles'!F$8,IF($A10=('Outil Cibles'!F$7+40),'Outil Cibles'!F$14*'Outil Cibles'!F$8,0))))</f>
        <v>0</v>
      </c>
      <c r="E10">
        <f>IF($A10='Outil Cibles'!G$7,'Outil Cibles'!G$11*'Outil Cibles'!G$8,IF($A10=('Outil Cibles'!G$7+20),'Outil Cibles'!G$12*'Outil Cibles'!G$8,IF($A10=('Outil Cibles'!G$7+30),'Outil Cibles'!G$13*'Outil Cibles'!G$8,IF($A10=('Outil Cibles'!G$7+40),'Outil Cibles'!G$14*'Outil Cibles'!G$8,0))))</f>
        <v>0</v>
      </c>
      <c r="F10">
        <f>IF($A10='Outil Cibles'!H$7,'Outil Cibles'!H$11*'Outil Cibles'!H$8,IF($A10=('Outil Cibles'!H$7+20),'Outil Cibles'!H$12*'Outil Cibles'!H$8,IF($A10=('Outil Cibles'!H$7+30),'Outil Cibles'!H$13*'Outil Cibles'!H$8,IF($A10=('Outil Cibles'!H$7+40),'Outil Cibles'!H$14*'Outil Cibles'!H$8,0))))</f>
        <v>0</v>
      </c>
      <c r="G10">
        <f>IF($A10='Outil Cibles'!I$7,'Outil Cibles'!I$11*'Outil Cibles'!I$8,IF($A10=('Outil Cibles'!I$7+20),'Outil Cibles'!I$12*'Outil Cibles'!I$8,IF($A10=('Outil Cibles'!I$7+30),'Outil Cibles'!I$13*'Outil Cibles'!I$8,IF($A10=('Outil Cibles'!I$7+40),'Outil Cibles'!I$14*'Outil Cibles'!I$8,0))))</f>
        <v>0</v>
      </c>
      <c r="H10">
        <f>IF($A10='Outil Cibles'!J$7,'Outil Cibles'!J$11*'Outil Cibles'!J$8,IF($A10=('Outil Cibles'!J$7+20),'Outil Cibles'!J$12*'Outil Cibles'!J$8,IF($A10=('Outil Cibles'!J$7+30),'Outil Cibles'!J$13*'Outil Cibles'!J$8,IF($A10=('Outil Cibles'!J$7+40),'Outil Cibles'!J$14*'Outil Cibles'!J$8,0))))</f>
        <v>0</v>
      </c>
      <c r="I10">
        <f>IF($A10='Outil Cibles'!K$7,'Outil Cibles'!K$11*'Outil Cibles'!K$8,IF($A10=('Outil Cibles'!K$7+20),'Outil Cibles'!K$12*'Outil Cibles'!K$8,IF($A10=('Outil Cibles'!K$7+30),'Outil Cibles'!K$13*'Outil Cibles'!K$8,IF($A10=('Outil Cibles'!K$7+40),'Outil Cibles'!K$14*'Outil Cibles'!K$8,0))))</f>
        <v>0</v>
      </c>
      <c r="J10">
        <f>IF($A10='Outil Cibles'!L$7,'Outil Cibles'!L$11*'Outil Cibles'!L$8,IF($A10=('Outil Cibles'!L$7+20),'Outil Cibles'!L$12*'Outil Cibles'!L$8,IF($A10=('Outil Cibles'!L$7+30),'Outil Cibles'!L$13*'Outil Cibles'!L$8,IF($A10=('Outil Cibles'!L$7+40),'Outil Cibles'!L$14*'Outil Cibles'!L$8,0))))</f>
        <v>0</v>
      </c>
      <c r="K10">
        <f>IF($A10='Outil Cibles'!M$7,'Outil Cibles'!M$11*'Outil Cibles'!M$8,IF($A10=('Outil Cibles'!M$7+20),'Outil Cibles'!M$12*'Outil Cibles'!M$8,IF($A10=('Outil Cibles'!M$7+30),'Outil Cibles'!M$13*'Outil Cibles'!M$8,IF($A10=('Outil Cibles'!M$7+40),'Outil Cibles'!M$14*'Outil Cibles'!M$8,0))))</f>
        <v>0</v>
      </c>
      <c r="L10">
        <f t="shared" si="1"/>
        <v>0</v>
      </c>
      <c r="N10">
        <v>2027</v>
      </c>
      <c r="O10">
        <f>IF(N10='Outil Cibles'!$Q$7, 'Outil Cibles'!$Q$18, 0)</f>
        <v>0</v>
      </c>
      <c r="P10">
        <f>IF(N10='Outil Cibles'!$R$7, 'Outil Cibles'!$R$18, 0)</f>
        <v>0</v>
      </c>
      <c r="Q10">
        <f>IF(N10='Outil Cibles'!$S$7, 'Outil Cibles'!$S$18, 0)</f>
        <v>0</v>
      </c>
      <c r="R10">
        <f>IF(N10='Outil Cibles'!$T$7, 'Outil Cibles'!$T$18, 0)</f>
        <v>0</v>
      </c>
      <c r="S10">
        <f>IF(N10='Outil Cibles'!$U$7, 'Outil Cibles'!$U$18, 0)</f>
        <v>0</v>
      </c>
      <c r="T10">
        <f>IF(N10='Outil Cibles'!$V$7, 'Outil Cibles'!$V$18, 0)</f>
        <v>0</v>
      </c>
      <c r="U10">
        <f>IF(N10='Outil Cibles'!$W$7, 'Outil Cibles'!$W$18, 0)</f>
        <v>0</v>
      </c>
      <c r="V10">
        <f>IF(N10='Outil Cibles'!$X$7, 'Outil Cibles'!$X$18, 0)</f>
        <v>0</v>
      </c>
      <c r="W10">
        <f>IF(N10='Outil Cibles'!$Y$7, 'Outil Cibles'!$Y$18, 0)</f>
        <v>0</v>
      </c>
      <c r="X10">
        <f>IF(N10='Outil Cibles'!$Z$7, 'Outil Cibles'!$Z$18, 0)</f>
        <v>0</v>
      </c>
      <c r="Y10">
        <f t="shared" si="2"/>
        <v>0</v>
      </c>
      <c r="AA10">
        <f>IF($A10='Outil Cibles'!D$7,'Outil Cibles'!D$11*'Outil Cibles'!D$8,0)</f>
        <v>0</v>
      </c>
      <c r="AC10">
        <f>IF($A10=('Outil Cibles'!D$7+20),'Outil Cibles'!D$12*'Outil Cibles'!D$8,0)</f>
        <v>0</v>
      </c>
      <c r="AE10">
        <f>IF($A10=('Outil Cibles'!D$7+30),'Outil Cibles'!D$13*'Outil Cibles'!D$8,0)</f>
        <v>0</v>
      </c>
      <c r="AG10">
        <f>IF($A10=('Outil Cibles'!D$7+40),'Outil Cibles'!D$14*'Outil Cibles'!D$8,0)</f>
        <v>0</v>
      </c>
    </row>
    <row r="11" spans="1:33" x14ac:dyDescent="0.3">
      <c r="A11">
        <v>2028</v>
      </c>
      <c r="B11">
        <f>IF($A11='Outil Cibles'!D$7,'Outil Cibles'!D$11*'Outil Cibles'!D$8,IF($A11=('Outil Cibles'!D$7+20),'Outil Cibles'!D$12*'Outil Cibles'!D$8,IF($A11=('Outil Cibles'!D$7+30),'Outil Cibles'!D$13*'Outil Cibles'!D$8,IF($A11=('Outil Cibles'!D$7+40),'Outil Cibles'!D$14*'Outil Cibles'!D$8,0))))</f>
        <v>0</v>
      </c>
      <c r="C11">
        <f>IF($A11='Outil Cibles'!E$7,'Outil Cibles'!E$11*'Outil Cibles'!E$8,IF($A11=('Outil Cibles'!E$7+20),'Outil Cibles'!E$12*'Outil Cibles'!E$8,IF($A11=('Outil Cibles'!E$7+30),'Outil Cibles'!E$13*'Outil Cibles'!E$8,IF($A11=('Outil Cibles'!E$7+40),'Outil Cibles'!E$14*'Outil Cibles'!E$8,0))))</f>
        <v>0</v>
      </c>
      <c r="D11">
        <f>IF($A11='Outil Cibles'!F$7,'Outil Cibles'!F$11*'Outil Cibles'!F$8,IF($A11=('Outil Cibles'!F$7+20),'Outil Cibles'!F$12*'Outil Cibles'!F$8,IF($A11=('Outil Cibles'!F$7+30),'Outil Cibles'!F$13*'Outil Cibles'!F$8,IF($A11=('Outil Cibles'!F$7+40),'Outil Cibles'!F$14*'Outil Cibles'!F$8,0))))</f>
        <v>0</v>
      </c>
      <c r="E11">
        <f>IF($A11='Outil Cibles'!G$7,'Outil Cibles'!G$11*'Outil Cibles'!G$8,IF($A11=('Outil Cibles'!G$7+20),'Outil Cibles'!G$12*'Outil Cibles'!G$8,IF($A11=('Outil Cibles'!G$7+30),'Outil Cibles'!G$13*'Outil Cibles'!G$8,IF($A11=('Outil Cibles'!G$7+40),'Outil Cibles'!G$14*'Outil Cibles'!G$8,0))))</f>
        <v>0</v>
      </c>
      <c r="F11">
        <f>IF($A11='Outil Cibles'!H$7,'Outil Cibles'!H$11*'Outil Cibles'!H$8,IF($A11=('Outil Cibles'!H$7+20),'Outil Cibles'!H$12*'Outil Cibles'!H$8,IF($A11=('Outil Cibles'!H$7+30),'Outil Cibles'!H$13*'Outil Cibles'!H$8,IF($A11=('Outil Cibles'!H$7+40),'Outil Cibles'!H$14*'Outil Cibles'!H$8,0))))</f>
        <v>0</v>
      </c>
      <c r="G11">
        <f>IF($A11='Outil Cibles'!I$7,'Outil Cibles'!I$11*'Outil Cibles'!I$8,IF($A11=('Outil Cibles'!I$7+20),'Outil Cibles'!I$12*'Outil Cibles'!I$8,IF($A11=('Outil Cibles'!I$7+30),'Outil Cibles'!I$13*'Outil Cibles'!I$8,IF($A11=('Outil Cibles'!I$7+40),'Outil Cibles'!I$14*'Outil Cibles'!I$8,0))))</f>
        <v>0</v>
      </c>
      <c r="H11">
        <f>IF($A11='Outil Cibles'!J$7,'Outil Cibles'!J$11*'Outil Cibles'!J$8,IF($A11=('Outil Cibles'!J$7+20),'Outil Cibles'!J$12*'Outil Cibles'!J$8,IF($A11=('Outil Cibles'!J$7+30),'Outil Cibles'!J$13*'Outil Cibles'!J$8,IF($A11=('Outil Cibles'!J$7+40),'Outil Cibles'!J$14*'Outil Cibles'!J$8,0))))</f>
        <v>0</v>
      </c>
      <c r="I11">
        <f>IF($A11='Outil Cibles'!K$7,'Outil Cibles'!K$11*'Outil Cibles'!K$8,IF($A11=('Outil Cibles'!K$7+20),'Outil Cibles'!K$12*'Outil Cibles'!K$8,IF($A11=('Outil Cibles'!K$7+30),'Outil Cibles'!K$13*'Outil Cibles'!K$8,IF($A11=('Outil Cibles'!K$7+40),'Outil Cibles'!K$14*'Outil Cibles'!K$8,0))))</f>
        <v>0</v>
      </c>
      <c r="J11">
        <f>IF($A11='Outil Cibles'!L$7,'Outil Cibles'!L$11*'Outil Cibles'!L$8,IF($A11=('Outil Cibles'!L$7+20),'Outil Cibles'!L$12*'Outil Cibles'!L$8,IF($A11=('Outil Cibles'!L$7+30),'Outil Cibles'!L$13*'Outil Cibles'!L$8,IF($A11=('Outil Cibles'!L$7+40),'Outil Cibles'!L$14*'Outil Cibles'!L$8,0))))</f>
        <v>0</v>
      </c>
      <c r="K11">
        <f>IF($A11='Outil Cibles'!M$7,'Outil Cibles'!M$11*'Outil Cibles'!M$8,IF($A11=('Outil Cibles'!M$7+20),'Outil Cibles'!M$12*'Outil Cibles'!M$8,IF($A11=('Outil Cibles'!M$7+30),'Outil Cibles'!M$13*'Outil Cibles'!M$8,IF($A11=('Outil Cibles'!M$7+40),'Outil Cibles'!M$14*'Outil Cibles'!M$8,0))))</f>
        <v>0</v>
      </c>
      <c r="L11">
        <f t="shared" si="1"/>
        <v>0</v>
      </c>
      <c r="N11">
        <v>2028</v>
      </c>
      <c r="O11">
        <f>IF(N11='Outil Cibles'!$Q$7, 'Outil Cibles'!$Q$18, 0)</f>
        <v>0</v>
      </c>
      <c r="P11">
        <f>IF(N11='Outil Cibles'!$R$7, 'Outil Cibles'!$R$18, 0)</f>
        <v>0</v>
      </c>
      <c r="Q11">
        <f>IF(N11='Outil Cibles'!$S$7, 'Outil Cibles'!$S$18, 0)</f>
        <v>0</v>
      </c>
      <c r="R11">
        <f>IF(N11='Outil Cibles'!$T$7, 'Outil Cibles'!$T$18, 0)</f>
        <v>0</v>
      </c>
      <c r="S11">
        <f>IF(N11='Outil Cibles'!$U$7, 'Outil Cibles'!$U$18, 0)</f>
        <v>0</v>
      </c>
      <c r="T11">
        <f>IF(N11='Outil Cibles'!$V$7, 'Outil Cibles'!$V$18, 0)</f>
        <v>0</v>
      </c>
      <c r="U11">
        <f>IF(N11='Outil Cibles'!$W$7, 'Outil Cibles'!$W$18, 0)</f>
        <v>0</v>
      </c>
      <c r="V11">
        <f>IF(N11='Outil Cibles'!$X$7, 'Outil Cibles'!$X$18, 0)</f>
        <v>0</v>
      </c>
      <c r="W11">
        <f>IF(N11='Outil Cibles'!$Y$7, 'Outil Cibles'!$Y$18, 0)</f>
        <v>0</v>
      </c>
      <c r="X11">
        <f>IF(N11='Outil Cibles'!$Z$7, 'Outil Cibles'!$Z$18, 0)</f>
        <v>0</v>
      </c>
      <c r="Y11">
        <f t="shared" si="2"/>
        <v>0</v>
      </c>
      <c r="AA11">
        <f>IF($A11='Outil Cibles'!D$7,'Outil Cibles'!D$11*'Outil Cibles'!D$8,0)</f>
        <v>0</v>
      </c>
      <c r="AC11">
        <f>IF($A11=('Outil Cibles'!D$7+20),'Outil Cibles'!D$12*'Outil Cibles'!D$8,0)</f>
        <v>0</v>
      </c>
      <c r="AE11">
        <f>IF($A11=('Outil Cibles'!D$7+30),'Outil Cibles'!D$13*'Outil Cibles'!D$8,0)</f>
        <v>0</v>
      </c>
      <c r="AG11">
        <f>IF($A11=('Outil Cibles'!D$7+40),'Outil Cibles'!D$14*'Outil Cibles'!D$8,0)</f>
        <v>0</v>
      </c>
    </row>
    <row r="12" spans="1:33" x14ac:dyDescent="0.3">
      <c r="A12">
        <v>2029</v>
      </c>
      <c r="B12">
        <f>IF($A12='Outil Cibles'!D$7,'Outil Cibles'!D$11*'Outil Cibles'!D$8,IF($A12=('Outil Cibles'!D$7+20),'Outil Cibles'!D$12*'Outil Cibles'!D$8,IF($A12=('Outil Cibles'!D$7+30),'Outil Cibles'!D$13*'Outil Cibles'!D$8,IF($A12=('Outil Cibles'!D$7+40),'Outil Cibles'!D$14*'Outil Cibles'!D$8,0))))</f>
        <v>0</v>
      </c>
      <c r="C12">
        <f>IF($A12='Outil Cibles'!E$7,'Outil Cibles'!E$11*'Outil Cibles'!E$8,IF($A12=('Outil Cibles'!E$7+20),'Outil Cibles'!E$12*'Outil Cibles'!E$8,IF($A12=('Outil Cibles'!E$7+30),'Outil Cibles'!E$13*'Outil Cibles'!E$8,IF($A12=('Outil Cibles'!E$7+40),'Outil Cibles'!E$14*'Outil Cibles'!E$8,0))))</f>
        <v>0</v>
      </c>
      <c r="D12">
        <f>IF($A12='Outil Cibles'!F$7,'Outil Cibles'!F$11*'Outil Cibles'!F$8,IF($A12=('Outil Cibles'!F$7+20),'Outil Cibles'!F$12*'Outil Cibles'!F$8,IF($A12=('Outil Cibles'!F$7+30),'Outil Cibles'!F$13*'Outil Cibles'!F$8,IF($A12=('Outil Cibles'!F$7+40),'Outil Cibles'!F$14*'Outil Cibles'!F$8,0))))</f>
        <v>0</v>
      </c>
      <c r="E12">
        <f>IF($A12='Outil Cibles'!G$7,'Outil Cibles'!G$11*'Outil Cibles'!G$8,IF($A12=('Outil Cibles'!G$7+20),'Outil Cibles'!G$12*'Outil Cibles'!G$8,IF($A12=('Outil Cibles'!G$7+30),'Outil Cibles'!G$13*'Outil Cibles'!G$8,IF($A12=('Outil Cibles'!G$7+40),'Outil Cibles'!G$14*'Outil Cibles'!G$8,0))))</f>
        <v>0</v>
      </c>
      <c r="F12">
        <f>IF($A12='Outil Cibles'!H$7,'Outil Cibles'!H$11*'Outil Cibles'!H$8,IF($A12=('Outil Cibles'!H$7+20),'Outil Cibles'!H$12*'Outil Cibles'!H$8,IF($A12=('Outil Cibles'!H$7+30),'Outil Cibles'!H$13*'Outil Cibles'!H$8,IF($A12=('Outil Cibles'!H$7+40),'Outil Cibles'!H$14*'Outil Cibles'!H$8,0))))</f>
        <v>0</v>
      </c>
      <c r="G12">
        <f>IF($A12='Outil Cibles'!I$7,'Outil Cibles'!I$11*'Outil Cibles'!I$8,IF($A12=('Outil Cibles'!I$7+20),'Outil Cibles'!I$12*'Outil Cibles'!I$8,IF($A12=('Outil Cibles'!I$7+30),'Outil Cibles'!I$13*'Outil Cibles'!I$8,IF($A12=('Outil Cibles'!I$7+40),'Outil Cibles'!I$14*'Outil Cibles'!I$8,0))))</f>
        <v>0</v>
      </c>
      <c r="H12">
        <f>IF($A12='Outil Cibles'!J$7,'Outil Cibles'!J$11*'Outil Cibles'!J$8,IF($A12=('Outil Cibles'!J$7+20),'Outil Cibles'!J$12*'Outil Cibles'!J$8,IF($A12=('Outil Cibles'!J$7+30),'Outil Cibles'!J$13*'Outil Cibles'!J$8,IF($A12=('Outil Cibles'!J$7+40),'Outil Cibles'!J$14*'Outil Cibles'!J$8,0))))</f>
        <v>0</v>
      </c>
      <c r="I12">
        <f>IF($A12='Outil Cibles'!K$7,'Outil Cibles'!K$11*'Outil Cibles'!K$8,IF($A12=('Outil Cibles'!K$7+20),'Outil Cibles'!K$12*'Outil Cibles'!K$8,IF($A12=('Outil Cibles'!K$7+30),'Outil Cibles'!K$13*'Outil Cibles'!K$8,IF($A12=('Outil Cibles'!K$7+40),'Outil Cibles'!K$14*'Outil Cibles'!K$8,0))))</f>
        <v>0</v>
      </c>
      <c r="J12">
        <f>IF($A12='Outil Cibles'!L$7,'Outil Cibles'!L$11*'Outil Cibles'!L$8,IF($A12=('Outil Cibles'!L$7+20),'Outil Cibles'!L$12*'Outil Cibles'!L$8,IF($A12=('Outil Cibles'!L$7+30),'Outil Cibles'!L$13*'Outil Cibles'!L$8,IF($A12=('Outil Cibles'!L$7+40),'Outil Cibles'!L$14*'Outil Cibles'!L$8,0))))</f>
        <v>0</v>
      </c>
      <c r="K12">
        <f>IF($A12='Outil Cibles'!M$7,'Outil Cibles'!M$11*'Outil Cibles'!M$8,IF($A12=('Outil Cibles'!M$7+20),'Outil Cibles'!M$12*'Outil Cibles'!M$8,IF($A12=('Outil Cibles'!M$7+30),'Outil Cibles'!M$13*'Outil Cibles'!M$8,IF($A12=('Outil Cibles'!M$7+40),'Outil Cibles'!M$14*'Outil Cibles'!M$8,0))))</f>
        <v>0</v>
      </c>
      <c r="L12">
        <f t="shared" si="1"/>
        <v>0</v>
      </c>
      <c r="N12">
        <v>2029</v>
      </c>
      <c r="O12">
        <f>IF(N12='Outil Cibles'!$Q$7, 'Outil Cibles'!$Q$18, 0)</f>
        <v>0</v>
      </c>
      <c r="P12">
        <f>IF(N12='Outil Cibles'!$R$7, 'Outil Cibles'!$R$18, 0)</f>
        <v>0</v>
      </c>
      <c r="Q12">
        <f>IF(N12='Outil Cibles'!$S$7, 'Outil Cibles'!$S$18, 0)</f>
        <v>0</v>
      </c>
      <c r="R12">
        <f>IF(N12='Outil Cibles'!$T$7, 'Outil Cibles'!$T$18, 0)</f>
        <v>0</v>
      </c>
      <c r="S12">
        <f>IF(N12='Outil Cibles'!$U$7, 'Outil Cibles'!$U$18, 0)</f>
        <v>0</v>
      </c>
      <c r="T12">
        <f>IF(N12='Outil Cibles'!$V$7, 'Outil Cibles'!$V$18, 0)</f>
        <v>0</v>
      </c>
      <c r="U12">
        <f>IF(N12='Outil Cibles'!$W$7, 'Outil Cibles'!$W$18, 0)</f>
        <v>0</v>
      </c>
      <c r="V12">
        <f>IF(N12='Outil Cibles'!$X$7, 'Outil Cibles'!$X$18, 0)</f>
        <v>0</v>
      </c>
      <c r="W12">
        <f>IF(N12='Outil Cibles'!$Y$7, 'Outil Cibles'!$Y$18, 0)</f>
        <v>0</v>
      </c>
      <c r="X12">
        <f>IF(N12='Outil Cibles'!$Z$7, 'Outil Cibles'!$Z$18, 0)</f>
        <v>0</v>
      </c>
      <c r="Y12">
        <f t="shared" si="2"/>
        <v>0</v>
      </c>
      <c r="AA12">
        <f>IF($A12='Outil Cibles'!D$7,'Outil Cibles'!D$11*'Outil Cibles'!D$8,0)</f>
        <v>0</v>
      </c>
      <c r="AC12">
        <f>IF($A12=('Outil Cibles'!D$7+20),'Outil Cibles'!D$12*'Outil Cibles'!D$8,0)</f>
        <v>0</v>
      </c>
      <c r="AE12">
        <f>IF($A12=('Outil Cibles'!D$7+30),'Outil Cibles'!D$13*'Outil Cibles'!D$8,0)</f>
        <v>0</v>
      </c>
      <c r="AG12">
        <f>IF($A12=('Outil Cibles'!D$7+40),'Outil Cibles'!D$14*'Outil Cibles'!D$8,0)</f>
        <v>0</v>
      </c>
    </row>
    <row r="13" spans="1:33" x14ac:dyDescent="0.3">
      <c r="A13" s="10">
        <v>2030</v>
      </c>
      <c r="B13">
        <f>IF($A13='Outil Cibles'!D$7,'Outil Cibles'!D$11*'Outil Cibles'!D$8,IF($A13=('Outil Cibles'!D$7+20),'Outil Cibles'!D$12*'Outil Cibles'!D$8,IF($A13=('Outil Cibles'!D$7+30),'Outil Cibles'!D$13*'Outil Cibles'!D$8,IF($A13=('Outil Cibles'!D$7+40),'Outil Cibles'!D$14*'Outil Cibles'!D$8,0))))</f>
        <v>0</v>
      </c>
      <c r="C13">
        <f>IF($A13='Outil Cibles'!E$7,'Outil Cibles'!E$11*'Outil Cibles'!E$8,IF($A13=('Outil Cibles'!E$7+20),'Outil Cibles'!E$12*'Outil Cibles'!E$8,IF($A13=('Outil Cibles'!E$7+30),'Outil Cibles'!E$13*'Outil Cibles'!E$8,IF($A13=('Outil Cibles'!E$7+40),'Outil Cibles'!E$14*'Outil Cibles'!E$8,0))))</f>
        <v>0</v>
      </c>
      <c r="D13">
        <f>IF($A13='Outil Cibles'!F$7,'Outil Cibles'!F$11*'Outil Cibles'!F$8,IF($A13=('Outil Cibles'!F$7+20),'Outil Cibles'!F$12*'Outil Cibles'!F$8,IF($A13=('Outil Cibles'!F$7+30),'Outil Cibles'!F$13*'Outil Cibles'!F$8,IF($A13=('Outil Cibles'!F$7+40),'Outil Cibles'!F$14*'Outil Cibles'!F$8,0))))</f>
        <v>374068.54553324112</v>
      </c>
      <c r="E13">
        <f>IF($A13='Outil Cibles'!G$7,'Outil Cibles'!G$11*'Outil Cibles'!G$8,IF($A13=('Outil Cibles'!G$7+20),'Outil Cibles'!G$12*'Outil Cibles'!G$8,IF($A13=('Outil Cibles'!G$7+30),'Outil Cibles'!G$13*'Outil Cibles'!G$8,IF($A13=('Outil Cibles'!G$7+40),'Outil Cibles'!G$14*'Outil Cibles'!G$8,0))))</f>
        <v>0</v>
      </c>
      <c r="F13">
        <f>IF($A13='Outil Cibles'!H$7,'Outil Cibles'!H$11*'Outil Cibles'!H$8,IF($A13=('Outil Cibles'!H$7+20),'Outil Cibles'!H$12*'Outil Cibles'!H$8,IF($A13=('Outil Cibles'!H$7+30),'Outil Cibles'!H$13*'Outil Cibles'!H$8,IF($A13=('Outil Cibles'!H$7+40),'Outil Cibles'!H$14*'Outil Cibles'!H$8,0))))</f>
        <v>0</v>
      </c>
      <c r="G13">
        <f>IF($A13='Outil Cibles'!I$7,'Outil Cibles'!I$11*'Outil Cibles'!I$8,IF($A13=('Outil Cibles'!I$7+20),'Outil Cibles'!I$12*'Outil Cibles'!I$8,IF($A13=('Outil Cibles'!I$7+30),'Outil Cibles'!I$13*'Outil Cibles'!I$8,IF($A13=('Outil Cibles'!I$7+40),'Outil Cibles'!I$14*'Outil Cibles'!I$8,0))))</f>
        <v>0</v>
      </c>
      <c r="H13">
        <f>IF($A13='Outil Cibles'!J$7,'Outil Cibles'!J$11*'Outil Cibles'!J$8,IF($A13=('Outil Cibles'!J$7+20),'Outil Cibles'!J$12*'Outil Cibles'!J$8,IF($A13=('Outil Cibles'!J$7+30),'Outil Cibles'!J$13*'Outil Cibles'!J$8,IF($A13=('Outil Cibles'!J$7+40),'Outil Cibles'!J$14*'Outil Cibles'!J$8,0))))</f>
        <v>0</v>
      </c>
      <c r="I13">
        <f>IF($A13='Outil Cibles'!K$7,'Outil Cibles'!K$11*'Outil Cibles'!K$8,IF($A13=('Outil Cibles'!K$7+20),'Outil Cibles'!K$12*'Outil Cibles'!K$8,IF($A13=('Outil Cibles'!K$7+30),'Outil Cibles'!K$13*'Outil Cibles'!K$8,IF($A13=('Outil Cibles'!K$7+40),'Outil Cibles'!K$14*'Outil Cibles'!K$8,0))))</f>
        <v>0</v>
      </c>
      <c r="J13">
        <f>IF($A13='Outil Cibles'!L$7,'Outil Cibles'!L$11*'Outil Cibles'!L$8,IF($A13=('Outil Cibles'!L$7+20),'Outil Cibles'!L$12*'Outil Cibles'!L$8,IF($A13=('Outil Cibles'!L$7+30),'Outil Cibles'!L$13*'Outil Cibles'!L$8,IF($A13=('Outil Cibles'!L$7+40),'Outil Cibles'!L$14*'Outil Cibles'!L$8,0))))</f>
        <v>0</v>
      </c>
      <c r="K13">
        <f>IF($A13='Outil Cibles'!M$7,'Outil Cibles'!M$11*'Outil Cibles'!M$8,IF($A13=('Outil Cibles'!M$7+20),'Outil Cibles'!M$12*'Outil Cibles'!M$8,IF($A13=('Outil Cibles'!M$7+30),'Outil Cibles'!M$13*'Outil Cibles'!M$8,IF($A13=('Outil Cibles'!M$7+40),'Outil Cibles'!M$14*'Outil Cibles'!M$8,0))))</f>
        <v>0</v>
      </c>
      <c r="L13">
        <f t="shared" si="1"/>
        <v>374068.54553324112</v>
      </c>
      <c r="N13" s="10">
        <v>2030</v>
      </c>
      <c r="O13">
        <f>IF(N13='Outil Cibles'!$Q$7, 'Outil Cibles'!$Q$18, 0)</f>
        <v>0</v>
      </c>
      <c r="P13">
        <f>IF(N13='Outil Cibles'!$R$7, 'Outil Cibles'!$R$18, 0)</f>
        <v>0</v>
      </c>
      <c r="Q13">
        <f>IF(N13='Outil Cibles'!$S$7, 'Outil Cibles'!$S$18, 0)</f>
        <v>347166.20508656563</v>
      </c>
      <c r="R13">
        <f>IF(N13='Outil Cibles'!$T$7, 'Outil Cibles'!$T$18, 0)</f>
        <v>0</v>
      </c>
      <c r="S13">
        <f>IF(N13='Outil Cibles'!$U$7, 'Outil Cibles'!$U$18, 0)</f>
        <v>0</v>
      </c>
      <c r="T13">
        <f>IF(N13='Outil Cibles'!$V$7, 'Outil Cibles'!$V$18, 0)</f>
        <v>0</v>
      </c>
      <c r="U13">
        <f>IF(N13='Outil Cibles'!$W$7, 'Outil Cibles'!$W$18, 0)</f>
        <v>0</v>
      </c>
      <c r="V13">
        <f>IF(N13='Outil Cibles'!$X$7, 'Outil Cibles'!$X$18, 0)</f>
        <v>0</v>
      </c>
      <c r="W13">
        <f>IF(N13='Outil Cibles'!$Y$7, 'Outil Cibles'!$Y$18, 0)</f>
        <v>0</v>
      </c>
      <c r="X13">
        <f>IF(N13='Outil Cibles'!$Z$7, 'Outil Cibles'!$Z$18, 0)</f>
        <v>0</v>
      </c>
      <c r="Y13">
        <f t="shared" si="2"/>
        <v>347166.20508656563</v>
      </c>
      <c r="AA13">
        <f>IF($A13='Outil Cibles'!D$7,'Outil Cibles'!D$11*'Outil Cibles'!D$8,0)</f>
        <v>0</v>
      </c>
      <c r="AC13">
        <f>IF($A13=('Outil Cibles'!D$7+20),'Outil Cibles'!D$12*'Outil Cibles'!D$8,0)</f>
        <v>0</v>
      </c>
      <c r="AE13">
        <f>IF($A13=('Outil Cibles'!D$7+30),'Outil Cibles'!D$13*'Outil Cibles'!D$8,0)</f>
        <v>0</v>
      </c>
      <c r="AG13">
        <f>IF($A13=('Outil Cibles'!D$7+40),'Outil Cibles'!D$14*'Outil Cibles'!D$8,0)</f>
        <v>0</v>
      </c>
    </row>
    <row r="14" spans="1:33" x14ac:dyDescent="0.3">
      <c r="A14">
        <v>2031</v>
      </c>
      <c r="B14">
        <f>IF($A14='Outil Cibles'!D$7,'Outil Cibles'!D$11*'Outil Cibles'!D$8,IF($A14=('Outil Cibles'!D$7+20),'Outil Cibles'!D$12*'Outil Cibles'!D$8,IF($A14=('Outil Cibles'!D$7+30),'Outil Cibles'!D$13*'Outil Cibles'!D$8,IF($A14=('Outil Cibles'!D$7+40),'Outil Cibles'!D$14*'Outil Cibles'!D$8,0))))</f>
        <v>0</v>
      </c>
      <c r="C14">
        <f>IF($A14='Outil Cibles'!E$7,'Outil Cibles'!E$11*'Outil Cibles'!E$8,IF($A14=('Outil Cibles'!E$7+20),'Outil Cibles'!E$12*'Outil Cibles'!E$8,IF($A14=('Outil Cibles'!E$7+30),'Outil Cibles'!E$13*'Outil Cibles'!E$8,IF($A14=('Outil Cibles'!E$7+40),'Outil Cibles'!E$14*'Outil Cibles'!E$8,0))))</f>
        <v>0</v>
      </c>
      <c r="D14">
        <f>IF($A14='Outil Cibles'!F$7,'Outil Cibles'!F$11*'Outil Cibles'!F$8,IF($A14=('Outil Cibles'!F$7+20),'Outil Cibles'!F$12*'Outil Cibles'!F$8,IF($A14=('Outil Cibles'!F$7+30),'Outil Cibles'!F$13*'Outil Cibles'!F$8,IF($A14=('Outil Cibles'!F$7+40),'Outil Cibles'!F$14*'Outil Cibles'!F$8,0))))</f>
        <v>0</v>
      </c>
      <c r="E14">
        <f>IF($A14='Outil Cibles'!G$7,'Outil Cibles'!G$11*'Outil Cibles'!G$8,IF($A14=('Outil Cibles'!G$7+20),'Outil Cibles'!G$12*'Outil Cibles'!G$8,IF($A14=('Outil Cibles'!G$7+30),'Outil Cibles'!G$13*'Outil Cibles'!G$8,IF($A14=('Outil Cibles'!G$7+40),'Outil Cibles'!G$14*'Outil Cibles'!G$8,0))))</f>
        <v>0</v>
      </c>
      <c r="F14">
        <f>IF($A14='Outil Cibles'!H$7,'Outil Cibles'!H$11*'Outil Cibles'!H$8,IF($A14=('Outil Cibles'!H$7+20),'Outil Cibles'!H$12*'Outil Cibles'!H$8,IF($A14=('Outil Cibles'!H$7+30),'Outil Cibles'!H$13*'Outil Cibles'!H$8,IF($A14=('Outil Cibles'!H$7+40),'Outil Cibles'!H$14*'Outil Cibles'!H$8,0))))</f>
        <v>0</v>
      </c>
      <c r="G14">
        <f>IF($A14='Outil Cibles'!I$7,'Outil Cibles'!I$11*'Outil Cibles'!I$8,IF($A14=('Outil Cibles'!I$7+20),'Outil Cibles'!I$12*'Outil Cibles'!I$8,IF($A14=('Outil Cibles'!I$7+30),'Outil Cibles'!I$13*'Outil Cibles'!I$8,IF($A14=('Outil Cibles'!I$7+40),'Outil Cibles'!I$14*'Outil Cibles'!I$8,0))))</f>
        <v>0</v>
      </c>
      <c r="H14">
        <f>IF($A14='Outil Cibles'!J$7,'Outil Cibles'!J$11*'Outil Cibles'!J$8,IF($A14=('Outil Cibles'!J$7+20),'Outil Cibles'!J$12*'Outil Cibles'!J$8,IF($A14=('Outil Cibles'!J$7+30),'Outil Cibles'!J$13*'Outil Cibles'!J$8,IF($A14=('Outil Cibles'!J$7+40),'Outil Cibles'!J$14*'Outil Cibles'!J$8,0))))</f>
        <v>0</v>
      </c>
      <c r="I14">
        <f>IF($A14='Outil Cibles'!K$7,'Outil Cibles'!K$11*'Outil Cibles'!K$8,IF($A14=('Outil Cibles'!K$7+20),'Outil Cibles'!K$12*'Outil Cibles'!K$8,IF($A14=('Outil Cibles'!K$7+30),'Outil Cibles'!K$13*'Outil Cibles'!K$8,IF($A14=('Outil Cibles'!K$7+40),'Outil Cibles'!K$14*'Outil Cibles'!K$8,0))))</f>
        <v>0</v>
      </c>
      <c r="J14">
        <f>IF($A14='Outil Cibles'!L$7,'Outil Cibles'!L$11*'Outil Cibles'!L$8,IF($A14=('Outil Cibles'!L$7+20),'Outil Cibles'!L$12*'Outil Cibles'!L$8,IF($A14=('Outil Cibles'!L$7+30),'Outil Cibles'!L$13*'Outil Cibles'!L$8,IF($A14=('Outil Cibles'!L$7+40),'Outil Cibles'!L$14*'Outil Cibles'!L$8,0))))</f>
        <v>0</v>
      </c>
      <c r="K14">
        <f>IF($A14='Outil Cibles'!M$7,'Outil Cibles'!M$11*'Outil Cibles'!M$8,IF($A14=('Outil Cibles'!M$7+20),'Outil Cibles'!M$12*'Outil Cibles'!M$8,IF($A14=('Outil Cibles'!M$7+30),'Outil Cibles'!M$13*'Outil Cibles'!M$8,IF($A14=('Outil Cibles'!M$7+40),'Outil Cibles'!M$14*'Outil Cibles'!M$8,0))))</f>
        <v>0</v>
      </c>
      <c r="L14">
        <f t="shared" si="1"/>
        <v>0</v>
      </c>
      <c r="N14">
        <v>2031</v>
      </c>
      <c r="O14">
        <f>IF(N14='Outil Cibles'!$Q$7, 'Outil Cibles'!$Q$18, 0)</f>
        <v>0</v>
      </c>
      <c r="P14">
        <f>IF(N14='Outil Cibles'!$R$7, 'Outil Cibles'!$R$18, 0)</f>
        <v>0</v>
      </c>
      <c r="Q14">
        <f>IF(N14='Outil Cibles'!$S$7, 'Outil Cibles'!$S$18, 0)</f>
        <v>0</v>
      </c>
      <c r="R14">
        <f>IF(N14='Outil Cibles'!$T$7, 'Outil Cibles'!$T$18, 0)</f>
        <v>0</v>
      </c>
      <c r="S14">
        <f>IF(N14='Outil Cibles'!$U$7, 'Outil Cibles'!$U$18, 0)</f>
        <v>0</v>
      </c>
      <c r="T14">
        <f>IF(N14='Outil Cibles'!$V$7, 'Outil Cibles'!$V$18, 0)</f>
        <v>0</v>
      </c>
      <c r="U14">
        <f>IF(N14='Outil Cibles'!$W$7, 'Outil Cibles'!$W$18, 0)</f>
        <v>0</v>
      </c>
      <c r="V14">
        <f>IF(N14='Outil Cibles'!$X$7, 'Outil Cibles'!$X$18, 0)</f>
        <v>0</v>
      </c>
      <c r="W14">
        <f>IF(N14='Outil Cibles'!$Y$7, 'Outil Cibles'!$Y$18, 0)</f>
        <v>0</v>
      </c>
      <c r="X14">
        <f>IF(N14='Outil Cibles'!$Z$7, 'Outil Cibles'!$Z$18, 0)</f>
        <v>0</v>
      </c>
      <c r="Y14">
        <f t="shared" si="2"/>
        <v>0</v>
      </c>
      <c r="AA14">
        <f>IF($A14='Outil Cibles'!D$7,'Outil Cibles'!D$11*'Outil Cibles'!D$8,0)</f>
        <v>0</v>
      </c>
      <c r="AC14">
        <f>IF($A14=('Outil Cibles'!D$7+20),'Outil Cibles'!D$12*'Outil Cibles'!D$8,0)</f>
        <v>0</v>
      </c>
      <c r="AE14">
        <f>IF($A14=('Outil Cibles'!D$7+30),'Outil Cibles'!D$13*'Outil Cibles'!D$8,0)</f>
        <v>0</v>
      </c>
      <c r="AG14">
        <f>IF($A14=('Outil Cibles'!D$7+40),'Outil Cibles'!D$14*'Outil Cibles'!D$8,0)</f>
        <v>0</v>
      </c>
    </row>
    <row r="15" spans="1:33" x14ac:dyDescent="0.3">
      <c r="A15">
        <v>2032</v>
      </c>
      <c r="B15">
        <f>IF($A15='Outil Cibles'!D$7,'Outil Cibles'!D$11*'Outil Cibles'!D$8,IF($A15=('Outil Cibles'!D$7+20),'Outil Cibles'!D$12*'Outil Cibles'!D$8,IF($A15=('Outil Cibles'!D$7+30),'Outil Cibles'!D$13*'Outil Cibles'!D$8,IF($A15=('Outil Cibles'!D$7+40),'Outil Cibles'!D$14*'Outil Cibles'!D$8,0))))</f>
        <v>0</v>
      </c>
      <c r="C15">
        <f>IF($A15='Outil Cibles'!E$7,'Outil Cibles'!E$11*'Outil Cibles'!E$8,IF($A15=('Outil Cibles'!E$7+20),'Outil Cibles'!E$12*'Outil Cibles'!E$8,IF($A15=('Outil Cibles'!E$7+30),'Outil Cibles'!E$13*'Outil Cibles'!E$8,IF($A15=('Outil Cibles'!E$7+40),'Outil Cibles'!E$14*'Outil Cibles'!E$8,0))))</f>
        <v>0</v>
      </c>
      <c r="D15">
        <f>IF($A15='Outil Cibles'!F$7,'Outil Cibles'!F$11*'Outil Cibles'!F$8,IF($A15=('Outil Cibles'!F$7+20),'Outil Cibles'!F$12*'Outil Cibles'!F$8,IF($A15=('Outil Cibles'!F$7+30),'Outil Cibles'!F$13*'Outil Cibles'!F$8,IF($A15=('Outil Cibles'!F$7+40),'Outil Cibles'!F$14*'Outil Cibles'!F$8,0))))</f>
        <v>0</v>
      </c>
      <c r="E15">
        <f>IF($A15='Outil Cibles'!G$7,'Outil Cibles'!G$11*'Outil Cibles'!G$8,IF($A15=('Outil Cibles'!G$7+20),'Outil Cibles'!G$12*'Outil Cibles'!G$8,IF($A15=('Outil Cibles'!G$7+30),'Outil Cibles'!G$13*'Outil Cibles'!G$8,IF($A15=('Outil Cibles'!G$7+40),'Outil Cibles'!G$14*'Outil Cibles'!G$8,0))))</f>
        <v>0</v>
      </c>
      <c r="F15">
        <f>IF($A15='Outil Cibles'!H$7,'Outil Cibles'!H$11*'Outil Cibles'!H$8,IF($A15=('Outil Cibles'!H$7+20),'Outil Cibles'!H$12*'Outil Cibles'!H$8,IF($A15=('Outil Cibles'!H$7+30),'Outil Cibles'!H$13*'Outil Cibles'!H$8,IF($A15=('Outil Cibles'!H$7+40),'Outil Cibles'!H$14*'Outil Cibles'!H$8,0))))</f>
        <v>0</v>
      </c>
      <c r="G15">
        <f>IF($A15='Outil Cibles'!I$7,'Outil Cibles'!I$11*'Outil Cibles'!I$8,IF($A15=('Outil Cibles'!I$7+20),'Outil Cibles'!I$12*'Outil Cibles'!I$8,IF($A15=('Outil Cibles'!I$7+30),'Outil Cibles'!I$13*'Outil Cibles'!I$8,IF($A15=('Outil Cibles'!I$7+40),'Outil Cibles'!I$14*'Outil Cibles'!I$8,0))))</f>
        <v>0</v>
      </c>
      <c r="H15">
        <f>IF($A15='Outil Cibles'!J$7,'Outil Cibles'!J$11*'Outil Cibles'!J$8,IF($A15=('Outil Cibles'!J$7+20),'Outil Cibles'!J$12*'Outil Cibles'!J$8,IF($A15=('Outil Cibles'!J$7+30),'Outil Cibles'!J$13*'Outil Cibles'!J$8,IF($A15=('Outil Cibles'!J$7+40),'Outil Cibles'!J$14*'Outil Cibles'!J$8,0))))</f>
        <v>0</v>
      </c>
      <c r="I15">
        <f>IF($A15='Outil Cibles'!K$7,'Outil Cibles'!K$11*'Outil Cibles'!K$8,IF($A15=('Outil Cibles'!K$7+20),'Outil Cibles'!K$12*'Outil Cibles'!K$8,IF($A15=('Outil Cibles'!K$7+30),'Outil Cibles'!K$13*'Outil Cibles'!K$8,IF($A15=('Outil Cibles'!K$7+40),'Outil Cibles'!K$14*'Outil Cibles'!K$8,0))))</f>
        <v>0</v>
      </c>
      <c r="J15">
        <f>IF($A15='Outil Cibles'!L$7,'Outil Cibles'!L$11*'Outil Cibles'!L$8,IF($A15=('Outil Cibles'!L$7+20),'Outil Cibles'!L$12*'Outil Cibles'!L$8,IF($A15=('Outil Cibles'!L$7+30),'Outil Cibles'!L$13*'Outil Cibles'!L$8,IF($A15=('Outil Cibles'!L$7+40),'Outil Cibles'!L$14*'Outil Cibles'!L$8,0))))</f>
        <v>0</v>
      </c>
      <c r="K15">
        <f>IF($A15='Outil Cibles'!M$7,'Outil Cibles'!M$11*'Outil Cibles'!M$8,IF($A15=('Outil Cibles'!M$7+20),'Outil Cibles'!M$12*'Outil Cibles'!M$8,IF($A15=('Outil Cibles'!M$7+30),'Outil Cibles'!M$13*'Outil Cibles'!M$8,IF($A15=('Outil Cibles'!M$7+40),'Outil Cibles'!M$14*'Outil Cibles'!M$8,0))))</f>
        <v>0</v>
      </c>
      <c r="L15">
        <f t="shared" si="1"/>
        <v>0</v>
      </c>
      <c r="N15">
        <v>2032</v>
      </c>
      <c r="O15">
        <f>IF(N15='Outil Cibles'!$Q$7, 'Outil Cibles'!$Q$18, 0)</f>
        <v>0</v>
      </c>
      <c r="P15">
        <f>IF(N15='Outil Cibles'!$R$7, 'Outil Cibles'!$R$18, 0)</f>
        <v>0</v>
      </c>
      <c r="Q15">
        <f>IF(N15='Outil Cibles'!$S$7, 'Outil Cibles'!$S$18, 0)</f>
        <v>0</v>
      </c>
      <c r="R15">
        <f>IF(N15='Outil Cibles'!$T$7, 'Outil Cibles'!$T$18, 0)</f>
        <v>0</v>
      </c>
      <c r="S15">
        <f>IF(N15='Outil Cibles'!$U$7, 'Outil Cibles'!$U$18, 0)</f>
        <v>0</v>
      </c>
      <c r="T15">
        <f>IF(N15='Outil Cibles'!$V$7, 'Outil Cibles'!$V$18, 0)</f>
        <v>0</v>
      </c>
      <c r="U15">
        <f>IF(N15='Outil Cibles'!$W$7, 'Outil Cibles'!$W$18, 0)</f>
        <v>0</v>
      </c>
      <c r="V15">
        <f>IF(N15='Outil Cibles'!$X$7, 'Outil Cibles'!$X$18, 0)</f>
        <v>0</v>
      </c>
      <c r="W15">
        <f>IF(N15='Outil Cibles'!$Y$7, 'Outil Cibles'!$Y$18, 0)</f>
        <v>0</v>
      </c>
      <c r="X15">
        <f>IF(N15='Outil Cibles'!$Z$7, 'Outil Cibles'!$Z$18, 0)</f>
        <v>0</v>
      </c>
      <c r="Y15">
        <f t="shared" si="2"/>
        <v>0</v>
      </c>
      <c r="AA15">
        <f>IF($A15='Outil Cibles'!D$7,'Outil Cibles'!D$11*'Outil Cibles'!D$8,0)</f>
        <v>0</v>
      </c>
      <c r="AC15">
        <f>IF($A15=('Outil Cibles'!D$7+20),'Outil Cibles'!D$12*'Outil Cibles'!D$8,0)</f>
        <v>0</v>
      </c>
      <c r="AE15">
        <f>IF($A15=('Outil Cibles'!D$7+30),'Outil Cibles'!D$13*'Outil Cibles'!D$8,0)</f>
        <v>0</v>
      </c>
      <c r="AG15">
        <f>IF($A15=('Outil Cibles'!D$7+40),'Outil Cibles'!D$14*'Outil Cibles'!D$8,0)</f>
        <v>0</v>
      </c>
    </row>
    <row r="16" spans="1:33" x14ac:dyDescent="0.3">
      <c r="A16">
        <v>2033</v>
      </c>
      <c r="B16">
        <f>IF($A16='Outil Cibles'!D$7,'Outil Cibles'!D$11*'Outil Cibles'!D$8,IF($A16=('Outil Cibles'!D$7+20),'Outil Cibles'!D$12*'Outil Cibles'!D$8,IF($A16=('Outil Cibles'!D$7+30),'Outil Cibles'!D$13*'Outil Cibles'!D$8,IF($A16=('Outil Cibles'!D$7+40),'Outil Cibles'!D$14*'Outil Cibles'!D$8,0))))</f>
        <v>0</v>
      </c>
      <c r="C16">
        <f>IF($A16='Outil Cibles'!E$7,'Outil Cibles'!E$11*'Outil Cibles'!E$8,IF($A16=('Outil Cibles'!E$7+20),'Outil Cibles'!E$12*'Outil Cibles'!E$8,IF($A16=('Outil Cibles'!E$7+30),'Outil Cibles'!E$13*'Outil Cibles'!E$8,IF($A16=('Outil Cibles'!E$7+40),'Outil Cibles'!E$14*'Outil Cibles'!E$8,0))))</f>
        <v>0</v>
      </c>
      <c r="D16">
        <f>IF($A16='Outil Cibles'!F$7,'Outil Cibles'!F$11*'Outil Cibles'!F$8,IF($A16=('Outil Cibles'!F$7+20),'Outil Cibles'!F$12*'Outil Cibles'!F$8,IF($A16=('Outil Cibles'!F$7+30),'Outil Cibles'!F$13*'Outil Cibles'!F$8,IF($A16=('Outil Cibles'!F$7+40),'Outil Cibles'!F$14*'Outil Cibles'!F$8,0))))</f>
        <v>0</v>
      </c>
      <c r="E16">
        <f>IF($A16='Outil Cibles'!G$7,'Outil Cibles'!G$11*'Outil Cibles'!G$8,IF($A16=('Outil Cibles'!G$7+20),'Outil Cibles'!G$12*'Outil Cibles'!G$8,IF($A16=('Outil Cibles'!G$7+30),'Outil Cibles'!G$13*'Outil Cibles'!G$8,IF($A16=('Outil Cibles'!G$7+40),'Outil Cibles'!G$14*'Outil Cibles'!G$8,0))))</f>
        <v>0</v>
      </c>
      <c r="F16">
        <f>IF($A16='Outil Cibles'!H$7,'Outil Cibles'!H$11*'Outil Cibles'!H$8,IF($A16=('Outil Cibles'!H$7+20),'Outil Cibles'!H$12*'Outil Cibles'!H$8,IF($A16=('Outil Cibles'!H$7+30),'Outil Cibles'!H$13*'Outil Cibles'!H$8,IF($A16=('Outil Cibles'!H$7+40),'Outil Cibles'!H$14*'Outil Cibles'!H$8,0))))</f>
        <v>0</v>
      </c>
      <c r="G16">
        <f>IF($A16='Outil Cibles'!I$7,'Outil Cibles'!I$11*'Outil Cibles'!I$8,IF($A16=('Outil Cibles'!I$7+20),'Outil Cibles'!I$12*'Outil Cibles'!I$8,IF($A16=('Outil Cibles'!I$7+30),'Outil Cibles'!I$13*'Outil Cibles'!I$8,IF($A16=('Outil Cibles'!I$7+40),'Outil Cibles'!I$14*'Outil Cibles'!I$8,0))))</f>
        <v>0</v>
      </c>
      <c r="H16">
        <f>IF($A16='Outil Cibles'!J$7,'Outil Cibles'!J$11*'Outil Cibles'!J$8,IF($A16=('Outil Cibles'!J$7+20),'Outil Cibles'!J$12*'Outil Cibles'!J$8,IF($A16=('Outil Cibles'!J$7+30),'Outil Cibles'!J$13*'Outil Cibles'!J$8,IF($A16=('Outil Cibles'!J$7+40),'Outil Cibles'!J$14*'Outil Cibles'!J$8,0))))</f>
        <v>0</v>
      </c>
      <c r="I16">
        <f>IF($A16='Outil Cibles'!K$7,'Outil Cibles'!K$11*'Outil Cibles'!K$8,IF($A16=('Outil Cibles'!K$7+20),'Outil Cibles'!K$12*'Outil Cibles'!K$8,IF($A16=('Outil Cibles'!K$7+30),'Outil Cibles'!K$13*'Outil Cibles'!K$8,IF($A16=('Outil Cibles'!K$7+40),'Outil Cibles'!K$14*'Outil Cibles'!K$8,0))))</f>
        <v>0</v>
      </c>
      <c r="J16">
        <f>IF($A16='Outil Cibles'!L$7,'Outil Cibles'!L$11*'Outil Cibles'!L$8,IF($A16=('Outil Cibles'!L$7+20),'Outil Cibles'!L$12*'Outil Cibles'!L$8,IF($A16=('Outil Cibles'!L$7+30),'Outil Cibles'!L$13*'Outil Cibles'!L$8,IF($A16=('Outil Cibles'!L$7+40),'Outil Cibles'!L$14*'Outil Cibles'!L$8,0))))</f>
        <v>0</v>
      </c>
      <c r="K16">
        <f>IF($A16='Outil Cibles'!M$7,'Outil Cibles'!M$11*'Outil Cibles'!M$8,IF($A16=('Outil Cibles'!M$7+20),'Outil Cibles'!M$12*'Outil Cibles'!M$8,IF($A16=('Outil Cibles'!M$7+30),'Outil Cibles'!M$13*'Outil Cibles'!M$8,IF($A16=('Outil Cibles'!M$7+40),'Outil Cibles'!M$14*'Outil Cibles'!M$8,0))))</f>
        <v>0</v>
      </c>
      <c r="L16">
        <f t="shared" si="1"/>
        <v>0</v>
      </c>
      <c r="N16">
        <v>2033</v>
      </c>
      <c r="O16">
        <f>IF(N16='Outil Cibles'!$Q$7, 'Outil Cibles'!$Q$18, 0)</f>
        <v>0</v>
      </c>
      <c r="P16">
        <f>IF(N16='Outil Cibles'!$R$7, 'Outil Cibles'!$R$18, 0)</f>
        <v>0</v>
      </c>
      <c r="Q16">
        <f>IF(N16='Outil Cibles'!$S$7, 'Outil Cibles'!$S$18, 0)</f>
        <v>0</v>
      </c>
      <c r="R16">
        <f>IF(N16='Outil Cibles'!$T$7, 'Outil Cibles'!$T$18, 0)</f>
        <v>0</v>
      </c>
      <c r="S16">
        <f>IF(N16='Outil Cibles'!$U$7, 'Outil Cibles'!$U$18, 0)</f>
        <v>0</v>
      </c>
      <c r="T16">
        <f>IF(N16='Outil Cibles'!$V$7, 'Outil Cibles'!$V$18, 0)</f>
        <v>0</v>
      </c>
      <c r="U16">
        <f>IF(N16='Outil Cibles'!$W$7, 'Outil Cibles'!$W$18, 0)</f>
        <v>0</v>
      </c>
      <c r="V16">
        <f>IF(N16='Outil Cibles'!$X$7, 'Outil Cibles'!$X$18, 0)</f>
        <v>0</v>
      </c>
      <c r="W16">
        <f>IF(N16='Outil Cibles'!$Y$7, 'Outil Cibles'!$Y$18, 0)</f>
        <v>0</v>
      </c>
      <c r="X16">
        <f>IF(N16='Outil Cibles'!$Z$7, 'Outil Cibles'!$Z$18, 0)</f>
        <v>0</v>
      </c>
      <c r="Y16">
        <f t="shared" si="2"/>
        <v>0</v>
      </c>
      <c r="AA16">
        <f>IF($A16='Outil Cibles'!D$7,'Outil Cibles'!D$11*'Outil Cibles'!D$8,0)</f>
        <v>0</v>
      </c>
      <c r="AC16">
        <f>IF($A16=('Outil Cibles'!D$7+20),'Outil Cibles'!D$12*'Outil Cibles'!D$8,0)</f>
        <v>0</v>
      </c>
      <c r="AE16">
        <f>IF($A16=('Outil Cibles'!D$7+30),'Outil Cibles'!D$13*'Outil Cibles'!D$8,0)</f>
        <v>0</v>
      </c>
      <c r="AG16">
        <f>IF($A16=('Outil Cibles'!D$7+40),'Outil Cibles'!D$14*'Outil Cibles'!D$8,0)</f>
        <v>0</v>
      </c>
    </row>
    <row r="17" spans="1:33" x14ac:dyDescent="0.3">
      <c r="A17">
        <v>2034</v>
      </c>
      <c r="B17">
        <f>IF($A17='Outil Cibles'!D$7,'Outil Cibles'!D$11*'Outil Cibles'!D$8,IF($A17=('Outil Cibles'!D$7+20),'Outil Cibles'!D$12*'Outil Cibles'!D$8,IF($A17=('Outil Cibles'!D$7+30),'Outil Cibles'!D$13*'Outil Cibles'!D$8,IF($A17=('Outil Cibles'!D$7+40),'Outil Cibles'!D$14*'Outil Cibles'!D$8,0))))</f>
        <v>0</v>
      </c>
      <c r="C17">
        <f>IF($A17='Outil Cibles'!E$7,'Outil Cibles'!E$11*'Outil Cibles'!E$8,IF($A17=('Outil Cibles'!E$7+20),'Outil Cibles'!E$12*'Outil Cibles'!E$8,IF($A17=('Outil Cibles'!E$7+30),'Outil Cibles'!E$13*'Outil Cibles'!E$8,IF($A17=('Outil Cibles'!E$7+40),'Outil Cibles'!E$14*'Outil Cibles'!E$8,0))))</f>
        <v>0</v>
      </c>
      <c r="D17">
        <f>IF($A17='Outil Cibles'!F$7,'Outil Cibles'!F$11*'Outil Cibles'!F$8,IF($A17=('Outil Cibles'!F$7+20),'Outil Cibles'!F$12*'Outil Cibles'!F$8,IF($A17=('Outil Cibles'!F$7+30),'Outil Cibles'!F$13*'Outil Cibles'!F$8,IF($A17=('Outil Cibles'!F$7+40),'Outil Cibles'!F$14*'Outil Cibles'!F$8,0))))</f>
        <v>0</v>
      </c>
      <c r="E17">
        <f>IF($A17='Outil Cibles'!G$7,'Outil Cibles'!G$11*'Outil Cibles'!G$8,IF($A17=('Outil Cibles'!G$7+20),'Outil Cibles'!G$12*'Outil Cibles'!G$8,IF($A17=('Outil Cibles'!G$7+30),'Outil Cibles'!G$13*'Outil Cibles'!G$8,IF($A17=('Outil Cibles'!G$7+40),'Outil Cibles'!G$14*'Outil Cibles'!G$8,0))))</f>
        <v>0</v>
      </c>
      <c r="F17">
        <f>IF($A17='Outil Cibles'!H$7,'Outil Cibles'!H$11*'Outil Cibles'!H$8,IF($A17=('Outil Cibles'!H$7+20),'Outil Cibles'!H$12*'Outil Cibles'!H$8,IF($A17=('Outil Cibles'!H$7+30),'Outil Cibles'!H$13*'Outil Cibles'!H$8,IF($A17=('Outil Cibles'!H$7+40),'Outil Cibles'!H$14*'Outil Cibles'!H$8,0))))</f>
        <v>0</v>
      </c>
      <c r="G17">
        <f>IF($A17='Outil Cibles'!I$7,'Outil Cibles'!I$11*'Outil Cibles'!I$8,IF($A17=('Outil Cibles'!I$7+20),'Outil Cibles'!I$12*'Outil Cibles'!I$8,IF($A17=('Outil Cibles'!I$7+30),'Outil Cibles'!I$13*'Outil Cibles'!I$8,IF($A17=('Outil Cibles'!I$7+40),'Outil Cibles'!I$14*'Outil Cibles'!I$8,0))))</f>
        <v>0</v>
      </c>
      <c r="H17">
        <f>IF($A17='Outil Cibles'!J$7,'Outil Cibles'!J$11*'Outil Cibles'!J$8,IF($A17=('Outil Cibles'!J$7+20),'Outil Cibles'!J$12*'Outil Cibles'!J$8,IF($A17=('Outil Cibles'!J$7+30),'Outil Cibles'!J$13*'Outil Cibles'!J$8,IF($A17=('Outil Cibles'!J$7+40),'Outil Cibles'!J$14*'Outil Cibles'!J$8,0))))</f>
        <v>0</v>
      </c>
      <c r="I17">
        <f>IF($A17='Outil Cibles'!K$7,'Outil Cibles'!K$11*'Outil Cibles'!K$8,IF($A17=('Outil Cibles'!K$7+20),'Outil Cibles'!K$12*'Outil Cibles'!K$8,IF($A17=('Outil Cibles'!K$7+30),'Outil Cibles'!K$13*'Outil Cibles'!K$8,IF($A17=('Outil Cibles'!K$7+40),'Outil Cibles'!K$14*'Outil Cibles'!K$8,0))))</f>
        <v>0</v>
      </c>
      <c r="J17">
        <f>IF($A17='Outil Cibles'!L$7,'Outil Cibles'!L$11*'Outil Cibles'!L$8,IF($A17=('Outil Cibles'!L$7+20),'Outil Cibles'!L$12*'Outil Cibles'!L$8,IF($A17=('Outil Cibles'!L$7+30),'Outil Cibles'!L$13*'Outil Cibles'!L$8,IF($A17=('Outil Cibles'!L$7+40),'Outil Cibles'!L$14*'Outil Cibles'!L$8,0))))</f>
        <v>0</v>
      </c>
      <c r="K17">
        <f>IF($A17='Outil Cibles'!M$7,'Outil Cibles'!M$11*'Outil Cibles'!M$8,IF($A17=('Outil Cibles'!M$7+20),'Outil Cibles'!M$12*'Outil Cibles'!M$8,IF($A17=('Outil Cibles'!M$7+30),'Outil Cibles'!M$13*'Outil Cibles'!M$8,IF($A17=('Outil Cibles'!M$7+40),'Outil Cibles'!M$14*'Outil Cibles'!M$8,0))))</f>
        <v>0</v>
      </c>
      <c r="L17">
        <f t="shared" si="1"/>
        <v>0</v>
      </c>
      <c r="N17">
        <v>2034</v>
      </c>
      <c r="O17">
        <f>IF(N17='Outil Cibles'!$Q$7, 'Outil Cibles'!$Q$18, 0)</f>
        <v>0</v>
      </c>
      <c r="P17">
        <f>IF(N17='Outil Cibles'!$R$7, 'Outil Cibles'!$R$18, 0)</f>
        <v>0</v>
      </c>
      <c r="Q17">
        <f>IF(N17='Outil Cibles'!$S$7, 'Outil Cibles'!$S$18, 0)</f>
        <v>0</v>
      </c>
      <c r="R17">
        <f>IF(N17='Outil Cibles'!$T$7, 'Outil Cibles'!$T$18, 0)</f>
        <v>0</v>
      </c>
      <c r="S17">
        <f>IF(N17='Outil Cibles'!$U$7, 'Outil Cibles'!$U$18, 0)</f>
        <v>0</v>
      </c>
      <c r="T17">
        <f>IF(N17='Outil Cibles'!$V$7, 'Outil Cibles'!$V$18, 0)</f>
        <v>0</v>
      </c>
      <c r="U17">
        <f>IF(N17='Outil Cibles'!$W$7, 'Outil Cibles'!$W$18, 0)</f>
        <v>0</v>
      </c>
      <c r="V17">
        <f>IF(N17='Outil Cibles'!$X$7, 'Outil Cibles'!$X$18, 0)</f>
        <v>0</v>
      </c>
      <c r="W17">
        <f>IF(N17='Outil Cibles'!$Y$7, 'Outil Cibles'!$Y$18, 0)</f>
        <v>0</v>
      </c>
      <c r="X17">
        <f>IF(N17='Outil Cibles'!$Z$7, 'Outil Cibles'!$Z$18, 0)</f>
        <v>0</v>
      </c>
      <c r="Y17">
        <f t="shared" si="2"/>
        <v>0</v>
      </c>
      <c r="AA17">
        <f>IF($A17='Outil Cibles'!D$7,'Outil Cibles'!D$11*'Outil Cibles'!D$8,0)</f>
        <v>0</v>
      </c>
      <c r="AC17">
        <f>IF($A17=('Outil Cibles'!D$7+20),'Outil Cibles'!D$12*'Outil Cibles'!D$8,0)</f>
        <v>0</v>
      </c>
      <c r="AE17">
        <f>IF($A17=('Outil Cibles'!D$7+30),'Outil Cibles'!D$13*'Outil Cibles'!D$8,0)</f>
        <v>0</v>
      </c>
      <c r="AG17">
        <f>IF($A17=('Outil Cibles'!D$7+40),'Outil Cibles'!D$14*'Outil Cibles'!D$8,0)</f>
        <v>0</v>
      </c>
    </row>
    <row r="18" spans="1:33" x14ac:dyDescent="0.3">
      <c r="A18" s="10">
        <v>2035</v>
      </c>
      <c r="B18">
        <f>IF($A18='Outil Cibles'!D$7,'Outil Cibles'!D$11*'Outil Cibles'!D$8,IF($A18=('Outil Cibles'!D$7+20),'Outil Cibles'!D$12*'Outil Cibles'!D$8,IF($A18=('Outil Cibles'!D$7+30),'Outil Cibles'!D$13*'Outil Cibles'!D$8,IF($A18=('Outil Cibles'!D$7+40),'Outil Cibles'!D$14*'Outil Cibles'!D$8,0))))</f>
        <v>0</v>
      </c>
      <c r="C18">
        <f>IF($A18='Outil Cibles'!E$7,'Outil Cibles'!E$11*'Outil Cibles'!E$8,IF($A18=('Outil Cibles'!E$7+20),'Outil Cibles'!E$12*'Outil Cibles'!E$8,IF($A18=('Outil Cibles'!E$7+30),'Outil Cibles'!E$13*'Outil Cibles'!E$8,IF($A18=('Outil Cibles'!E$7+40),'Outil Cibles'!E$14*'Outil Cibles'!E$8,0))))</f>
        <v>0</v>
      </c>
      <c r="D18">
        <f>IF($A18='Outil Cibles'!F$7,'Outil Cibles'!F$11*'Outil Cibles'!F$8,IF($A18=('Outil Cibles'!F$7+20),'Outil Cibles'!F$12*'Outil Cibles'!F$8,IF($A18=('Outil Cibles'!F$7+30),'Outil Cibles'!F$13*'Outil Cibles'!F$8,IF($A18=('Outil Cibles'!F$7+40),'Outil Cibles'!F$14*'Outil Cibles'!F$8,0))))</f>
        <v>0</v>
      </c>
      <c r="E18">
        <f>IF($A18='Outil Cibles'!G$7,'Outil Cibles'!G$11*'Outil Cibles'!G$8,IF($A18=('Outil Cibles'!G$7+20),'Outil Cibles'!G$12*'Outil Cibles'!G$8,IF($A18=('Outil Cibles'!G$7+30),'Outil Cibles'!G$13*'Outil Cibles'!G$8,IF($A18=('Outil Cibles'!G$7+40),'Outil Cibles'!G$14*'Outil Cibles'!G$8,0))))</f>
        <v>311043.20690378203</v>
      </c>
      <c r="F18">
        <f>IF($A18='Outil Cibles'!H$7,'Outil Cibles'!H$11*'Outil Cibles'!H$8,IF($A18=('Outil Cibles'!H$7+20),'Outil Cibles'!H$12*'Outil Cibles'!H$8,IF($A18=('Outil Cibles'!H$7+30),'Outil Cibles'!H$13*'Outil Cibles'!H$8,IF($A18=('Outil Cibles'!H$7+40),'Outil Cibles'!H$14*'Outil Cibles'!H$8,0))))</f>
        <v>0</v>
      </c>
      <c r="G18">
        <f>IF($A18='Outil Cibles'!I$7,'Outil Cibles'!I$11*'Outil Cibles'!I$8,IF($A18=('Outil Cibles'!I$7+20),'Outil Cibles'!I$12*'Outil Cibles'!I$8,IF($A18=('Outil Cibles'!I$7+30),'Outil Cibles'!I$13*'Outil Cibles'!I$8,IF($A18=('Outil Cibles'!I$7+40),'Outil Cibles'!I$14*'Outil Cibles'!I$8,0))))</f>
        <v>0</v>
      </c>
      <c r="H18">
        <f>IF($A18='Outil Cibles'!J$7,'Outil Cibles'!J$11*'Outil Cibles'!J$8,IF($A18=('Outil Cibles'!J$7+20),'Outil Cibles'!J$12*'Outil Cibles'!J$8,IF($A18=('Outil Cibles'!J$7+30),'Outil Cibles'!J$13*'Outil Cibles'!J$8,IF($A18=('Outil Cibles'!J$7+40),'Outil Cibles'!J$14*'Outil Cibles'!J$8,0))))</f>
        <v>0</v>
      </c>
      <c r="I18">
        <f>IF($A18='Outil Cibles'!K$7,'Outil Cibles'!K$11*'Outil Cibles'!K$8,IF($A18=('Outil Cibles'!K$7+20),'Outil Cibles'!K$12*'Outil Cibles'!K$8,IF($A18=('Outil Cibles'!K$7+30),'Outil Cibles'!K$13*'Outil Cibles'!K$8,IF($A18=('Outil Cibles'!K$7+40),'Outil Cibles'!K$14*'Outil Cibles'!K$8,0))))</f>
        <v>0</v>
      </c>
      <c r="J18">
        <f>IF($A18='Outil Cibles'!L$7,'Outil Cibles'!L$11*'Outil Cibles'!L$8,IF($A18=('Outil Cibles'!L$7+20),'Outil Cibles'!L$12*'Outil Cibles'!L$8,IF($A18=('Outil Cibles'!L$7+30),'Outil Cibles'!L$13*'Outil Cibles'!L$8,IF($A18=('Outil Cibles'!L$7+40),'Outil Cibles'!L$14*'Outil Cibles'!L$8,0))))</f>
        <v>0</v>
      </c>
      <c r="K18">
        <f>IF($A18='Outil Cibles'!M$7,'Outil Cibles'!M$11*'Outil Cibles'!M$8,IF($A18=('Outil Cibles'!M$7+20),'Outil Cibles'!M$12*'Outil Cibles'!M$8,IF($A18=('Outil Cibles'!M$7+30),'Outil Cibles'!M$13*'Outil Cibles'!M$8,IF($A18=('Outil Cibles'!M$7+40),'Outil Cibles'!M$14*'Outil Cibles'!M$8,0))))</f>
        <v>0</v>
      </c>
      <c r="L18">
        <f t="shared" si="1"/>
        <v>311043.20690378203</v>
      </c>
      <c r="N18" s="10">
        <v>2035</v>
      </c>
      <c r="O18">
        <f>IF(N18='Outil Cibles'!$Q$7, 'Outil Cibles'!$Q$18, 0)</f>
        <v>0</v>
      </c>
      <c r="P18">
        <f>IF(N18='Outil Cibles'!$R$7, 'Outil Cibles'!$R$18, 0)</f>
        <v>0</v>
      </c>
      <c r="Q18">
        <f>IF(N18='Outil Cibles'!$S$7, 'Outil Cibles'!$S$18, 0)</f>
        <v>0</v>
      </c>
      <c r="R18">
        <f>IF(N18='Outil Cibles'!$T$7, 'Outil Cibles'!$T$18, 0)</f>
        <v>235712.90013917387</v>
      </c>
      <c r="S18">
        <f>IF(N18='Outil Cibles'!$U$7, 'Outil Cibles'!$U$18, 0)</f>
        <v>0</v>
      </c>
      <c r="T18">
        <f>IF(N18='Outil Cibles'!$V$7, 'Outil Cibles'!$V$18, 0)</f>
        <v>0</v>
      </c>
      <c r="U18">
        <f>IF(N18='Outil Cibles'!$W$7, 'Outil Cibles'!$W$18, 0)</f>
        <v>0</v>
      </c>
      <c r="V18">
        <f>IF(N18='Outil Cibles'!$X$7, 'Outil Cibles'!$X$18, 0)</f>
        <v>0</v>
      </c>
      <c r="W18">
        <f>IF(N18='Outil Cibles'!$Y$7, 'Outil Cibles'!$Y$18, 0)</f>
        <v>0</v>
      </c>
      <c r="X18">
        <f>IF(N18='Outil Cibles'!$Z$7, 'Outil Cibles'!$Z$18, 0)</f>
        <v>0</v>
      </c>
      <c r="Y18">
        <f t="shared" si="2"/>
        <v>235712.90013917387</v>
      </c>
      <c r="AA18">
        <f>IF($A18='Outil Cibles'!D$7,'Outil Cibles'!D$11*'Outil Cibles'!D$8,0)</f>
        <v>0</v>
      </c>
      <c r="AC18">
        <f>IF($A18=('Outil Cibles'!D$7+20),'Outil Cibles'!D$12*'Outil Cibles'!D$8,0)</f>
        <v>0</v>
      </c>
      <c r="AE18">
        <f>IF($A18=('Outil Cibles'!D$7+30),'Outil Cibles'!D$13*'Outil Cibles'!D$8,0)</f>
        <v>0</v>
      </c>
      <c r="AG18">
        <f>IF($A18=('Outil Cibles'!D$7+40),'Outil Cibles'!D$14*'Outil Cibles'!D$8,0)</f>
        <v>0</v>
      </c>
    </row>
    <row r="19" spans="1:33" x14ac:dyDescent="0.3">
      <c r="A19">
        <v>2036</v>
      </c>
      <c r="B19">
        <f>IF($A19='Outil Cibles'!D$7,'Outil Cibles'!D$11*'Outil Cibles'!D$8,IF($A19=('Outil Cibles'!D$7+20),'Outil Cibles'!D$12*'Outil Cibles'!D$8,IF($A19=('Outil Cibles'!D$7+30),'Outil Cibles'!D$13*'Outil Cibles'!D$8,IF($A19=('Outil Cibles'!D$7+40),'Outil Cibles'!D$14*'Outil Cibles'!D$8,0))))</f>
        <v>0</v>
      </c>
      <c r="C19">
        <f>IF($A19='Outil Cibles'!E$7,'Outil Cibles'!E$11*'Outil Cibles'!E$8,IF($A19=('Outil Cibles'!E$7+20),'Outil Cibles'!E$12*'Outil Cibles'!E$8,IF($A19=('Outil Cibles'!E$7+30),'Outil Cibles'!E$13*'Outil Cibles'!E$8,IF($A19=('Outil Cibles'!E$7+40),'Outil Cibles'!E$14*'Outil Cibles'!E$8,0))))</f>
        <v>0</v>
      </c>
      <c r="D19">
        <f>IF($A19='Outil Cibles'!F$7,'Outil Cibles'!F$11*'Outil Cibles'!F$8,IF($A19=('Outil Cibles'!F$7+20),'Outil Cibles'!F$12*'Outil Cibles'!F$8,IF($A19=('Outil Cibles'!F$7+30),'Outil Cibles'!F$13*'Outil Cibles'!F$8,IF($A19=('Outil Cibles'!F$7+40),'Outil Cibles'!F$14*'Outil Cibles'!F$8,0))))</f>
        <v>0</v>
      </c>
      <c r="E19">
        <f>IF($A19='Outil Cibles'!G$7,'Outil Cibles'!G$11*'Outil Cibles'!G$8,IF($A19=('Outil Cibles'!G$7+20),'Outil Cibles'!G$12*'Outil Cibles'!G$8,IF($A19=('Outil Cibles'!G$7+30),'Outil Cibles'!G$13*'Outil Cibles'!G$8,IF($A19=('Outil Cibles'!G$7+40),'Outil Cibles'!G$14*'Outil Cibles'!G$8,0))))</f>
        <v>0</v>
      </c>
      <c r="F19">
        <f>IF($A19='Outil Cibles'!H$7,'Outil Cibles'!H$11*'Outil Cibles'!H$8,IF($A19=('Outil Cibles'!H$7+20),'Outil Cibles'!H$12*'Outil Cibles'!H$8,IF($A19=('Outil Cibles'!H$7+30),'Outil Cibles'!H$13*'Outil Cibles'!H$8,IF($A19=('Outil Cibles'!H$7+40),'Outil Cibles'!H$14*'Outil Cibles'!H$8,0))))</f>
        <v>0</v>
      </c>
      <c r="G19">
        <f>IF($A19='Outil Cibles'!I$7,'Outil Cibles'!I$11*'Outil Cibles'!I$8,IF($A19=('Outil Cibles'!I$7+20),'Outil Cibles'!I$12*'Outil Cibles'!I$8,IF($A19=('Outil Cibles'!I$7+30),'Outil Cibles'!I$13*'Outil Cibles'!I$8,IF($A19=('Outil Cibles'!I$7+40),'Outil Cibles'!I$14*'Outil Cibles'!I$8,0))))</f>
        <v>0</v>
      </c>
      <c r="H19">
        <f>IF($A19='Outil Cibles'!J$7,'Outil Cibles'!J$11*'Outil Cibles'!J$8,IF($A19=('Outil Cibles'!J$7+20),'Outil Cibles'!J$12*'Outil Cibles'!J$8,IF($A19=('Outil Cibles'!J$7+30),'Outil Cibles'!J$13*'Outil Cibles'!J$8,IF($A19=('Outil Cibles'!J$7+40),'Outil Cibles'!J$14*'Outil Cibles'!J$8,0))))</f>
        <v>0</v>
      </c>
      <c r="I19">
        <f>IF($A19='Outil Cibles'!K$7,'Outil Cibles'!K$11*'Outil Cibles'!K$8,IF($A19=('Outil Cibles'!K$7+20),'Outil Cibles'!K$12*'Outil Cibles'!K$8,IF($A19=('Outil Cibles'!K$7+30),'Outil Cibles'!K$13*'Outil Cibles'!K$8,IF($A19=('Outil Cibles'!K$7+40),'Outil Cibles'!K$14*'Outil Cibles'!K$8,0))))</f>
        <v>0</v>
      </c>
      <c r="J19">
        <f>IF($A19='Outil Cibles'!L$7,'Outil Cibles'!L$11*'Outil Cibles'!L$8,IF($A19=('Outil Cibles'!L$7+20),'Outil Cibles'!L$12*'Outil Cibles'!L$8,IF($A19=('Outil Cibles'!L$7+30),'Outil Cibles'!L$13*'Outil Cibles'!L$8,IF($A19=('Outil Cibles'!L$7+40),'Outil Cibles'!L$14*'Outil Cibles'!L$8,0))))</f>
        <v>0</v>
      </c>
      <c r="K19">
        <f>IF($A19='Outil Cibles'!M$7,'Outil Cibles'!M$11*'Outil Cibles'!M$8,IF($A19=('Outil Cibles'!M$7+20),'Outil Cibles'!M$12*'Outil Cibles'!M$8,IF($A19=('Outil Cibles'!M$7+30),'Outil Cibles'!M$13*'Outil Cibles'!M$8,IF($A19=('Outil Cibles'!M$7+40),'Outil Cibles'!M$14*'Outil Cibles'!M$8,0))))</f>
        <v>0</v>
      </c>
      <c r="L19">
        <f t="shared" si="1"/>
        <v>0</v>
      </c>
      <c r="N19">
        <v>2036</v>
      </c>
      <c r="O19">
        <f>IF(N19='Outil Cibles'!$Q$7, 'Outil Cibles'!$Q$18, 0)</f>
        <v>0</v>
      </c>
      <c r="P19">
        <f>IF(N19='Outil Cibles'!$R$7, 'Outil Cibles'!$R$18, 0)</f>
        <v>0</v>
      </c>
      <c r="Q19">
        <f>IF(N19='Outil Cibles'!$S$7, 'Outil Cibles'!$S$18, 0)</f>
        <v>0</v>
      </c>
      <c r="R19">
        <f>IF(N19='Outil Cibles'!$T$7, 'Outil Cibles'!$T$18, 0)</f>
        <v>0</v>
      </c>
      <c r="S19">
        <f>IF(N19='Outil Cibles'!$U$7, 'Outil Cibles'!$U$18, 0)</f>
        <v>0</v>
      </c>
      <c r="T19">
        <f>IF(N19='Outil Cibles'!$V$7, 'Outil Cibles'!$V$18, 0)</f>
        <v>0</v>
      </c>
      <c r="U19">
        <f>IF(N19='Outil Cibles'!$W$7, 'Outil Cibles'!$W$18, 0)</f>
        <v>0</v>
      </c>
      <c r="V19">
        <f>IF(N19='Outil Cibles'!$X$7, 'Outil Cibles'!$X$18, 0)</f>
        <v>0</v>
      </c>
      <c r="W19">
        <f>IF(N19='Outil Cibles'!$Y$7, 'Outil Cibles'!$Y$18, 0)</f>
        <v>0</v>
      </c>
      <c r="X19">
        <f>IF(N19='Outil Cibles'!$Z$7, 'Outil Cibles'!$Z$18, 0)</f>
        <v>0</v>
      </c>
      <c r="Y19">
        <f t="shared" si="2"/>
        <v>0</v>
      </c>
      <c r="AA19">
        <f>IF($A19='Outil Cibles'!D$7,'Outil Cibles'!D$11*'Outil Cibles'!D$8,0)</f>
        <v>0</v>
      </c>
      <c r="AC19">
        <f>IF($A19=('Outil Cibles'!D$7+20),'Outil Cibles'!D$12*'Outil Cibles'!D$8,0)</f>
        <v>0</v>
      </c>
      <c r="AE19">
        <f>IF($A19=('Outil Cibles'!D$7+30),'Outil Cibles'!D$13*'Outil Cibles'!D$8,0)</f>
        <v>0</v>
      </c>
      <c r="AG19">
        <f>IF($A19=('Outil Cibles'!D$7+40),'Outil Cibles'!D$14*'Outil Cibles'!D$8,0)</f>
        <v>0</v>
      </c>
    </row>
    <row r="20" spans="1:33" x14ac:dyDescent="0.3">
      <c r="A20">
        <v>2037</v>
      </c>
      <c r="B20">
        <f>IF($A20='Outil Cibles'!D$7,'Outil Cibles'!D$11*'Outil Cibles'!D$8,IF($A20=('Outil Cibles'!D$7+20),'Outil Cibles'!D$12*'Outil Cibles'!D$8,IF($A20=('Outil Cibles'!D$7+30),'Outil Cibles'!D$13*'Outil Cibles'!D$8,IF($A20=('Outil Cibles'!D$7+40),'Outil Cibles'!D$14*'Outil Cibles'!D$8,0))))</f>
        <v>0</v>
      </c>
      <c r="C20">
        <f>IF($A20='Outil Cibles'!E$7,'Outil Cibles'!E$11*'Outil Cibles'!E$8,IF($A20=('Outil Cibles'!E$7+20),'Outil Cibles'!E$12*'Outil Cibles'!E$8,IF($A20=('Outil Cibles'!E$7+30),'Outil Cibles'!E$13*'Outil Cibles'!E$8,IF($A20=('Outil Cibles'!E$7+40),'Outil Cibles'!E$14*'Outil Cibles'!E$8,0))))</f>
        <v>0</v>
      </c>
      <c r="D20">
        <f>IF($A20='Outil Cibles'!F$7,'Outil Cibles'!F$11*'Outil Cibles'!F$8,IF($A20=('Outil Cibles'!F$7+20),'Outil Cibles'!F$12*'Outil Cibles'!F$8,IF($A20=('Outil Cibles'!F$7+30),'Outil Cibles'!F$13*'Outil Cibles'!F$8,IF($A20=('Outil Cibles'!F$7+40),'Outil Cibles'!F$14*'Outil Cibles'!F$8,0))))</f>
        <v>0</v>
      </c>
      <c r="E20">
        <f>IF($A20='Outil Cibles'!G$7,'Outil Cibles'!G$11*'Outil Cibles'!G$8,IF($A20=('Outil Cibles'!G$7+20),'Outil Cibles'!G$12*'Outil Cibles'!G$8,IF($A20=('Outil Cibles'!G$7+30),'Outil Cibles'!G$13*'Outil Cibles'!G$8,IF($A20=('Outil Cibles'!G$7+40),'Outil Cibles'!G$14*'Outil Cibles'!G$8,0))))</f>
        <v>0</v>
      </c>
      <c r="F20">
        <f>IF($A20='Outil Cibles'!H$7,'Outil Cibles'!H$11*'Outil Cibles'!H$8,IF($A20=('Outil Cibles'!H$7+20),'Outil Cibles'!H$12*'Outil Cibles'!H$8,IF($A20=('Outil Cibles'!H$7+30),'Outil Cibles'!H$13*'Outil Cibles'!H$8,IF($A20=('Outil Cibles'!H$7+40),'Outil Cibles'!H$14*'Outil Cibles'!H$8,0))))</f>
        <v>0</v>
      </c>
      <c r="G20">
        <f>IF($A20='Outil Cibles'!I$7,'Outil Cibles'!I$11*'Outil Cibles'!I$8,IF($A20=('Outil Cibles'!I$7+20),'Outil Cibles'!I$12*'Outil Cibles'!I$8,IF($A20=('Outil Cibles'!I$7+30),'Outil Cibles'!I$13*'Outil Cibles'!I$8,IF($A20=('Outil Cibles'!I$7+40),'Outil Cibles'!I$14*'Outil Cibles'!I$8,0))))</f>
        <v>0</v>
      </c>
      <c r="H20">
        <f>IF($A20='Outil Cibles'!J$7,'Outil Cibles'!J$11*'Outil Cibles'!J$8,IF($A20=('Outil Cibles'!J$7+20),'Outil Cibles'!J$12*'Outil Cibles'!J$8,IF($A20=('Outil Cibles'!J$7+30),'Outil Cibles'!J$13*'Outil Cibles'!J$8,IF($A20=('Outil Cibles'!J$7+40),'Outil Cibles'!J$14*'Outil Cibles'!J$8,0))))</f>
        <v>0</v>
      </c>
      <c r="I20">
        <f>IF($A20='Outil Cibles'!K$7,'Outil Cibles'!K$11*'Outil Cibles'!K$8,IF($A20=('Outil Cibles'!K$7+20),'Outil Cibles'!K$12*'Outil Cibles'!K$8,IF($A20=('Outil Cibles'!K$7+30),'Outil Cibles'!K$13*'Outil Cibles'!K$8,IF($A20=('Outil Cibles'!K$7+40),'Outil Cibles'!K$14*'Outil Cibles'!K$8,0))))</f>
        <v>0</v>
      </c>
      <c r="J20">
        <f>IF($A20='Outil Cibles'!L$7,'Outil Cibles'!L$11*'Outil Cibles'!L$8,IF($A20=('Outil Cibles'!L$7+20),'Outil Cibles'!L$12*'Outil Cibles'!L$8,IF($A20=('Outil Cibles'!L$7+30),'Outil Cibles'!L$13*'Outil Cibles'!L$8,IF($A20=('Outil Cibles'!L$7+40),'Outil Cibles'!L$14*'Outil Cibles'!L$8,0))))</f>
        <v>0</v>
      </c>
      <c r="K20">
        <f>IF($A20='Outil Cibles'!M$7,'Outil Cibles'!M$11*'Outil Cibles'!M$8,IF($A20=('Outil Cibles'!M$7+20),'Outil Cibles'!M$12*'Outil Cibles'!M$8,IF($A20=('Outil Cibles'!M$7+30),'Outil Cibles'!M$13*'Outil Cibles'!M$8,IF($A20=('Outil Cibles'!M$7+40),'Outil Cibles'!M$14*'Outil Cibles'!M$8,0))))</f>
        <v>0</v>
      </c>
      <c r="L20">
        <f t="shared" si="1"/>
        <v>0</v>
      </c>
      <c r="N20">
        <v>2037</v>
      </c>
      <c r="O20">
        <f>IF(N20='Outil Cibles'!$Q$7, 'Outil Cibles'!$Q$18, 0)</f>
        <v>0</v>
      </c>
      <c r="P20">
        <f>IF(N20='Outil Cibles'!$R$7, 'Outil Cibles'!$R$18, 0)</f>
        <v>0</v>
      </c>
      <c r="Q20">
        <f>IF(N20='Outil Cibles'!$S$7, 'Outil Cibles'!$S$18, 0)</f>
        <v>0</v>
      </c>
      <c r="R20">
        <f>IF(N20='Outil Cibles'!$T$7, 'Outil Cibles'!$T$18, 0)</f>
        <v>0</v>
      </c>
      <c r="S20">
        <f>IF(N20='Outil Cibles'!$U$7, 'Outil Cibles'!$U$18, 0)</f>
        <v>0</v>
      </c>
      <c r="T20">
        <f>IF(N20='Outil Cibles'!$V$7, 'Outil Cibles'!$V$18, 0)</f>
        <v>0</v>
      </c>
      <c r="U20">
        <f>IF(N20='Outil Cibles'!$W$7, 'Outil Cibles'!$W$18, 0)</f>
        <v>0</v>
      </c>
      <c r="V20">
        <f>IF(N20='Outil Cibles'!$X$7, 'Outil Cibles'!$X$18, 0)</f>
        <v>0</v>
      </c>
      <c r="W20">
        <f>IF(N20='Outil Cibles'!$Y$7, 'Outil Cibles'!$Y$18, 0)</f>
        <v>0</v>
      </c>
      <c r="X20">
        <f>IF(N20='Outil Cibles'!$Z$7, 'Outil Cibles'!$Z$18, 0)</f>
        <v>0</v>
      </c>
      <c r="Y20">
        <f t="shared" si="2"/>
        <v>0</v>
      </c>
      <c r="AA20">
        <f>IF($A20='Outil Cibles'!D$7,'Outil Cibles'!D$11*'Outil Cibles'!D$8,0)</f>
        <v>0</v>
      </c>
      <c r="AC20">
        <f>IF($A20=('Outil Cibles'!D$7+20),'Outil Cibles'!D$12*'Outil Cibles'!D$8,0)</f>
        <v>0</v>
      </c>
      <c r="AE20">
        <f>IF($A20=('Outil Cibles'!D$7+30),'Outil Cibles'!D$13*'Outil Cibles'!D$8,0)</f>
        <v>0</v>
      </c>
      <c r="AG20">
        <f>IF($A20=('Outil Cibles'!D$7+40),'Outil Cibles'!D$14*'Outil Cibles'!D$8,0)</f>
        <v>0</v>
      </c>
    </row>
    <row r="21" spans="1:33" x14ac:dyDescent="0.3">
      <c r="A21">
        <v>2038</v>
      </c>
      <c r="B21">
        <f>IF($A21='Outil Cibles'!D$7,'Outil Cibles'!D$11*'Outil Cibles'!D$8,IF($A21=('Outil Cibles'!D$7+20),'Outil Cibles'!D$12*'Outil Cibles'!D$8,IF($A21=('Outil Cibles'!D$7+30),'Outil Cibles'!D$13*'Outil Cibles'!D$8,IF($A21=('Outil Cibles'!D$7+40),'Outil Cibles'!D$14*'Outil Cibles'!D$8,0))))</f>
        <v>0</v>
      </c>
      <c r="C21">
        <f>IF($A21='Outil Cibles'!E$7,'Outil Cibles'!E$11*'Outil Cibles'!E$8,IF($A21=('Outil Cibles'!E$7+20),'Outil Cibles'!E$12*'Outil Cibles'!E$8,IF($A21=('Outil Cibles'!E$7+30),'Outil Cibles'!E$13*'Outil Cibles'!E$8,IF($A21=('Outil Cibles'!E$7+40),'Outil Cibles'!E$14*'Outil Cibles'!E$8,0))))</f>
        <v>0</v>
      </c>
      <c r="D21">
        <f>IF($A21='Outil Cibles'!F$7,'Outil Cibles'!F$11*'Outil Cibles'!F$8,IF($A21=('Outil Cibles'!F$7+20),'Outil Cibles'!F$12*'Outil Cibles'!F$8,IF($A21=('Outil Cibles'!F$7+30),'Outil Cibles'!F$13*'Outil Cibles'!F$8,IF($A21=('Outil Cibles'!F$7+40),'Outil Cibles'!F$14*'Outil Cibles'!F$8,0))))</f>
        <v>0</v>
      </c>
      <c r="E21">
        <f>IF($A21='Outil Cibles'!G$7,'Outil Cibles'!G$11*'Outil Cibles'!G$8,IF($A21=('Outil Cibles'!G$7+20),'Outil Cibles'!G$12*'Outil Cibles'!G$8,IF($A21=('Outil Cibles'!G$7+30),'Outil Cibles'!G$13*'Outil Cibles'!G$8,IF($A21=('Outil Cibles'!G$7+40),'Outil Cibles'!G$14*'Outil Cibles'!G$8,0))))</f>
        <v>0</v>
      </c>
      <c r="F21">
        <f>IF($A21='Outil Cibles'!H$7,'Outil Cibles'!H$11*'Outil Cibles'!H$8,IF($A21=('Outil Cibles'!H$7+20),'Outil Cibles'!H$12*'Outil Cibles'!H$8,IF($A21=('Outil Cibles'!H$7+30),'Outil Cibles'!H$13*'Outil Cibles'!H$8,IF($A21=('Outil Cibles'!H$7+40),'Outil Cibles'!H$14*'Outil Cibles'!H$8,0))))</f>
        <v>275560.62827607454</v>
      </c>
      <c r="G21">
        <f>IF($A21='Outil Cibles'!I$7,'Outil Cibles'!I$11*'Outil Cibles'!I$8,IF($A21=('Outil Cibles'!I$7+20),'Outil Cibles'!I$12*'Outil Cibles'!I$8,IF($A21=('Outil Cibles'!I$7+30),'Outil Cibles'!I$13*'Outil Cibles'!I$8,IF($A21=('Outil Cibles'!I$7+40),'Outil Cibles'!I$14*'Outil Cibles'!I$8,0))))</f>
        <v>0</v>
      </c>
      <c r="H21">
        <f>IF($A21='Outil Cibles'!J$7,'Outil Cibles'!J$11*'Outil Cibles'!J$8,IF($A21=('Outil Cibles'!J$7+20),'Outil Cibles'!J$12*'Outil Cibles'!J$8,IF($A21=('Outil Cibles'!J$7+30),'Outil Cibles'!J$13*'Outil Cibles'!J$8,IF($A21=('Outil Cibles'!J$7+40),'Outil Cibles'!J$14*'Outil Cibles'!J$8,0))))</f>
        <v>0</v>
      </c>
      <c r="I21">
        <f>IF($A21='Outil Cibles'!K$7,'Outil Cibles'!K$11*'Outil Cibles'!K$8,IF($A21=('Outil Cibles'!K$7+20),'Outil Cibles'!K$12*'Outil Cibles'!K$8,IF($A21=('Outil Cibles'!K$7+30),'Outil Cibles'!K$13*'Outil Cibles'!K$8,IF($A21=('Outil Cibles'!K$7+40),'Outil Cibles'!K$14*'Outil Cibles'!K$8,0))))</f>
        <v>0</v>
      </c>
      <c r="J21">
        <f>IF($A21='Outil Cibles'!L$7,'Outil Cibles'!L$11*'Outil Cibles'!L$8,IF($A21=('Outil Cibles'!L$7+20),'Outil Cibles'!L$12*'Outil Cibles'!L$8,IF($A21=('Outil Cibles'!L$7+30),'Outil Cibles'!L$13*'Outil Cibles'!L$8,IF($A21=('Outil Cibles'!L$7+40),'Outil Cibles'!L$14*'Outil Cibles'!L$8,0))))</f>
        <v>0</v>
      </c>
      <c r="K21">
        <f>IF($A21='Outil Cibles'!M$7,'Outil Cibles'!M$11*'Outil Cibles'!M$8,IF($A21=('Outil Cibles'!M$7+20),'Outil Cibles'!M$12*'Outil Cibles'!M$8,IF($A21=('Outil Cibles'!M$7+30),'Outil Cibles'!M$13*'Outil Cibles'!M$8,IF($A21=('Outil Cibles'!M$7+40),'Outil Cibles'!M$14*'Outil Cibles'!M$8,0))))</f>
        <v>0</v>
      </c>
      <c r="L21">
        <f t="shared" si="1"/>
        <v>275560.62827607454</v>
      </c>
      <c r="N21">
        <v>2038</v>
      </c>
      <c r="O21">
        <f>IF(N21='Outil Cibles'!$Q$7, 'Outil Cibles'!$Q$18, 0)</f>
        <v>0</v>
      </c>
      <c r="P21">
        <f>IF(N21='Outil Cibles'!$R$7, 'Outil Cibles'!$R$18, 0)</f>
        <v>0</v>
      </c>
      <c r="Q21">
        <f>IF(N21='Outil Cibles'!$S$7, 'Outil Cibles'!$S$18, 0)</f>
        <v>0</v>
      </c>
      <c r="R21">
        <f>IF(N21='Outil Cibles'!$T$7, 'Outil Cibles'!$T$18, 0)</f>
        <v>0</v>
      </c>
      <c r="S21">
        <f>IF(N21='Outil Cibles'!$U$7, 'Outil Cibles'!$U$18, 0)</f>
        <v>186938.01694540519</v>
      </c>
      <c r="T21">
        <f>IF(N21='Outil Cibles'!$V$7, 'Outil Cibles'!$V$18, 0)</f>
        <v>0</v>
      </c>
      <c r="U21">
        <f>IF(N21='Outil Cibles'!$W$7, 'Outil Cibles'!$W$18, 0)</f>
        <v>0</v>
      </c>
      <c r="V21">
        <f>IF(N21='Outil Cibles'!$X$7, 'Outil Cibles'!$X$18, 0)</f>
        <v>0</v>
      </c>
      <c r="W21">
        <f>IF(N21='Outil Cibles'!$Y$7, 'Outil Cibles'!$Y$18, 0)</f>
        <v>0</v>
      </c>
      <c r="X21">
        <f>IF(N21='Outil Cibles'!$Z$7, 'Outil Cibles'!$Z$18, 0)</f>
        <v>0</v>
      </c>
      <c r="Y21">
        <f t="shared" si="2"/>
        <v>186938.01694540519</v>
      </c>
      <c r="AA21">
        <f>IF($A21='Outil Cibles'!D$7,'Outil Cibles'!D$11*'Outil Cibles'!D$8,0)</f>
        <v>0</v>
      </c>
      <c r="AC21">
        <f>IF($A21=('Outil Cibles'!D$7+20),'Outil Cibles'!D$12*'Outil Cibles'!D$8,0)</f>
        <v>0</v>
      </c>
      <c r="AE21">
        <f>IF($A21=('Outil Cibles'!D$7+30),'Outil Cibles'!D$13*'Outil Cibles'!D$8,0)</f>
        <v>0</v>
      </c>
      <c r="AG21">
        <f>IF($A21=('Outil Cibles'!D$7+40),'Outil Cibles'!D$14*'Outil Cibles'!D$8,0)</f>
        <v>0</v>
      </c>
    </row>
    <row r="22" spans="1:33" x14ac:dyDescent="0.3">
      <c r="A22">
        <v>2039</v>
      </c>
      <c r="B22">
        <f>IF($A22='Outil Cibles'!D$7,'Outil Cibles'!D$11*'Outil Cibles'!D$8,IF($A22=('Outil Cibles'!D$7+20),'Outil Cibles'!D$12*'Outil Cibles'!D$8,IF($A22=('Outil Cibles'!D$7+30),'Outil Cibles'!D$13*'Outil Cibles'!D$8,IF($A22=('Outil Cibles'!D$7+40),'Outil Cibles'!D$14*'Outil Cibles'!D$8,0))))</f>
        <v>0</v>
      </c>
      <c r="C22">
        <f>IF($A22='Outil Cibles'!E$7,'Outil Cibles'!E$11*'Outil Cibles'!E$8,IF($A22=('Outil Cibles'!E$7+20),'Outil Cibles'!E$12*'Outil Cibles'!E$8,IF($A22=('Outil Cibles'!E$7+30),'Outil Cibles'!E$13*'Outil Cibles'!E$8,IF($A22=('Outil Cibles'!E$7+40),'Outil Cibles'!E$14*'Outil Cibles'!E$8,0))))</f>
        <v>0</v>
      </c>
      <c r="D22">
        <f>IF($A22='Outil Cibles'!F$7,'Outil Cibles'!F$11*'Outil Cibles'!F$8,IF($A22=('Outil Cibles'!F$7+20),'Outil Cibles'!F$12*'Outil Cibles'!F$8,IF($A22=('Outil Cibles'!F$7+30),'Outil Cibles'!F$13*'Outil Cibles'!F$8,IF($A22=('Outil Cibles'!F$7+40),'Outil Cibles'!F$14*'Outil Cibles'!F$8,0))))</f>
        <v>0</v>
      </c>
      <c r="E22">
        <f>IF($A22='Outil Cibles'!G$7,'Outil Cibles'!G$11*'Outil Cibles'!G$8,IF($A22=('Outil Cibles'!G$7+20),'Outil Cibles'!G$12*'Outil Cibles'!G$8,IF($A22=('Outil Cibles'!G$7+30),'Outil Cibles'!G$13*'Outil Cibles'!G$8,IF($A22=('Outil Cibles'!G$7+40),'Outil Cibles'!G$14*'Outil Cibles'!G$8,0))))</f>
        <v>0</v>
      </c>
      <c r="F22">
        <f>IF($A22='Outil Cibles'!H$7,'Outil Cibles'!H$11*'Outil Cibles'!H$8,IF($A22=('Outil Cibles'!H$7+20),'Outil Cibles'!H$12*'Outil Cibles'!H$8,IF($A22=('Outil Cibles'!H$7+30),'Outil Cibles'!H$13*'Outil Cibles'!H$8,IF($A22=('Outil Cibles'!H$7+40),'Outil Cibles'!H$14*'Outil Cibles'!H$8,0))))</f>
        <v>0</v>
      </c>
      <c r="G22">
        <f>IF($A22='Outil Cibles'!I$7,'Outil Cibles'!I$11*'Outil Cibles'!I$8,IF($A22=('Outil Cibles'!I$7+20),'Outil Cibles'!I$12*'Outil Cibles'!I$8,IF($A22=('Outil Cibles'!I$7+30),'Outil Cibles'!I$13*'Outil Cibles'!I$8,IF($A22=('Outil Cibles'!I$7+40),'Outil Cibles'!I$14*'Outil Cibles'!I$8,0))))</f>
        <v>0</v>
      </c>
      <c r="H22">
        <f>IF($A22='Outil Cibles'!J$7,'Outil Cibles'!J$11*'Outil Cibles'!J$8,IF($A22=('Outil Cibles'!J$7+20),'Outil Cibles'!J$12*'Outil Cibles'!J$8,IF($A22=('Outil Cibles'!J$7+30),'Outil Cibles'!J$13*'Outil Cibles'!J$8,IF($A22=('Outil Cibles'!J$7+40),'Outil Cibles'!J$14*'Outil Cibles'!J$8,0))))</f>
        <v>0</v>
      </c>
      <c r="I22">
        <f>IF($A22='Outil Cibles'!K$7,'Outil Cibles'!K$11*'Outil Cibles'!K$8,IF($A22=('Outil Cibles'!K$7+20),'Outil Cibles'!K$12*'Outil Cibles'!K$8,IF($A22=('Outil Cibles'!K$7+30),'Outil Cibles'!K$13*'Outil Cibles'!K$8,IF($A22=('Outil Cibles'!K$7+40),'Outil Cibles'!K$14*'Outil Cibles'!K$8,0))))</f>
        <v>0</v>
      </c>
      <c r="J22">
        <f>IF($A22='Outil Cibles'!L$7,'Outil Cibles'!L$11*'Outil Cibles'!L$8,IF($A22=('Outil Cibles'!L$7+20),'Outil Cibles'!L$12*'Outil Cibles'!L$8,IF($A22=('Outil Cibles'!L$7+30),'Outil Cibles'!L$13*'Outil Cibles'!L$8,IF($A22=('Outil Cibles'!L$7+40),'Outil Cibles'!L$14*'Outil Cibles'!L$8,0))))</f>
        <v>0</v>
      </c>
      <c r="K22">
        <f>IF($A22='Outil Cibles'!M$7,'Outil Cibles'!M$11*'Outil Cibles'!M$8,IF($A22=('Outil Cibles'!M$7+20),'Outil Cibles'!M$12*'Outil Cibles'!M$8,IF($A22=('Outil Cibles'!M$7+30),'Outil Cibles'!M$13*'Outil Cibles'!M$8,IF($A22=('Outil Cibles'!M$7+40),'Outil Cibles'!M$14*'Outil Cibles'!M$8,0))))</f>
        <v>0</v>
      </c>
      <c r="L22">
        <f t="shared" si="1"/>
        <v>0</v>
      </c>
      <c r="N22">
        <v>2039</v>
      </c>
      <c r="O22">
        <f>IF(N22='Outil Cibles'!$Q$7, 'Outil Cibles'!$Q$18, 0)</f>
        <v>0</v>
      </c>
      <c r="P22">
        <f>IF(N22='Outil Cibles'!$R$7, 'Outil Cibles'!$R$18, 0)</f>
        <v>0</v>
      </c>
      <c r="Q22">
        <f>IF(N22='Outil Cibles'!$S$7, 'Outil Cibles'!$S$18, 0)</f>
        <v>0</v>
      </c>
      <c r="R22">
        <f>IF(N22='Outil Cibles'!$T$7, 'Outil Cibles'!$T$18, 0)</f>
        <v>0</v>
      </c>
      <c r="S22">
        <f>IF(N22='Outil Cibles'!$U$7, 'Outil Cibles'!$U$18, 0)</f>
        <v>0</v>
      </c>
      <c r="T22">
        <f>IF(N22='Outil Cibles'!$V$7, 'Outil Cibles'!$V$18, 0)</f>
        <v>0</v>
      </c>
      <c r="U22">
        <f>IF(N22='Outil Cibles'!$W$7, 'Outil Cibles'!$W$18, 0)</f>
        <v>0</v>
      </c>
      <c r="V22">
        <f>IF(N22='Outil Cibles'!$X$7, 'Outil Cibles'!$X$18, 0)</f>
        <v>0</v>
      </c>
      <c r="W22">
        <f>IF(N22='Outil Cibles'!$Y$7, 'Outil Cibles'!$Y$18, 0)</f>
        <v>0</v>
      </c>
      <c r="X22">
        <f>IF(N22='Outil Cibles'!$Z$7, 'Outil Cibles'!$Z$18, 0)</f>
        <v>0</v>
      </c>
      <c r="Y22">
        <f t="shared" si="2"/>
        <v>0</v>
      </c>
      <c r="AA22">
        <f>IF($A22='Outil Cibles'!D$7,'Outil Cibles'!D$11*'Outil Cibles'!D$8,0)</f>
        <v>0</v>
      </c>
      <c r="AC22">
        <f>IF($A22=('Outil Cibles'!D$7+20),'Outil Cibles'!D$12*'Outil Cibles'!D$8,0)</f>
        <v>0</v>
      </c>
      <c r="AE22">
        <f>IF($A22=('Outil Cibles'!D$7+30),'Outil Cibles'!D$13*'Outil Cibles'!D$8,0)</f>
        <v>0</v>
      </c>
      <c r="AG22">
        <f>IF($A22=('Outil Cibles'!D$7+40),'Outil Cibles'!D$14*'Outil Cibles'!D$8,0)</f>
        <v>0</v>
      </c>
    </row>
    <row r="23" spans="1:33" x14ac:dyDescent="0.3">
      <c r="A23" s="10">
        <v>2040</v>
      </c>
      <c r="B23">
        <f>IF($A23='Outil Cibles'!D$7,'Outil Cibles'!D$11*'Outil Cibles'!D$8,IF($A23=('Outil Cibles'!D$7+20),'Outil Cibles'!D$12*'Outil Cibles'!D$8,IF($A23=('Outil Cibles'!D$7+30),'Outil Cibles'!D$13*'Outil Cibles'!D$8,IF($A23=('Outil Cibles'!D$7+40),'Outil Cibles'!D$14*'Outil Cibles'!D$8,0))))</f>
        <v>0</v>
      </c>
      <c r="C23">
        <f>IF($A23='Outil Cibles'!E$7,'Outil Cibles'!E$11*'Outil Cibles'!E$8,IF($A23=('Outil Cibles'!E$7+20),'Outil Cibles'!E$12*'Outil Cibles'!E$8,IF($A23=('Outil Cibles'!E$7+30),'Outil Cibles'!E$13*'Outil Cibles'!E$8,IF($A23=('Outil Cibles'!E$7+40),'Outil Cibles'!E$14*'Outil Cibles'!E$8,0))))</f>
        <v>0</v>
      </c>
      <c r="D23">
        <f>IF($A23='Outil Cibles'!F$7,'Outil Cibles'!F$11*'Outil Cibles'!F$8,IF($A23=('Outil Cibles'!F$7+20),'Outil Cibles'!F$12*'Outil Cibles'!F$8,IF($A23=('Outil Cibles'!F$7+30),'Outil Cibles'!F$13*'Outil Cibles'!F$8,IF($A23=('Outil Cibles'!F$7+40),'Outil Cibles'!F$14*'Outil Cibles'!F$8,0))))</f>
        <v>0</v>
      </c>
      <c r="E23">
        <f>IF($A23='Outil Cibles'!G$7,'Outil Cibles'!G$11*'Outil Cibles'!G$8,IF($A23=('Outil Cibles'!G$7+20),'Outil Cibles'!G$12*'Outil Cibles'!G$8,IF($A23=('Outil Cibles'!G$7+30),'Outil Cibles'!G$13*'Outil Cibles'!G$8,IF($A23=('Outil Cibles'!G$7+40),'Outil Cibles'!G$14*'Outil Cibles'!G$8,0))))</f>
        <v>0</v>
      </c>
      <c r="F23">
        <f>IF($A23='Outil Cibles'!H$7,'Outil Cibles'!H$11*'Outil Cibles'!H$8,IF($A23=('Outil Cibles'!H$7+20),'Outil Cibles'!H$12*'Outil Cibles'!H$8,IF($A23=('Outil Cibles'!H$7+30),'Outil Cibles'!H$13*'Outil Cibles'!H$8,IF($A23=('Outil Cibles'!H$7+40),'Outil Cibles'!H$14*'Outil Cibles'!H$8,0))))</f>
        <v>0</v>
      </c>
      <c r="G23">
        <f>IF($A23='Outil Cibles'!I$7,'Outil Cibles'!I$11*'Outil Cibles'!I$8,IF($A23=('Outil Cibles'!I$7+20),'Outil Cibles'!I$12*'Outil Cibles'!I$8,IF($A23=('Outil Cibles'!I$7+30),'Outil Cibles'!I$13*'Outil Cibles'!I$8,IF($A23=('Outil Cibles'!I$7+40),'Outil Cibles'!I$14*'Outil Cibles'!I$8,0))))</f>
        <v>252356.02516880044</v>
      </c>
      <c r="H23">
        <f>IF($A23='Outil Cibles'!J$7,'Outil Cibles'!J$11*'Outil Cibles'!J$8,IF($A23=('Outil Cibles'!J$7+20),'Outil Cibles'!J$12*'Outil Cibles'!J$8,IF($A23=('Outil Cibles'!J$7+30),'Outil Cibles'!J$13*'Outil Cibles'!J$8,IF($A23=('Outil Cibles'!J$7+40),'Outil Cibles'!J$14*'Outil Cibles'!J$8,0))))</f>
        <v>0</v>
      </c>
      <c r="I23">
        <f>IF($A23='Outil Cibles'!K$7,'Outil Cibles'!K$11*'Outil Cibles'!K$8,IF($A23=('Outil Cibles'!K$7+20),'Outil Cibles'!K$12*'Outil Cibles'!K$8,IF($A23=('Outil Cibles'!K$7+30),'Outil Cibles'!K$13*'Outil Cibles'!K$8,IF($A23=('Outil Cibles'!K$7+40),'Outil Cibles'!K$14*'Outil Cibles'!K$8,0))))</f>
        <v>0</v>
      </c>
      <c r="J23">
        <f>IF($A23='Outil Cibles'!L$7,'Outil Cibles'!L$11*'Outil Cibles'!L$8,IF($A23=('Outil Cibles'!L$7+20),'Outil Cibles'!L$12*'Outil Cibles'!L$8,IF($A23=('Outil Cibles'!L$7+30),'Outil Cibles'!L$13*'Outil Cibles'!L$8,IF($A23=('Outil Cibles'!L$7+40),'Outil Cibles'!L$14*'Outil Cibles'!L$8,0))))</f>
        <v>0</v>
      </c>
      <c r="K23">
        <f>IF($A23='Outil Cibles'!M$7,'Outil Cibles'!M$11*'Outil Cibles'!M$8,IF($A23=('Outil Cibles'!M$7+20),'Outil Cibles'!M$12*'Outil Cibles'!M$8,IF($A23=('Outil Cibles'!M$7+30),'Outil Cibles'!M$13*'Outil Cibles'!M$8,IF($A23=('Outil Cibles'!M$7+40),'Outil Cibles'!M$14*'Outil Cibles'!M$8,0))))</f>
        <v>0</v>
      </c>
      <c r="L23">
        <f t="shared" si="1"/>
        <v>252356.02516880044</v>
      </c>
      <c r="N23" s="10">
        <v>2040</v>
      </c>
      <c r="O23">
        <f>IF(N23='Outil Cibles'!$Q$7, 'Outil Cibles'!$Q$18, 0)</f>
        <v>0</v>
      </c>
      <c r="P23">
        <f>IF(N23='Outil Cibles'!$R$7, 'Outil Cibles'!$R$18, 0)</f>
        <v>0</v>
      </c>
      <c r="Q23">
        <f>IF(N23='Outil Cibles'!$S$7, 'Outil Cibles'!$S$18, 0)</f>
        <v>0</v>
      </c>
      <c r="R23">
        <f>IF(N23='Outil Cibles'!$T$7, 'Outil Cibles'!$T$18, 0)</f>
        <v>0</v>
      </c>
      <c r="S23">
        <f>IF(N23='Outil Cibles'!$U$7, 'Outil Cibles'!$U$18, 0)</f>
        <v>0</v>
      </c>
      <c r="T23">
        <f>IF(N23='Outil Cibles'!$V$7, 'Outil Cibles'!$V$18, 0)</f>
        <v>160197.75845636977</v>
      </c>
      <c r="U23">
        <f>IF(N23='Outil Cibles'!$W$7, 'Outil Cibles'!$W$18, 0)</f>
        <v>0</v>
      </c>
      <c r="V23">
        <f>IF(N23='Outil Cibles'!$X$7, 'Outil Cibles'!$X$18, 0)</f>
        <v>0</v>
      </c>
      <c r="W23">
        <f>IF(N23='Outil Cibles'!$Y$7, 'Outil Cibles'!$Y$18, 0)</f>
        <v>0</v>
      </c>
      <c r="X23">
        <f>IF(N23='Outil Cibles'!$Z$7, 'Outil Cibles'!$Z$18, 0)</f>
        <v>0</v>
      </c>
      <c r="Y23">
        <f t="shared" si="2"/>
        <v>160197.75845636977</v>
      </c>
      <c r="AA23">
        <f>IF($A23='Outil Cibles'!D$7,'Outil Cibles'!D$11*'Outil Cibles'!D$8,0)</f>
        <v>0</v>
      </c>
      <c r="AC23">
        <f>IF($A23=('Outil Cibles'!D$7+20),'Outil Cibles'!D$12*'Outil Cibles'!D$8,0)</f>
        <v>0</v>
      </c>
      <c r="AE23">
        <f>IF($A23=('Outil Cibles'!D$7+30),'Outil Cibles'!D$13*'Outil Cibles'!D$8,0)</f>
        <v>0</v>
      </c>
      <c r="AG23">
        <f>IF($A23=('Outil Cibles'!D$7+40),'Outil Cibles'!D$14*'Outil Cibles'!D$8,0)</f>
        <v>0</v>
      </c>
    </row>
    <row r="24" spans="1:33" x14ac:dyDescent="0.3">
      <c r="A24">
        <v>2041</v>
      </c>
      <c r="B24">
        <f>IF($A24='Outil Cibles'!D$7,'Outil Cibles'!D$11*'Outil Cibles'!D$8,IF($A24=('Outil Cibles'!D$7+20),'Outil Cibles'!D$12*'Outil Cibles'!D$8,IF($A24=('Outil Cibles'!D$7+30),'Outil Cibles'!D$13*'Outil Cibles'!D$8,IF($A24=('Outil Cibles'!D$7+40),'Outil Cibles'!D$14*'Outil Cibles'!D$8,0))))</f>
        <v>0</v>
      </c>
      <c r="C24">
        <f>IF($A24='Outil Cibles'!E$7,'Outil Cibles'!E$11*'Outil Cibles'!E$8,IF($A24=('Outil Cibles'!E$7+20),'Outil Cibles'!E$12*'Outil Cibles'!E$8,IF($A24=('Outil Cibles'!E$7+30),'Outil Cibles'!E$13*'Outil Cibles'!E$8,IF($A24=('Outil Cibles'!E$7+40),'Outil Cibles'!E$14*'Outil Cibles'!E$8,0))))</f>
        <v>0</v>
      </c>
      <c r="D24">
        <f>IF($A24='Outil Cibles'!F$7,'Outil Cibles'!F$11*'Outil Cibles'!F$8,IF($A24=('Outil Cibles'!F$7+20),'Outil Cibles'!F$12*'Outil Cibles'!F$8,IF($A24=('Outil Cibles'!F$7+30),'Outil Cibles'!F$13*'Outil Cibles'!F$8,IF($A24=('Outil Cibles'!F$7+40),'Outil Cibles'!F$14*'Outil Cibles'!F$8,0))))</f>
        <v>0</v>
      </c>
      <c r="E24">
        <f>IF($A24='Outil Cibles'!G$7,'Outil Cibles'!G$11*'Outil Cibles'!G$8,IF($A24=('Outil Cibles'!G$7+20),'Outil Cibles'!G$12*'Outil Cibles'!G$8,IF($A24=('Outil Cibles'!G$7+30),'Outil Cibles'!G$13*'Outil Cibles'!G$8,IF($A24=('Outil Cibles'!G$7+40),'Outil Cibles'!G$14*'Outil Cibles'!G$8,0))))</f>
        <v>0</v>
      </c>
      <c r="F24">
        <f>IF($A24='Outil Cibles'!H$7,'Outil Cibles'!H$11*'Outil Cibles'!H$8,IF($A24=('Outil Cibles'!H$7+20),'Outil Cibles'!H$12*'Outil Cibles'!H$8,IF($A24=('Outil Cibles'!H$7+30),'Outil Cibles'!H$13*'Outil Cibles'!H$8,IF($A24=('Outil Cibles'!H$7+40),'Outil Cibles'!H$14*'Outil Cibles'!H$8,0))))</f>
        <v>0</v>
      </c>
      <c r="G24">
        <f>IF($A24='Outil Cibles'!I$7,'Outil Cibles'!I$11*'Outil Cibles'!I$8,IF($A24=('Outil Cibles'!I$7+20),'Outil Cibles'!I$12*'Outil Cibles'!I$8,IF($A24=('Outil Cibles'!I$7+30),'Outil Cibles'!I$13*'Outil Cibles'!I$8,IF($A24=('Outil Cibles'!I$7+40),'Outil Cibles'!I$14*'Outil Cibles'!I$8,0))))</f>
        <v>0</v>
      </c>
      <c r="H24">
        <f>IF($A24='Outil Cibles'!J$7,'Outil Cibles'!J$11*'Outil Cibles'!J$8,IF($A24=('Outil Cibles'!J$7+20),'Outil Cibles'!J$12*'Outil Cibles'!J$8,IF($A24=('Outil Cibles'!J$7+30),'Outil Cibles'!J$13*'Outil Cibles'!J$8,IF($A24=('Outil Cibles'!J$7+40),'Outil Cibles'!J$14*'Outil Cibles'!J$8,0))))</f>
        <v>0</v>
      </c>
      <c r="I24">
        <f>IF($A24='Outil Cibles'!K$7,'Outil Cibles'!K$11*'Outil Cibles'!K$8,IF($A24=('Outil Cibles'!K$7+20),'Outil Cibles'!K$12*'Outil Cibles'!K$8,IF($A24=('Outil Cibles'!K$7+30),'Outil Cibles'!K$13*'Outil Cibles'!K$8,IF($A24=('Outil Cibles'!K$7+40),'Outil Cibles'!K$14*'Outil Cibles'!K$8,0))))</f>
        <v>0</v>
      </c>
      <c r="J24">
        <f>IF($A24='Outil Cibles'!L$7,'Outil Cibles'!L$11*'Outil Cibles'!L$8,IF($A24=('Outil Cibles'!L$7+20),'Outil Cibles'!L$12*'Outil Cibles'!L$8,IF($A24=('Outil Cibles'!L$7+30),'Outil Cibles'!L$13*'Outil Cibles'!L$8,IF($A24=('Outil Cibles'!L$7+40),'Outil Cibles'!L$14*'Outil Cibles'!L$8,0))))</f>
        <v>0</v>
      </c>
      <c r="K24">
        <f>IF($A24='Outil Cibles'!M$7,'Outil Cibles'!M$11*'Outil Cibles'!M$8,IF($A24=('Outil Cibles'!M$7+20),'Outil Cibles'!M$12*'Outil Cibles'!M$8,IF($A24=('Outil Cibles'!M$7+30),'Outil Cibles'!M$13*'Outil Cibles'!M$8,IF($A24=('Outil Cibles'!M$7+40),'Outil Cibles'!M$14*'Outil Cibles'!M$8,0))))</f>
        <v>0</v>
      </c>
      <c r="L24">
        <f t="shared" si="1"/>
        <v>0</v>
      </c>
      <c r="N24">
        <v>2041</v>
      </c>
      <c r="O24">
        <f>IF(N24='Outil Cibles'!$Q$7, 'Outil Cibles'!$Q$18, 0)</f>
        <v>0</v>
      </c>
      <c r="P24">
        <f>IF(N24='Outil Cibles'!$R$7, 'Outil Cibles'!$R$18, 0)</f>
        <v>0</v>
      </c>
      <c r="Q24">
        <f>IF(N24='Outil Cibles'!$S$7, 'Outil Cibles'!$S$18, 0)</f>
        <v>0</v>
      </c>
      <c r="R24">
        <f>IF(N24='Outil Cibles'!$T$7, 'Outil Cibles'!$T$18, 0)</f>
        <v>0</v>
      </c>
      <c r="S24">
        <f>IF(N24='Outil Cibles'!$U$7, 'Outil Cibles'!$U$18, 0)</f>
        <v>0</v>
      </c>
      <c r="T24">
        <f>IF(N24='Outil Cibles'!$V$7, 'Outil Cibles'!$V$18, 0)</f>
        <v>0</v>
      </c>
      <c r="U24">
        <f>IF(N24='Outil Cibles'!$W$7, 'Outil Cibles'!$W$18, 0)</f>
        <v>0</v>
      </c>
      <c r="V24">
        <f>IF(N24='Outil Cibles'!$X$7, 'Outil Cibles'!$X$18, 0)</f>
        <v>0</v>
      </c>
      <c r="W24">
        <f>IF(N24='Outil Cibles'!$Y$7, 'Outil Cibles'!$Y$18, 0)</f>
        <v>0</v>
      </c>
      <c r="X24">
        <f>IF(N24='Outil Cibles'!$Z$7, 'Outil Cibles'!$Z$18, 0)</f>
        <v>0</v>
      </c>
      <c r="Y24">
        <f t="shared" si="2"/>
        <v>0</v>
      </c>
      <c r="AA24">
        <f>IF($A24='Outil Cibles'!D$7,'Outil Cibles'!D$11*'Outil Cibles'!D$8,0)</f>
        <v>0</v>
      </c>
      <c r="AC24">
        <f>IF($A24=('Outil Cibles'!D$7+20),'Outil Cibles'!D$12*'Outil Cibles'!D$8,0)</f>
        <v>0</v>
      </c>
      <c r="AE24">
        <f>IF($A24=('Outil Cibles'!D$7+30),'Outil Cibles'!D$13*'Outil Cibles'!D$8,0)</f>
        <v>0</v>
      </c>
      <c r="AG24">
        <f>IF($A24=('Outil Cibles'!D$7+40),'Outil Cibles'!D$14*'Outil Cibles'!D$8,0)</f>
        <v>0</v>
      </c>
    </row>
    <row r="25" spans="1:33" x14ac:dyDescent="0.3">
      <c r="A25">
        <v>2042</v>
      </c>
      <c r="B25">
        <f>IF($A25='Outil Cibles'!D$7,'Outil Cibles'!D$11*'Outil Cibles'!D$8,IF($A25=('Outil Cibles'!D$7+20),'Outil Cibles'!D$12*'Outil Cibles'!D$8,IF($A25=('Outil Cibles'!D$7+30),'Outil Cibles'!D$13*'Outil Cibles'!D$8,IF($A25=('Outil Cibles'!D$7+40),'Outil Cibles'!D$14*'Outil Cibles'!D$8,0))))</f>
        <v>0</v>
      </c>
      <c r="C25">
        <f>IF($A25='Outil Cibles'!E$7,'Outil Cibles'!E$11*'Outil Cibles'!E$8,IF($A25=('Outil Cibles'!E$7+20),'Outil Cibles'!E$12*'Outil Cibles'!E$8,IF($A25=('Outil Cibles'!E$7+30),'Outil Cibles'!E$13*'Outil Cibles'!E$8,IF($A25=('Outil Cibles'!E$7+40),'Outil Cibles'!E$14*'Outil Cibles'!E$8,0))))</f>
        <v>0</v>
      </c>
      <c r="D25">
        <f>IF($A25='Outil Cibles'!F$7,'Outil Cibles'!F$11*'Outil Cibles'!F$8,IF($A25=('Outil Cibles'!F$7+20),'Outil Cibles'!F$12*'Outil Cibles'!F$8,IF($A25=('Outil Cibles'!F$7+30),'Outil Cibles'!F$13*'Outil Cibles'!F$8,IF($A25=('Outil Cibles'!F$7+40),'Outil Cibles'!F$14*'Outil Cibles'!F$8,0))))</f>
        <v>0</v>
      </c>
      <c r="E25">
        <f>IF($A25='Outil Cibles'!G$7,'Outil Cibles'!G$11*'Outil Cibles'!G$8,IF($A25=('Outil Cibles'!G$7+20),'Outil Cibles'!G$12*'Outil Cibles'!G$8,IF($A25=('Outil Cibles'!G$7+30),'Outil Cibles'!G$13*'Outil Cibles'!G$8,IF($A25=('Outil Cibles'!G$7+40),'Outil Cibles'!G$14*'Outil Cibles'!G$8,0))))</f>
        <v>0</v>
      </c>
      <c r="F25">
        <f>IF($A25='Outil Cibles'!H$7,'Outil Cibles'!H$11*'Outil Cibles'!H$8,IF($A25=('Outil Cibles'!H$7+20),'Outil Cibles'!H$12*'Outil Cibles'!H$8,IF($A25=('Outil Cibles'!H$7+30),'Outil Cibles'!H$13*'Outil Cibles'!H$8,IF($A25=('Outil Cibles'!H$7+40),'Outil Cibles'!H$14*'Outil Cibles'!H$8,0))))</f>
        <v>0</v>
      </c>
      <c r="G25">
        <f>IF($A25='Outil Cibles'!I$7,'Outil Cibles'!I$11*'Outil Cibles'!I$8,IF($A25=('Outil Cibles'!I$7+20),'Outil Cibles'!I$12*'Outil Cibles'!I$8,IF($A25=('Outil Cibles'!I$7+30),'Outil Cibles'!I$13*'Outil Cibles'!I$8,IF($A25=('Outil Cibles'!I$7+40),'Outil Cibles'!I$14*'Outil Cibles'!I$8,0))))</f>
        <v>0</v>
      </c>
      <c r="H25">
        <f>IF($A25='Outil Cibles'!J$7,'Outil Cibles'!J$11*'Outil Cibles'!J$8,IF($A25=('Outil Cibles'!J$7+20),'Outil Cibles'!J$12*'Outil Cibles'!J$8,IF($A25=('Outil Cibles'!J$7+30),'Outil Cibles'!J$13*'Outil Cibles'!J$8,IF($A25=('Outil Cibles'!J$7+40),'Outil Cibles'!J$14*'Outil Cibles'!J$8,0))))</f>
        <v>230797.81632642163</v>
      </c>
      <c r="I25">
        <f>IF($A25='Outil Cibles'!K$7,'Outil Cibles'!K$11*'Outil Cibles'!K$8,IF($A25=('Outil Cibles'!K$7+20),'Outil Cibles'!K$12*'Outil Cibles'!K$8,IF($A25=('Outil Cibles'!K$7+30),'Outil Cibles'!K$13*'Outil Cibles'!K$8,IF($A25=('Outil Cibles'!K$7+40),'Outil Cibles'!K$14*'Outil Cibles'!K$8,0))))</f>
        <v>0</v>
      </c>
      <c r="J25">
        <f>IF($A25='Outil Cibles'!L$7,'Outil Cibles'!L$11*'Outil Cibles'!L$8,IF($A25=('Outil Cibles'!L$7+20),'Outil Cibles'!L$12*'Outil Cibles'!L$8,IF($A25=('Outil Cibles'!L$7+30),'Outil Cibles'!L$13*'Outil Cibles'!L$8,IF($A25=('Outil Cibles'!L$7+40),'Outil Cibles'!L$14*'Outil Cibles'!L$8,0))))</f>
        <v>0</v>
      </c>
      <c r="K25">
        <f>IF($A25='Outil Cibles'!M$7,'Outil Cibles'!M$11*'Outil Cibles'!M$8,IF($A25=('Outil Cibles'!M$7+20),'Outil Cibles'!M$12*'Outil Cibles'!M$8,IF($A25=('Outil Cibles'!M$7+30),'Outil Cibles'!M$13*'Outil Cibles'!M$8,IF($A25=('Outil Cibles'!M$7+40),'Outil Cibles'!M$14*'Outil Cibles'!M$8,0))))</f>
        <v>0</v>
      </c>
      <c r="L25">
        <f t="shared" si="1"/>
        <v>230797.81632642163</v>
      </c>
      <c r="N25">
        <v>2042</v>
      </c>
      <c r="O25">
        <f>IF(N25='Outil Cibles'!$Q$7, 'Outil Cibles'!$Q$18, 0)</f>
        <v>0</v>
      </c>
      <c r="P25">
        <f>IF(N25='Outil Cibles'!$R$7, 'Outil Cibles'!$R$18, 0)</f>
        <v>0</v>
      </c>
      <c r="Q25">
        <f>IF(N25='Outil Cibles'!$S$7, 'Outil Cibles'!$S$18, 0)</f>
        <v>0</v>
      </c>
      <c r="R25">
        <f>IF(N25='Outil Cibles'!$T$7, 'Outil Cibles'!$T$18, 0)</f>
        <v>0</v>
      </c>
      <c r="S25">
        <f>IF(N25='Outil Cibles'!$U$7, 'Outil Cibles'!$U$18, 0)</f>
        <v>0</v>
      </c>
      <c r="T25">
        <f>IF(N25='Outil Cibles'!$V$7, 'Outil Cibles'!$V$18, 0)</f>
        <v>0</v>
      </c>
      <c r="U25">
        <f>IF(N25='Outil Cibles'!$W$7, 'Outil Cibles'!$W$18, 0)</f>
        <v>137302.82316494611</v>
      </c>
      <c r="V25">
        <f>IF(N25='Outil Cibles'!$X$7, 'Outil Cibles'!$X$18, 0)</f>
        <v>0</v>
      </c>
      <c r="W25">
        <f>IF(N25='Outil Cibles'!$Y$7, 'Outil Cibles'!$Y$18, 0)</f>
        <v>0</v>
      </c>
      <c r="X25">
        <f>IF(N25='Outil Cibles'!$Z$7, 'Outil Cibles'!$Z$18, 0)</f>
        <v>0</v>
      </c>
      <c r="Y25">
        <f t="shared" si="2"/>
        <v>137302.82316494611</v>
      </c>
      <c r="AA25">
        <f>IF($A25='Outil Cibles'!D$7,'Outil Cibles'!D$11*'Outil Cibles'!D$8,0)</f>
        <v>0</v>
      </c>
      <c r="AC25">
        <f>IF($A25=('Outil Cibles'!D$7+20),'Outil Cibles'!D$12*'Outil Cibles'!D$8,0)</f>
        <v>0</v>
      </c>
      <c r="AE25">
        <f>IF($A25=('Outil Cibles'!D$7+30),'Outil Cibles'!D$13*'Outil Cibles'!D$8,0)</f>
        <v>0</v>
      </c>
      <c r="AG25">
        <f>IF($A25=('Outil Cibles'!D$7+40),'Outil Cibles'!D$14*'Outil Cibles'!D$8,0)</f>
        <v>0</v>
      </c>
    </row>
    <row r="26" spans="1:33" x14ac:dyDescent="0.3">
      <c r="A26">
        <v>2043</v>
      </c>
      <c r="B26">
        <f>IF($A26='Outil Cibles'!D$7,'Outil Cibles'!D$11*'Outil Cibles'!D$8,IF($A26=('Outil Cibles'!D$7+20),'Outil Cibles'!D$12*'Outil Cibles'!D$8,IF($A26=('Outil Cibles'!D$7+30),'Outil Cibles'!D$13*'Outil Cibles'!D$8,IF($A26=('Outil Cibles'!D$7+40),'Outil Cibles'!D$14*'Outil Cibles'!D$8,0))))</f>
        <v>0</v>
      </c>
      <c r="C26">
        <f>IF($A26='Outil Cibles'!E$7,'Outil Cibles'!E$11*'Outil Cibles'!E$8,IF($A26=('Outil Cibles'!E$7+20),'Outil Cibles'!E$12*'Outil Cibles'!E$8,IF($A26=('Outil Cibles'!E$7+30),'Outil Cibles'!E$13*'Outil Cibles'!E$8,IF($A26=('Outil Cibles'!E$7+40),'Outil Cibles'!E$14*'Outil Cibles'!E$8,0))))</f>
        <v>0</v>
      </c>
      <c r="D26">
        <f>IF($A26='Outil Cibles'!F$7,'Outil Cibles'!F$11*'Outil Cibles'!F$8,IF($A26=('Outil Cibles'!F$7+20),'Outil Cibles'!F$12*'Outil Cibles'!F$8,IF($A26=('Outil Cibles'!F$7+30),'Outil Cibles'!F$13*'Outil Cibles'!F$8,IF($A26=('Outil Cibles'!F$7+40),'Outil Cibles'!F$14*'Outil Cibles'!F$8,0))))</f>
        <v>0</v>
      </c>
      <c r="E26">
        <f>IF($A26='Outil Cibles'!G$7,'Outil Cibles'!G$11*'Outil Cibles'!G$8,IF($A26=('Outil Cibles'!G$7+20),'Outil Cibles'!G$12*'Outil Cibles'!G$8,IF($A26=('Outil Cibles'!G$7+30),'Outil Cibles'!G$13*'Outil Cibles'!G$8,IF($A26=('Outil Cibles'!G$7+40),'Outil Cibles'!G$14*'Outil Cibles'!G$8,0))))</f>
        <v>0</v>
      </c>
      <c r="F26">
        <f>IF($A26='Outil Cibles'!H$7,'Outil Cibles'!H$11*'Outil Cibles'!H$8,IF($A26=('Outil Cibles'!H$7+20),'Outil Cibles'!H$12*'Outil Cibles'!H$8,IF($A26=('Outil Cibles'!H$7+30),'Outil Cibles'!H$13*'Outil Cibles'!H$8,IF($A26=('Outil Cibles'!H$7+40),'Outil Cibles'!H$14*'Outil Cibles'!H$8,0))))</f>
        <v>0</v>
      </c>
      <c r="G26">
        <f>IF($A26='Outil Cibles'!I$7,'Outil Cibles'!I$11*'Outil Cibles'!I$8,IF($A26=('Outil Cibles'!I$7+20),'Outil Cibles'!I$12*'Outil Cibles'!I$8,IF($A26=('Outil Cibles'!I$7+30),'Outil Cibles'!I$13*'Outil Cibles'!I$8,IF($A26=('Outil Cibles'!I$7+40),'Outil Cibles'!I$14*'Outil Cibles'!I$8,0))))</f>
        <v>0</v>
      </c>
      <c r="H26">
        <f>IF($A26='Outil Cibles'!J$7,'Outil Cibles'!J$11*'Outil Cibles'!J$8,IF($A26=('Outil Cibles'!J$7+20),'Outil Cibles'!J$12*'Outil Cibles'!J$8,IF($A26=('Outil Cibles'!J$7+30),'Outil Cibles'!J$13*'Outil Cibles'!J$8,IF($A26=('Outil Cibles'!J$7+40),'Outil Cibles'!J$14*'Outil Cibles'!J$8,0))))</f>
        <v>0</v>
      </c>
      <c r="I26">
        <f>IF($A26='Outil Cibles'!K$7,'Outil Cibles'!K$11*'Outil Cibles'!K$8,IF($A26=('Outil Cibles'!K$7+20),'Outil Cibles'!K$12*'Outil Cibles'!K$8,IF($A26=('Outil Cibles'!K$7+30),'Outil Cibles'!K$13*'Outil Cibles'!K$8,IF($A26=('Outil Cibles'!K$7+40),'Outil Cibles'!K$14*'Outil Cibles'!K$8,0))))</f>
        <v>0</v>
      </c>
      <c r="J26">
        <f>IF($A26='Outil Cibles'!L$7,'Outil Cibles'!L$11*'Outil Cibles'!L$8,IF($A26=('Outil Cibles'!L$7+20),'Outil Cibles'!L$12*'Outil Cibles'!L$8,IF($A26=('Outil Cibles'!L$7+30),'Outil Cibles'!L$13*'Outil Cibles'!L$8,IF($A26=('Outil Cibles'!L$7+40),'Outil Cibles'!L$14*'Outil Cibles'!L$8,0))))</f>
        <v>0</v>
      </c>
      <c r="K26">
        <f>IF($A26='Outil Cibles'!M$7,'Outil Cibles'!M$11*'Outil Cibles'!M$8,IF($A26=('Outil Cibles'!M$7+20),'Outil Cibles'!M$12*'Outil Cibles'!M$8,IF($A26=('Outil Cibles'!M$7+30),'Outil Cibles'!M$13*'Outil Cibles'!M$8,IF($A26=('Outil Cibles'!M$7+40),'Outil Cibles'!M$14*'Outil Cibles'!M$8,0))))</f>
        <v>0</v>
      </c>
      <c r="L26">
        <f t="shared" si="1"/>
        <v>0</v>
      </c>
      <c r="N26">
        <v>2043</v>
      </c>
      <c r="O26">
        <f>IF(N26='Outil Cibles'!$Q$7, 'Outil Cibles'!$Q$18, 0)</f>
        <v>0</v>
      </c>
      <c r="P26">
        <f>IF(N26='Outil Cibles'!$R$7, 'Outil Cibles'!$R$18, 0)</f>
        <v>0</v>
      </c>
      <c r="Q26">
        <f>IF(N26='Outil Cibles'!$S$7, 'Outil Cibles'!$S$18, 0)</f>
        <v>0</v>
      </c>
      <c r="R26">
        <f>IF(N26='Outil Cibles'!$T$7, 'Outil Cibles'!$T$18, 0)</f>
        <v>0</v>
      </c>
      <c r="S26">
        <f>IF(N26='Outil Cibles'!$U$7, 'Outil Cibles'!$U$18, 0)</f>
        <v>0</v>
      </c>
      <c r="T26">
        <f>IF(N26='Outil Cibles'!$V$7, 'Outil Cibles'!$V$18, 0)</f>
        <v>0</v>
      </c>
      <c r="U26">
        <f>IF(N26='Outil Cibles'!$W$7, 'Outil Cibles'!$W$18, 0)</f>
        <v>0</v>
      </c>
      <c r="V26">
        <f>IF(N26='Outil Cibles'!$X$7, 'Outil Cibles'!$X$18, 0)</f>
        <v>0</v>
      </c>
      <c r="W26">
        <f>IF(N26='Outil Cibles'!$Y$7, 'Outil Cibles'!$Y$18, 0)</f>
        <v>0</v>
      </c>
      <c r="X26">
        <f>IF(N26='Outil Cibles'!$Z$7, 'Outil Cibles'!$Z$18, 0)</f>
        <v>0</v>
      </c>
      <c r="Y26">
        <f t="shared" si="2"/>
        <v>0</v>
      </c>
      <c r="AA26">
        <f>IF($A26='Outil Cibles'!D$7,'Outil Cibles'!D$11*'Outil Cibles'!D$8,0)</f>
        <v>0</v>
      </c>
      <c r="AC26">
        <f>IF($A26=('Outil Cibles'!D$7+20),'Outil Cibles'!D$12*'Outil Cibles'!D$8,0)</f>
        <v>0</v>
      </c>
      <c r="AE26">
        <f>IF($A26=('Outil Cibles'!D$7+30),'Outil Cibles'!D$13*'Outil Cibles'!D$8,0)</f>
        <v>0</v>
      </c>
      <c r="AG26">
        <f>IF($A26=('Outil Cibles'!D$7+40),'Outil Cibles'!D$14*'Outil Cibles'!D$8,0)</f>
        <v>0</v>
      </c>
    </row>
    <row r="27" spans="1:33" x14ac:dyDescent="0.3">
      <c r="A27">
        <v>2044</v>
      </c>
      <c r="B27">
        <f>IF($A27='Outil Cibles'!D$7,'Outil Cibles'!D$11*'Outil Cibles'!D$8,IF($A27=('Outil Cibles'!D$7+20),'Outil Cibles'!D$12*'Outil Cibles'!D$8,IF($A27=('Outil Cibles'!D$7+30),'Outil Cibles'!D$13*'Outil Cibles'!D$8,IF($A27=('Outil Cibles'!D$7+40),'Outil Cibles'!D$14*'Outil Cibles'!D$8,0))))</f>
        <v>7476.4877205977136</v>
      </c>
      <c r="C27">
        <f>IF($A27='Outil Cibles'!E$7,'Outil Cibles'!E$11*'Outil Cibles'!E$8,IF($A27=('Outil Cibles'!E$7+20),'Outil Cibles'!E$12*'Outil Cibles'!E$8,IF($A27=('Outil Cibles'!E$7+30),'Outil Cibles'!E$13*'Outil Cibles'!E$8,IF($A27=('Outil Cibles'!E$7+40),'Outil Cibles'!E$14*'Outil Cibles'!E$8,0))))</f>
        <v>0</v>
      </c>
      <c r="D27">
        <f>IF($A27='Outil Cibles'!F$7,'Outil Cibles'!F$11*'Outil Cibles'!F$8,IF($A27=('Outil Cibles'!F$7+20),'Outil Cibles'!F$12*'Outil Cibles'!F$8,IF($A27=('Outil Cibles'!F$7+30),'Outil Cibles'!F$13*'Outil Cibles'!F$8,IF($A27=('Outil Cibles'!F$7+40),'Outil Cibles'!F$14*'Outil Cibles'!F$8,0))))</f>
        <v>0</v>
      </c>
      <c r="E27">
        <f>IF($A27='Outil Cibles'!G$7,'Outil Cibles'!G$11*'Outil Cibles'!G$8,IF($A27=('Outil Cibles'!G$7+20),'Outil Cibles'!G$12*'Outil Cibles'!G$8,IF($A27=('Outil Cibles'!G$7+30),'Outil Cibles'!G$13*'Outil Cibles'!G$8,IF($A27=('Outil Cibles'!G$7+40),'Outil Cibles'!G$14*'Outil Cibles'!G$8,0))))</f>
        <v>0</v>
      </c>
      <c r="F27">
        <f>IF($A27='Outil Cibles'!H$7,'Outil Cibles'!H$11*'Outil Cibles'!H$8,IF($A27=('Outil Cibles'!H$7+20),'Outil Cibles'!H$12*'Outil Cibles'!H$8,IF($A27=('Outil Cibles'!H$7+30),'Outil Cibles'!H$13*'Outil Cibles'!H$8,IF($A27=('Outil Cibles'!H$7+40),'Outil Cibles'!H$14*'Outil Cibles'!H$8,0))))</f>
        <v>0</v>
      </c>
      <c r="G27">
        <f>IF($A27='Outil Cibles'!I$7,'Outil Cibles'!I$11*'Outil Cibles'!I$8,IF($A27=('Outil Cibles'!I$7+20),'Outil Cibles'!I$12*'Outil Cibles'!I$8,IF($A27=('Outil Cibles'!I$7+30),'Outil Cibles'!I$13*'Outil Cibles'!I$8,IF($A27=('Outil Cibles'!I$7+40),'Outil Cibles'!I$14*'Outil Cibles'!I$8,0))))</f>
        <v>0</v>
      </c>
      <c r="H27">
        <f>IF($A27='Outil Cibles'!J$7,'Outil Cibles'!J$11*'Outil Cibles'!J$8,IF($A27=('Outil Cibles'!J$7+20),'Outil Cibles'!J$12*'Outil Cibles'!J$8,IF($A27=('Outil Cibles'!J$7+30),'Outil Cibles'!J$13*'Outil Cibles'!J$8,IF($A27=('Outil Cibles'!J$7+40),'Outil Cibles'!J$14*'Outil Cibles'!J$8,0))))</f>
        <v>0</v>
      </c>
      <c r="I27">
        <f>IF($A27='Outil Cibles'!K$7,'Outil Cibles'!K$11*'Outil Cibles'!K$8,IF($A27=('Outil Cibles'!K$7+20),'Outil Cibles'!K$12*'Outil Cibles'!K$8,IF($A27=('Outil Cibles'!K$7+30),'Outil Cibles'!K$13*'Outil Cibles'!K$8,IF($A27=('Outil Cibles'!K$7+40),'Outil Cibles'!K$14*'Outil Cibles'!K$8,0))))</f>
        <v>212792.34281701181</v>
      </c>
      <c r="J27">
        <f>IF($A27='Outil Cibles'!L$7,'Outil Cibles'!L$11*'Outil Cibles'!L$8,IF($A27=('Outil Cibles'!L$7+20),'Outil Cibles'!L$12*'Outil Cibles'!L$8,IF($A27=('Outil Cibles'!L$7+30),'Outil Cibles'!L$13*'Outil Cibles'!L$8,IF($A27=('Outil Cibles'!L$7+40),'Outil Cibles'!L$14*'Outil Cibles'!L$8,0))))</f>
        <v>0</v>
      </c>
      <c r="K27">
        <f>IF($A27='Outil Cibles'!M$7,'Outil Cibles'!M$11*'Outil Cibles'!M$8,IF($A27=('Outil Cibles'!M$7+20),'Outil Cibles'!M$12*'Outil Cibles'!M$8,IF($A27=('Outil Cibles'!M$7+30),'Outil Cibles'!M$13*'Outil Cibles'!M$8,IF($A27=('Outil Cibles'!M$7+40),'Outil Cibles'!M$14*'Outil Cibles'!M$8,0))))</f>
        <v>0</v>
      </c>
      <c r="L27">
        <f t="shared" si="1"/>
        <v>220268.83053760952</v>
      </c>
      <c r="N27">
        <v>2044</v>
      </c>
      <c r="O27">
        <f>IF(N27='Outil Cibles'!$Q$7, 'Outil Cibles'!$Q$18, 0)</f>
        <v>0</v>
      </c>
      <c r="P27">
        <f>IF(N27='Outil Cibles'!$R$7, 'Outil Cibles'!$R$18, 0)</f>
        <v>0</v>
      </c>
      <c r="Q27">
        <f>IF(N27='Outil Cibles'!$S$7, 'Outil Cibles'!$S$18, 0)</f>
        <v>0</v>
      </c>
      <c r="R27">
        <f>IF(N27='Outil Cibles'!$T$7, 'Outil Cibles'!$T$18, 0)</f>
        <v>0</v>
      </c>
      <c r="S27">
        <f>IF(N27='Outil Cibles'!$U$7, 'Outil Cibles'!$U$18, 0)</f>
        <v>0</v>
      </c>
      <c r="T27">
        <f>IF(N27='Outil Cibles'!$V$7, 'Outil Cibles'!$V$18, 0)</f>
        <v>0</v>
      </c>
      <c r="U27">
        <f>IF(N27='Outil Cibles'!$W$7, 'Outil Cibles'!$W$18, 0)</f>
        <v>0</v>
      </c>
      <c r="V27">
        <f>IF(N27='Outil Cibles'!$X$7, 'Outil Cibles'!$X$18, 0)</f>
        <v>117696.94589688591</v>
      </c>
      <c r="W27">
        <f>IF(N27='Outil Cibles'!$Y$7, 'Outil Cibles'!$Y$18, 0)</f>
        <v>0</v>
      </c>
      <c r="X27">
        <f>IF(N27='Outil Cibles'!$Z$7, 'Outil Cibles'!$Z$18, 0)</f>
        <v>0</v>
      </c>
      <c r="Y27">
        <f t="shared" si="2"/>
        <v>117696.94589688591</v>
      </c>
      <c r="AA27">
        <f>IF($A27='Outil Cibles'!D$7,'Outil Cibles'!D$11*'Outil Cibles'!D$8,0)</f>
        <v>0</v>
      </c>
      <c r="AC27">
        <f>IF($A27=('Outil Cibles'!D$7+20),'Outil Cibles'!D$12*'Outil Cibles'!D$8,0)</f>
        <v>7476.4877205977136</v>
      </c>
      <c r="AE27">
        <f>IF($A27=('Outil Cibles'!D$7+30),'Outil Cibles'!D$13*'Outil Cibles'!D$8,0)</f>
        <v>0</v>
      </c>
      <c r="AG27">
        <f>IF($A27=('Outil Cibles'!D$7+40),'Outil Cibles'!D$14*'Outil Cibles'!D$8,0)</f>
        <v>0</v>
      </c>
    </row>
    <row r="28" spans="1:33" x14ac:dyDescent="0.3">
      <c r="A28" s="10">
        <v>2045</v>
      </c>
      <c r="B28">
        <f>IF($A28='Outil Cibles'!D$7,'Outil Cibles'!D$11*'Outil Cibles'!D$8,IF($A28=('Outil Cibles'!D$7+20),'Outil Cibles'!D$12*'Outil Cibles'!D$8,IF($A28=('Outil Cibles'!D$7+30),'Outil Cibles'!D$13*'Outil Cibles'!D$8,IF($A28=('Outil Cibles'!D$7+40),'Outil Cibles'!D$14*'Outil Cibles'!D$8,0))))</f>
        <v>0</v>
      </c>
      <c r="C28">
        <f>IF($A28='Outil Cibles'!E$7,'Outil Cibles'!E$11*'Outil Cibles'!E$8,IF($A28=('Outil Cibles'!E$7+20),'Outil Cibles'!E$12*'Outil Cibles'!E$8,IF($A28=('Outil Cibles'!E$7+30),'Outil Cibles'!E$13*'Outil Cibles'!E$8,IF($A28=('Outil Cibles'!E$7+40),'Outil Cibles'!E$14*'Outil Cibles'!E$8,0))))</f>
        <v>0</v>
      </c>
      <c r="D28">
        <f>IF($A28='Outil Cibles'!F$7,'Outil Cibles'!F$11*'Outil Cibles'!F$8,IF($A28=('Outil Cibles'!F$7+20),'Outil Cibles'!F$12*'Outil Cibles'!F$8,IF($A28=('Outil Cibles'!F$7+30),'Outil Cibles'!F$13*'Outil Cibles'!F$8,IF($A28=('Outil Cibles'!F$7+40),'Outil Cibles'!F$14*'Outil Cibles'!F$8,0))))</f>
        <v>0</v>
      </c>
      <c r="E28">
        <f>IF($A28='Outil Cibles'!G$7,'Outil Cibles'!G$11*'Outil Cibles'!G$8,IF($A28=('Outil Cibles'!G$7+20),'Outil Cibles'!G$12*'Outil Cibles'!G$8,IF($A28=('Outil Cibles'!G$7+30),'Outil Cibles'!G$13*'Outil Cibles'!G$8,IF($A28=('Outil Cibles'!G$7+40),'Outil Cibles'!G$14*'Outil Cibles'!G$8,0))))</f>
        <v>0</v>
      </c>
      <c r="F28">
        <f>IF($A28='Outil Cibles'!H$7,'Outil Cibles'!H$11*'Outil Cibles'!H$8,IF($A28=('Outil Cibles'!H$7+20),'Outil Cibles'!H$12*'Outil Cibles'!H$8,IF($A28=('Outil Cibles'!H$7+30),'Outil Cibles'!H$13*'Outil Cibles'!H$8,IF($A28=('Outil Cibles'!H$7+40),'Outil Cibles'!H$14*'Outil Cibles'!H$8,0))))</f>
        <v>0</v>
      </c>
      <c r="G28">
        <f>IF($A28='Outil Cibles'!I$7,'Outil Cibles'!I$11*'Outil Cibles'!I$8,IF($A28=('Outil Cibles'!I$7+20),'Outil Cibles'!I$12*'Outil Cibles'!I$8,IF($A28=('Outil Cibles'!I$7+30),'Outil Cibles'!I$13*'Outil Cibles'!I$8,IF($A28=('Outil Cibles'!I$7+40),'Outil Cibles'!I$14*'Outil Cibles'!I$8,0))))</f>
        <v>0</v>
      </c>
      <c r="H28">
        <f>IF($A28='Outil Cibles'!J$7,'Outil Cibles'!J$11*'Outil Cibles'!J$8,IF($A28=('Outil Cibles'!J$7+20),'Outil Cibles'!J$12*'Outil Cibles'!J$8,IF($A28=('Outil Cibles'!J$7+30),'Outil Cibles'!J$13*'Outil Cibles'!J$8,IF($A28=('Outil Cibles'!J$7+40),'Outil Cibles'!J$14*'Outil Cibles'!J$8,0))))</f>
        <v>0</v>
      </c>
      <c r="I28">
        <f>IF($A28='Outil Cibles'!K$7,'Outil Cibles'!K$11*'Outil Cibles'!K$8,IF($A28=('Outil Cibles'!K$7+20),'Outil Cibles'!K$12*'Outil Cibles'!K$8,IF($A28=('Outil Cibles'!K$7+30),'Outil Cibles'!K$13*'Outil Cibles'!K$8,IF($A28=('Outil Cibles'!K$7+40),'Outil Cibles'!K$14*'Outil Cibles'!K$8,0))))</f>
        <v>0</v>
      </c>
      <c r="J28">
        <f>IF($A28='Outil Cibles'!L$7,'Outil Cibles'!L$11*'Outil Cibles'!L$8,IF($A28=('Outil Cibles'!L$7+20),'Outil Cibles'!L$12*'Outil Cibles'!L$8,IF($A28=('Outil Cibles'!L$7+30),'Outil Cibles'!L$13*'Outil Cibles'!L$8,IF($A28=('Outil Cibles'!L$7+40),'Outil Cibles'!L$14*'Outil Cibles'!L$8,0))))</f>
        <v>0</v>
      </c>
      <c r="K28">
        <f>IF($A28='Outil Cibles'!M$7,'Outil Cibles'!M$11*'Outil Cibles'!M$8,IF($A28=('Outil Cibles'!M$7+20),'Outil Cibles'!M$12*'Outil Cibles'!M$8,IF($A28=('Outil Cibles'!M$7+30),'Outil Cibles'!M$13*'Outil Cibles'!M$8,IF($A28=('Outil Cibles'!M$7+40),'Outil Cibles'!M$14*'Outil Cibles'!M$8,0))))</f>
        <v>0</v>
      </c>
      <c r="L28">
        <f t="shared" si="1"/>
        <v>0</v>
      </c>
      <c r="N28" s="10">
        <v>2045</v>
      </c>
      <c r="O28">
        <f>IF(N28='Outil Cibles'!$Q$7, 'Outil Cibles'!$Q$18, 0)</f>
        <v>0</v>
      </c>
      <c r="P28">
        <f>IF(N28='Outil Cibles'!$R$7, 'Outil Cibles'!$R$18, 0)</f>
        <v>0</v>
      </c>
      <c r="Q28">
        <f>IF(N28='Outil Cibles'!$S$7, 'Outil Cibles'!$S$18, 0)</f>
        <v>0</v>
      </c>
      <c r="R28">
        <f>IF(N28='Outil Cibles'!$T$7, 'Outil Cibles'!$T$18, 0)</f>
        <v>0</v>
      </c>
      <c r="S28">
        <f>IF(N28='Outil Cibles'!$U$7, 'Outil Cibles'!$U$18, 0)</f>
        <v>0</v>
      </c>
      <c r="T28">
        <f>IF(N28='Outil Cibles'!$V$7, 'Outil Cibles'!$V$18, 0)</f>
        <v>0</v>
      </c>
      <c r="U28">
        <f>IF(N28='Outil Cibles'!$W$7, 'Outil Cibles'!$W$18, 0)</f>
        <v>0</v>
      </c>
      <c r="V28">
        <f>IF(N28='Outil Cibles'!$X$7, 'Outil Cibles'!$X$18, 0)</f>
        <v>0</v>
      </c>
      <c r="W28">
        <f>IF(N28='Outil Cibles'!$Y$7, 'Outil Cibles'!$Y$18, 0)</f>
        <v>0</v>
      </c>
      <c r="X28">
        <f>IF(N28='Outil Cibles'!$Z$7, 'Outil Cibles'!$Z$18, 0)</f>
        <v>0</v>
      </c>
      <c r="Y28">
        <f t="shared" si="2"/>
        <v>0</v>
      </c>
      <c r="AA28">
        <f>IF($A28='Outil Cibles'!D$7,'Outil Cibles'!D$11*'Outil Cibles'!D$8,0)</f>
        <v>0</v>
      </c>
      <c r="AC28">
        <f>IF($A28=('Outil Cibles'!D$7+20),'Outil Cibles'!D$12*'Outil Cibles'!D$8,0)</f>
        <v>0</v>
      </c>
      <c r="AE28">
        <f>IF($A28=('Outil Cibles'!D$7+30),'Outil Cibles'!D$13*'Outil Cibles'!D$8,0)</f>
        <v>0</v>
      </c>
      <c r="AG28">
        <f>IF($A28=('Outil Cibles'!D$7+40),'Outil Cibles'!D$14*'Outil Cibles'!D$8,0)</f>
        <v>0</v>
      </c>
    </row>
    <row r="29" spans="1:33" x14ac:dyDescent="0.3">
      <c r="A29">
        <v>2046</v>
      </c>
      <c r="B29">
        <f>IF($A29='Outil Cibles'!D$7,'Outil Cibles'!D$11*'Outil Cibles'!D$8,IF($A29=('Outil Cibles'!D$7+20),'Outil Cibles'!D$12*'Outil Cibles'!D$8,IF($A29=('Outil Cibles'!D$7+30),'Outil Cibles'!D$13*'Outil Cibles'!D$8,IF($A29=('Outil Cibles'!D$7+40),'Outil Cibles'!D$14*'Outil Cibles'!D$8,0))))</f>
        <v>0</v>
      </c>
      <c r="C29">
        <f>IF($A29='Outil Cibles'!E$7,'Outil Cibles'!E$11*'Outil Cibles'!E$8,IF($A29=('Outil Cibles'!E$7+20),'Outil Cibles'!E$12*'Outil Cibles'!E$8,IF($A29=('Outil Cibles'!E$7+30),'Outil Cibles'!E$13*'Outil Cibles'!E$8,IF($A29=('Outil Cibles'!E$7+40),'Outil Cibles'!E$14*'Outil Cibles'!E$8,0))))</f>
        <v>6173.3431244843987</v>
      </c>
      <c r="D29">
        <f>IF($A29='Outil Cibles'!F$7,'Outil Cibles'!F$11*'Outil Cibles'!F$8,IF($A29=('Outil Cibles'!F$7+20),'Outil Cibles'!F$12*'Outil Cibles'!F$8,IF($A29=('Outil Cibles'!F$7+30),'Outil Cibles'!F$13*'Outil Cibles'!F$8,IF($A29=('Outil Cibles'!F$7+40),'Outil Cibles'!F$14*'Outil Cibles'!F$8,0))))</f>
        <v>0</v>
      </c>
      <c r="E29">
        <f>IF($A29='Outil Cibles'!G$7,'Outil Cibles'!G$11*'Outil Cibles'!G$8,IF($A29=('Outil Cibles'!G$7+20),'Outil Cibles'!G$12*'Outil Cibles'!G$8,IF($A29=('Outil Cibles'!G$7+30),'Outil Cibles'!G$13*'Outil Cibles'!G$8,IF($A29=('Outil Cibles'!G$7+40),'Outil Cibles'!G$14*'Outil Cibles'!G$8,0))))</f>
        <v>0</v>
      </c>
      <c r="F29">
        <f>IF($A29='Outil Cibles'!H$7,'Outil Cibles'!H$11*'Outil Cibles'!H$8,IF($A29=('Outil Cibles'!H$7+20),'Outil Cibles'!H$12*'Outil Cibles'!H$8,IF($A29=('Outil Cibles'!H$7+30),'Outil Cibles'!H$13*'Outil Cibles'!H$8,IF($A29=('Outil Cibles'!H$7+40),'Outil Cibles'!H$14*'Outil Cibles'!H$8,0))))</f>
        <v>0</v>
      </c>
      <c r="G29">
        <f>IF($A29='Outil Cibles'!I$7,'Outil Cibles'!I$11*'Outil Cibles'!I$8,IF($A29=('Outil Cibles'!I$7+20),'Outil Cibles'!I$12*'Outil Cibles'!I$8,IF($A29=('Outil Cibles'!I$7+30),'Outil Cibles'!I$13*'Outil Cibles'!I$8,IF($A29=('Outil Cibles'!I$7+40),'Outil Cibles'!I$14*'Outil Cibles'!I$8,0))))</f>
        <v>0</v>
      </c>
      <c r="H29">
        <f>IF($A29='Outil Cibles'!J$7,'Outil Cibles'!J$11*'Outil Cibles'!J$8,IF($A29=('Outil Cibles'!J$7+20),'Outil Cibles'!J$12*'Outil Cibles'!J$8,IF($A29=('Outil Cibles'!J$7+30),'Outil Cibles'!J$13*'Outil Cibles'!J$8,IF($A29=('Outil Cibles'!J$7+40),'Outil Cibles'!J$14*'Outil Cibles'!J$8,0))))</f>
        <v>0</v>
      </c>
      <c r="I29">
        <f>IF($A29='Outil Cibles'!K$7,'Outil Cibles'!K$11*'Outil Cibles'!K$8,IF($A29=('Outil Cibles'!K$7+20),'Outil Cibles'!K$12*'Outil Cibles'!K$8,IF($A29=('Outil Cibles'!K$7+30),'Outil Cibles'!K$13*'Outil Cibles'!K$8,IF($A29=('Outil Cibles'!K$7+40),'Outil Cibles'!K$14*'Outil Cibles'!K$8,0))))</f>
        <v>0</v>
      </c>
      <c r="J29">
        <f>IF($A29='Outil Cibles'!L$7,'Outil Cibles'!L$11*'Outil Cibles'!L$8,IF($A29=('Outil Cibles'!L$7+20),'Outil Cibles'!L$12*'Outil Cibles'!L$8,IF($A29=('Outil Cibles'!L$7+30),'Outil Cibles'!L$13*'Outil Cibles'!L$8,IF($A29=('Outil Cibles'!L$7+40),'Outil Cibles'!L$14*'Outil Cibles'!L$8,0))))</f>
        <v>0</v>
      </c>
      <c r="K29">
        <f>IF($A29='Outil Cibles'!M$7,'Outil Cibles'!M$11*'Outil Cibles'!M$8,IF($A29=('Outil Cibles'!M$7+20),'Outil Cibles'!M$12*'Outil Cibles'!M$8,IF($A29=('Outil Cibles'!M$7+30),'Outil Cibles'!M$13*'Outil Cibles'!M$8,IF($A29=('Outil Cibles'!M$7+40),'Outil Cibles'!M$14*'Outil Cibles'!M$8,0))))</f>
        <v>0</v>
      </c>
      <c r="L29">
        <f t="shared" si="1"/>
        <v>6173.3431244843987</v>
      </c>
      <c r="N29">
        <v>2046</v>
      </c>
      <c r="O29">
        <f>IF(N29='Outil Cibles'!$Q$7, 'Outil Cibles'!$Q$18, 0)</f>
        <v>0</v>
      </c>
      <c r="P29">
        <f>IF(N29='Outil Cibles'!$R$7, 'Outil Cibles'!$R$18, 0)</f>
        <v>0</v>
      </c>
      <c r="Q29">
        <f>IF(N29='Outil Cibles'!$S$7, 'Outil Cibles'!$S$18, 0)</f>
        <v>0</v>
      </c>
      <c r="R29">
        <f>IF(N29='Outil Cibles'!$T$7, 'Outil Cibles'!$T$18, 0)</f>
        <v>0</v>
      </c>
      <c r="S29">
        <f>IF(N29='Outil Cibles'!$U$7, 'Outil Cibles'!$U$18, 0)</f>
        <v>0</v>
      </c>
      <c r="T29">
        <f>IF(N29='Outil Cibles'!$V$7, 'Outil Cibles'!$V$18, 0)</f>
        <v>0</v>
      </c>
      <c r="U29">
        <f>IF(N29='Outil Cibles'!$W$7, 'Outil Cibles'!$W$18, 0)</f>
        <v>0</v>
      </c>
      <c r="V29">
        <f>IF(N29='Outil Cibles'!$X$7, 'Outil Cibles'!$X$18, 0)</f>
        <v>0</v>
      </c>
      <c r="W29">
        <f>IF(N29='Outil Cibles'!$Y$7, 'Outil Cibles'!$Y$18, 0)</f>
        <v>0</v>
      </c>
      <c r="X29">
        <f>IF(N29='Outil Cibles'!$Z$7, 'Outil Cibles'!$Z$18, 0)</f>
        <v>0</v>
      </c>
      <c r="Y29">
        <f t="shared" si="2"/>
        <v>0</v>
      </c>
      <c r="AA29">
        <f>IF($A29='Outil Cibles'!D$7,'Outil Cibles'!D$11*'Outil Cibles'!D$8,0)</f>
        <v>0</v>
      </c>
      <c r="AC29">
        <f>IF($A29=('Outil Cibles'!D$7+20),'Outil Cibles'!D$12*'Outil Cibles'!D$8,0)</f>
        <v>0</v>
      </c>
      <c r="AE29">
        <f>IF($A29=('Outil Cibles'!D$7+30),'Outil Cibles'!D$13*'Outil Cibles'!D$8,0)</f>
        <v>0</v>
      </c>
      <c r="AG29">
        <f>IF($A29=('Outil Cibles'!D$7+40),'Outil Cibles'!D$14*'Outil Cibles'!D$8,0)</f>
        <v>0</v>
      </c>
    </row>
    <row r="30" spans="1:33" x14ac:dyDescent="0.3">
      <c r="A30">
        <v>2047</v>
      </c>
      <c r="B30">
        <f>IF($A30='Outil Cibles'!D$7,'Outil Cibles'!D$11*'Outil Cibles'!D$8,IF($A30=('Outil Cibles'!D$7+20),'Outil Cibles'!D$12*'Outil Cibles'!D$8,IF($A30=('Outil Cibles'!D$7+30),'Outil Cibles'!D$13*'Outil Cibles'!D$8,IF($A30=('Outil Cibles'!D$7+40),'Outil Cibles'!D$14*'Outil Cibles'!D$8,0))))</f>
        <v>0</v>
      </c>
      <c r="C30">
        <f>IF($A30='Outil Cibles'!E$7,'Outil Cibles'!E$11*'Outil Cibles'!E$8,IF($A30=('Outil Cibles'!E$7+20),'Outil Cibles'!E$12*'Outil Cibles'!E$8,IF($A30=('Outil Cibles'!E$7+30),'Outil Cibles'!E$13*'Outil Cibles'!E$8,IF($A30=('Outil Cibles'!E$7+40),'Outil Cibles'!E$14*'Outil Cibles'!E$8,0))))</f>
        <v>0</v>
      </c>
      <c r="D30">
        <f>IF($A30='Outil Cibles'!F$7,'Outil Cibles'!F$11*'Outil Cibles'!F$8,IF($A30=('Outil Cibles'!F$7+20),'Outil Cibles'!F$12*'Outil Cibles'!F$8,IF($A30=('Outil Cibles'!F$7+30),'Outil Cibles'!F$13*'Outil Cibles'!F$8,IF($A30=('Outil Cibles'!F$7+40),'Outil Cibles'!F$14*'Outil Cibles'!F$8,0))))</f>
        <v>0</v>
      </c>
      <c r="E30">
        <f>IF($A30='Outil Cibles'!G$7,'Outil Cibles'!G$11*'Outil Cibles'!G$8,IF($A30=('Outil Cibles'!G$7+20),'Outil Cibles'!G$12*'Outil Cibles'!G$8,IF($A30=('Outil Cibles'!G$7+30),'Outil Cibles'!G$13*'Outil Cibles'!G$8,IF($A30=('Outil Cibles'!G$7+40),'Outil Cibles'!G$14*'Outil Cibles'!G$8,0))))</f>
        <v>0</v>
      </c>
      <c r="F30">
        <f>IF($A30='Outil Cibles'!H$7,'Outil Cibles'!H$11*'Outil Cibles'!H$8,IF($A30=('Outil Cibles'!H$7+20),'Outil Cibles'!H$12*'Outil Cibles'!H$8,IF($A30=('Outil Cibles'!H$7+30),'Outil Cibles'!H$13*'Outil Cibles'!H$8,IF($A30=('Outil Cibles'!H$7+40),'Outil Cibles'!H$14*'Outil Cibles'!H$8,0))))</f>
        <v>0</v>
      </c>
      <c r="G30">
        <f>IF($A30='Outil Cibles'!I$7,'Outil Cibles'!I$11*'Outil Cibles'!I$8,IF($A30=('Outil Cibles'!I$7+20),'Outil Cibles'!I$12*'Outil Cibles'!I$8,IF($A30=('Outil Cibles'!I$7+30),'Outil Cibles'!I$13*'Outil Cibles'!I$8,IF($A30=('Outil Cibles'!I$7+40),'Outil Cibles'!I$14*'Outil Cibles'!I$8,0))))</f>
        <v>0</v>
      </c>
      <c r="H30">
        <f>IF($A30='Outil Cibles'!J$7,'Outil Cibles'!J$11*'Outil Cibles'!J$8,IF($A30=('Outil Cibles'!J$7+20),'Outil Cibles'!J$12*'Outil Cibles'!J$8,IF($A30=('Outil Cibles'!J$7+30),'Outil Cibles'!J$13*'Outil Cibles'!J$8,IF($A30=('Outil Cibles'!J$7+40),'Outil Cibles'!J$14*'Outil Cibles'!J$8,0))))</f>
        <v>0</v>
      </c>
      <c r="I30">
        <f>IF($A30='Outil Cibles'!K$7,'Outil Cibles'!K$11*'Outil Cibles'!K$8,IF($A30=('Outil Cibles'!K$7+20),'Outil Cibles'!K$12*'Outil Cibles'!K$8,IF($A30=('Outil Cibles'!K$7+30),'Outil Cibles'!K$13*'Outil Cibles'!K$8,IF($A30=('Outil Cibles'!K$7+40),'Outil Cibles'!K$14*'Outil Cibles'!K$8,0))))</f>
        <v>0</v>
      </c>
      <c r="J30">
        <f>IF($A30='Outil Cibles'!L$7,'Outil Cibles'!L$11*'Outil Cibles'!L$8,IF($A30=('Outil Cibles'!L$7+20),'Outil Cibles'!L$12*'Outil Cibles'!L$8,IF($A30=('Outil Cibles'!L$7+30),'Outil Cibles'!L$13*'Outil Cibles'!L$8,IF($A30=('Outil Cibles'!L$7+40),'Outil Cibles'!L$14*'Outil Cibles'!L$8,0))))</f>
        <v>0</v>
      </c>
      <c r="K30">
        <f>IF($A30='Outil Cibles'!M$7,'Outil Cibles'!M$11*'Outil Cibles'!M$8,IF($A30=('Outil Cibles'!M$7+20),'Outil Cibles'!M$12*'Outil Cibles'!M$8,IF($A30=('Outil Cibles'!M$7+30),'Outil Cibles'!M$13*'Outil Cibles'!M$8,IF($A30=('Outil Cibles'!M$7+40),'Outil Cibles'!M$14*'Outil Cibles'!M$8,0))))</f>
        <v>0</v>
      </c>
      <c r="L30">
        <f t="shared" si="1"/>
        <v>0</v>
      </c>
      <c r="N30">
        <v>2047</v>
      </c>
      <c r="O30">
        <f>IF(N30='Outil Cibles'!$Q$7, 'Outil Cibles'!$Q$18, 0)</f>
        <v>0</v>
      </c>
      <c r="P30">
        <f>IF(N30='Outil Cibles'!$R$7, 'Outil Cibles'!$R$18, 0)</f>
        <v>0</v>
      </c>
      <c r="Q30">
        <f>IF(N30='Outil Cibles'!$S$7, 'Outil Cibles'!$S$18, 0)</f>
        <v>0</v>
      </c>
      <c r="R30">
        <f>IF(N30='Outil Cibles'!$T$7, 'Outil Cibles'!$T$18, 0)</f>
        <v>0</v>
      </c>
      <c r="S30">
        <f>IF(N30='Outil Cibles'!$U$7, 'Outil Cibles'!$U$18, 0)</f>
        <v>0</v>
      </c>
      <c r="T30">
        <f>IF(N30='Outil Cibles'!$V$7, 'Outil Cibles'!$V$18, 0)</f>
        <v>0</v>
      </c>
      <c r="U30">
        <f>IF(N30='Outil Cibles'!$W$7, 'Outil Cibles'!$W$18, 0)</f>
        <v>0</v>
      </c>
      <c r="V30">
        <f>IF(N30='Outil Cibles'!$X$7, 'Outil Cibles'!$X$18, 0)</f>
        <v>0</v>
      </c>
      <c r="W30">
        <f>IF(N30='Outil Cibles'!$Y$7, 'Outil Cibles'!$Y$18, 0)</f>
        <v>0</v>
      </c>
      <c r="X30">
        <f>IF(N30='Outil Cibles'!$Z$7, 'Outil Cibles'!$Z$18, 0)</f>
        <v>0</v>
      </c>
      <c r="Y30">
        <f t="shared" si="2"/>
        <v>0</v>
      </c>
      <c r="AA30">
        <f>IF($A30='Outil Cibles'!D$7,'Outil Cibles'!D$11*'Outil Cibles'!D$8,0)</f>
        <v>0</v>
      </c>
      <c r="AC30">
        <f>IF($A30=('Outil Cibles'!D$7+20),'Outil Cibles'!D$12*'Outil Cibles'!D$8,0)</f>
        <v>0</v>
      </c>
      <c r="AE30">
        <f>IF($A30=('Outil Cibles'!D$7+30),'Outil Cibles'!D$13*'Outil Cibles'!D$8,0)</f>
        <v>0</v>
      </c>
      <c r="AG30">
        <f>IF($A30=('Outil Cibles'!D$7+40),'Outil Cibles'!D$14*'Outil Cibles'!D$8,0)</f>
        <v>0</v>
      </c>
    </row>
    <row r="31" spans="1:33" x14ac:dyDescent="0.3">
      <c r="A31">
        <v>2048</v>
      </c>
      <c r="B31">
        <f>IF($A31='Outil Cibles'!D$7,'Outil Cibles'!D$11*'Outil Cibles'!D$8,IF($A31=('Outil Cibles'!D$7+20),'Outil Cibles'!D$12*'Outil Cibles'!D$8,IF($A31=('Outil Cibles'!D$7+30),'Outil Cibles'!D$13*'Outil Cibles'!D$8,IF($A31=('Outil Cibles'!D$7+40),'Outil Cibles'!D$14*'Outil Cibles'!D$8,0))))</f>
        <v>0</v>
      </c>
      <c r="C31">
        <f>IF($A31='Outil Cibles'!E$7,'Outil Cibles'!E$11*'Outil Cibles'!E$8,IF($A31=('Outil Cibles'!E$7+20),'Outil Cibles'!E$12*'Outil Cibles'!E$8,IF($A31=('Outil Cibles'!E$7+30),'Outil Cibles'!E$13*'Outil Cibles'!E$8,IF($A31=('Outil Cibles'!E$7+40),'Outil Cibles'!E$14*'Outil Cibles'!E$8,0))))</f>
        <v>0</v>
      </c>
      <c r="D31">
        <f>IF($A31='Outil Cibles'!F$7,'Outil Cibles'!F$11*'Outil Cibles'!F$8,IF($A31=('Outil Cibles'!F$7+20),'Outil Cibles'!F$12*'Outil Cibles'!F$8,IF($A31=('Outil Cibles'!F$7+30),'Outil Cibles'!F$13*'Outil Cibles'!F$8,IF($A31=('Outil Cibles'!F$7+40),'Outil Cibles'!F$14*'Outil Cibles'!F$8,0))))</f>
        <v>0</v>
      </c>
      <c r="E31">
        <f>IF($A31='Outil Cibles'!G$7,'Outil Cibles'!G$11*'Outil Cibles'!G$8,IF($A31=('Outil Cibles'!G$7+20),'Outil Cibles'!G$12*'Outil Cibles'!G$8,IF($A31=('Outil Cibles'!G$7+30),'Outil Cibles'!G$13*'Outil Cibles'!G$8,IF($A31=('Outil Cibles'!G$7+40),'Outil Cibles'!G$14*'Outil Cibles'!G$8,0))))</f>
        <v>0</v>
      </c>
      <c r="F31">
        <f>IF($A31='Outil Cibles'!H$7,'Outil Cibles'!H$11*'Outil Cibles'!H$8,IF($A31=('Outil Cibles'!H$7+20),'Outil Cibles'!H$12*'Outil Cibles'!H$8,IF($A31=('Outil Cibles'!H$7+30),'Outil Cibles'!H$13*'Outil Cibles'!H$8,IF($A31=('Outil Cibles'!H$7+40),'Outil Cibles'!H$14*'Outil Cibles'!H$8,0))))</f>
        <v>0</v>
      </c>
      <c r="G31">
        <f>IF($A31='Outil Cibles'!I$7,'Outil Cibles'!I$11*'Outil Cibles'!I$8,IF($A31=('Outil Cibles'!I$7+20),'Outil Cibles'!I$12*'Outil Cibles'!I$8,IF($A31=('Outil Cibles'!I$7+30),'Outil Cibles'!I$13*'Outil Cibles'!I$8,IF($A31=('Outil Cibles'!I$7+40),'Outil Cibles'!I$14*'Outil Cibles'!I$8,0))))</f>
        <v>0</v>
      </c>
      <c r="H31">
        <f>IF($A31='Outil Cibles'!J$7,'Outil Cibles'!J$11*'Outil Cibles'!J$8,IF($A31=('Outil Cibles'!J$7+20),'Outil Cibles'!J$12*'Outil Cibles'!J$8,IF($A31=('Outil Cibles'!J$7+30),'Outil Cibles'!J$13*'Outil Cibles'!J$8,IF($A31=('Outil Cibles'!J$7+40),'Outil Cibles'!J$14*'Outil Cibles'!J$8,0))))</f>
        <v>0</v>
      </c>
      <c r="I31">
        <f>IF($A31='Outil Cibles'!K$7,'Outil Cibles'!K$11*'Outil Cibles'!K$8,IF($A31=('Outil Cibles'!K$7+20),'Outil Cibles'!K$12*'Outil Cibles'!K$8,IF($A31=('Outil Cibles'!K$7+30),'Outil Cibles'!K$13*'Outil Cibles'!K$8,IF($A31=('Outil Cibles'!K$7+40),'Outil Cibles'!K$14*'Outil Cibles'!K$8,0))))</f>
        <v>0</v>
      </c>
      <c r="J31">
        <f>IF($A31='Outil Cibles'!L$7,'Outil Cibles'!L$11*'Outil Cibles'!L$8,IF($A31=('Outil Cibles'!L$7+20),'Outil Cibles'!L$12*'Outil Cibles'!L$8,IF($A31=('Outil Cibles'!L$7+30),'Outil Cibles'!L$13*'Outil Cibles'!L$8,IF($A31=('Outil Cibles'!L$7+40),'Outil Cibles'!L$14*'Outil Cibles'!L$8,0))))</f>
        <v>157687.96679973201</v>
      </c>
      <c r="K31">
        <f>IF($A31='Outil Cibles'!M$7,'Outil Cibles'!M$11*'Outil Cibles'!M$8,IF($A31=('Outil Cibles'!M$7+20),'Outil Cibles'!M$12*'Outil Cibles'!M$8,IF($A31=('Outil Cibles'!M$7+30),'Outil Cibles'!M$13*'Outil Cibles'!M$8,IF($A31=('Outil Cibles'!M$7+40),'Outil Cibles'!M$14*'Outil Cibles'!M$8,0))))</f>
        <v>0</v>
      </c>
      <c r="L31">
        <f t="shared" si="1"/>
        <v>157687.96679973201</v>
      </c>
      <c r="N31">
        <v>2048</v>
      </c>
      <c r="O31">
        <f>IF(N31='Outil Cibles'!$Q$7, 'Outil Cibles'!$Q$18, 0)</f>
        <v>0</v>
      </c>
      <c r="P31">
        <f>IF(N31='Outil Cibles'!$R$7, 'Outil Cibles'!$R$18, 0)</f>
        <v>0</v>
      </c>
      <c r="Q31">
        <f>IF(N31='Outil Cibles'!$S$7, 'Outil Cibles'!$S$18, 0)</f>
        <v>0</v>
      </c>
      <c r="R31">
        <f>IF(N31='Outil Cibles'!$T$7, 'Outil Cibles'!$T$18, 0)</f>
        <v>0</v>
      </c>
      <c r="S31">
        <f>IF(N31='Outil Cibles'!$U$7, 'Outil Cibles'!$U$18, 0)</f>
        <v>0</v>
      </c>
      <c r="T31">
        <f>IF(N31='Outil Cibles'!$V$7, 'Outil Cibles'!$V$18, 0)</f>
        <v>0</v>
      </c>
      <c r="U31">
        <f>IF(N31='Outil Cibles'!$W$7, 'Outil Cibles'!$W$18, 0)</f>
        <v>0</v>
      </c>
      <c r="V31">
        <f>IF(N31='Outil Cibles'!$X$7, 'Outil Cibles'!$X$18, 0)</f>
        <v>0</v>
      </c>
      <c r="W31">
        <f>IF(N31='Outil Cibles'!$Y$7, 'Outil Cibles'!$Y$18, 0)</f>
        <v>86520.468331042226</v>
      </c>
      <c r="X31">
        <f>IF(N31='Outil Cibles'!$Z$7, 'Outil Cibles'!$Z$18, 0)</f>
        <v>0</v>
      </c>
      <c r="Y31">
        <f t="shared" si="2"/>
        <v>86520.468331042226</v>
      </c>
      <c r="AA31">
        <f>IF($A31='Outil Cibles'!D$7,'Outil Cibles'!D$11*'Outil Cibles'!D$8,0)</f>
        <v>0</v>
      </c>
      <c r="AC31">
        <f>IF($A31=('Outil Cibles'!D$7+20),'Outil Cibles'!D$12*'Outil Cibles'!D$8,0)</f>
        <v>0</v>
      </c>
      <c r="AE31">
        <f>IF($A31=('Outil Cibles'!D$7+30),'Outil Cibles'!D$13*'Outil Cibles'!D$8,0)</f>
        <v>0</v>
      </c>
      <c r="AG31">
        <f>IF($A31=('Outil Cibles'!D$7+40),'Outil Cibles'!D$14*'Outil Cibles'!D$8,0)</f>
        <v>0</v>
      </c>
    </row>
    <row r="32" spans="1:33" x14ac:dyDescent="0.3">
      <c r="A32">
        <v>2049</v>
      </c>
      <c r="B32">
        <f>IF($A32='Outil Cibles'!D$7,'Outil Cibles'!D$11*'Outil Cibles'!D$8,IF($A32=('Outil Cibles'!D$7+20),'Outil Cibles'!D$12*'Outil Cibles'!D$8,IF($A32=('Outil Cibles'!D$7+30),'Outil Cibles'!D$13*'Outil Cibles'!D$8,IF($A32=('Outil Cibles'!D$7+40),'Outil Cibles'!D$14*'Outil Cibles'!D$8,0))))</f>
        <v>0</v>
      </c>
      <c r="C32">
        <f>IF($A32='Outil Cibles'!E$7,'Outil Cibles'!E$11*'Outil Cibles'!E$8,IF($A32=('Outil Cibles'!E$7+20),'Outil Cibles'!E$12*'Outil Cibles'!E$8,IF($A32=('Outil Cibles'!E$7+30),'Outil Cibles'!E$13*'Outil Cibles'!E$8,IF($A32=('Outil Cibles'!E$7+40),'Outil Cibles'!E$14*'Outil Cibles'!E$8,0))))</f>
        <v>0</v>
      </c>
      <c r="D32">
        <f>IF($A32='Outil Cibles'!F$7,'Outil Cibles'!F$11*'Outil Cibles'!F$8,IF($A32=('Outil Cibles'!F$7+20),'Outil Cibles'!F$12*'Outil Cibles'!F$8,IF($A32=('Outil Cibles'!F$7+30),'Outil Cibles'!F$13*'Outil Cibles'!F$8,IF($A32=('Outil Cibles'!F$7+40),'Outil Cibles'!F$14*'Outil Cibles'!F$8,0))))</f>
        <v>0</v>
      </c>
      <c r="E32">
        <f>IF($A32='Outil Cibles'!G$7,'Outil Cibles'!G$11*'Outil Cibles'!G$8,IF($A32=('Outil Cibles'!G$7+20),'Outil Cibles'!G$12*'Outil Cibles'!G$8,IF($A32=('Outil Cibles'!G$7+30),'Outil Cibles'!G$13*'Outil Cibles'!G$8,IF($A32=('Outil Cibles'!G$7+40),'Outil Cibles'!G$14*'Outil Cibles'!G$8,0))))</f>
        <v>0</v>
      </c>
      <c r="F32">
        <f>IF($A32='Outil Cibles'!H$7,'Outil Cibles'!H$11*'Outil Cibles'!H$8,IF($A32=('Outil Cibles'!H$7+20),'Outil Cibles'!H$12*'Outil Cibles'!H$8,IF($A32=('Outil Cibles'!H$7+30),'Outil Cibles'!H$13*'Outil Cibles'!H$8,IF($A32=('Outil Cibles'!H$7+40),'Outil Cibles'!H$14*'Outil Cibles'!H$8,0))))</f>
        <v>0</v>
      </c>
      <c r="G32">
        <f>IF($A32='Outil Cibles'!I$7,'Outil Cibles'!I$11*'Outil Cibles'!I$8,IF($A32=('Outil Cibles'!I$7+20),'Outil Cibles'!I$12*'Outil Cibles'!I$8,IF($A32=('Outil Cibles'!I$7+30),'Outil Cibles'!I$13*'Outil Cibles'!I$8,IF($A32=('Outil Cibles'!I$7+40),'Outil Cibles'!I$14*'Outil Cibles'!I$8,0))))</f>
        <v>0</v>
      </c>
      <c r="H32">
        <f>IF($A32='Outil Cibles'!J$7,'Outil Cibles'!J$11*'Outil Cibles'!J$8,IF($A32=('Outil Cibles'!J$7+20),'Outil Cibles'!J$12*'Outil Cibles'!J$8,IF($A32=('Outil Cibles'!J$7+30),'Outil Cibles'!J$13*'Outil Cibles'!J$8,IF($A32=('Outil Cibles'!J$7+40),'Outil Cibles'!J$14*'Outil Cibles'!J$8,0))))</f>
        <v>0</v>
      </c>
      <c r="I32">
        <f>IF($A32='Outil Cibles'!K$7,'Outil Cibles'!K$11*'Outil Cibles'!K$8,IF($A32=('Outil Cibles'!K$7+20),'Outil Cibles'!K$12*'Outil Cibles'!K$8,IF($A32=('Outil Cibles'!K$7+30),'Outil Cibles'!K$13*'Outil Cibles'!K$8,IF($A32=('Outil Cibles'!K$7+40),'Outil Cibles'!K$14*'Outil Cibles'!K$8,0))))</f>
        <v>0</v>
      </c>
      <c r="J32">
        <f>IF($A32='Outil Cibles'!L$7,'Outil Cibles'!L$11*'Outil Cibles'!L$8,IF($A32=('Outil Cibles'!L$7+20),'Outil Cibles'!L$12*'Outil Cibles'!L$8,IF($A32=('Outil Cibles'!L$7+30),'Outil Cibles'!L$13*'Outil Cibles'!L$8,IF($A32=('Outil Cibles'!L$7+40),'Outil Cibles'!L$14*'Outil Cibles'!L$8,0))))</f>
        <v>0</v>
      </c>
      <c r="K32">
        <f>IF($A32='Outil Cibles'!M$7,'Outil Cibles'!M$11*'Outil Cibles'!M$8,IF($A32=('Outil Cibles'!M$7+20),'Outil Cibles'!M$12*'Outil Cibles'!M$8,IF($A32=('Outil Cibles'!M$7+30),'Outil Cibles'!M$13*'Outil Cibles'!M$8,IF($A32=('Outil Cibles'!M$7+40),'Outil Cibles'!M$14*'Outil Cibles'!M$8,0))))</f>
        <v>0</v>
      </c>
      <c r="L32">
        <f t="shared" si="1"/>
        <v>0</v>
      </c>
      <c r="N32">
        <v>2049</v>
      </c>
      <c r="O32">
        <f>IF(N32='Outil Cibles'!$Q$7, 'Outil Cibles'!$Q$18, 0)</f>
        <v>0</v>
      </c>
      <c r="P32">
        <f>IF(N32='Outil Cibles'!$R$7, 'Outil Cibles'!$R$18, 0)</f>
        <v>0</v>
      </c>
      <c r="Q32">
        <f>IF(N32='Outil Cibles'!$S$7, 'Outil Cibles'!$S$18, 0)</f>
        <v>0</v>
      </c>
      <c r="R32">
        <f>IF(N32='Outil Cibles'!$T$7, 'Outil Cibles'!$T$18, 0)</f>
        <v>0</v>
      </c>
      <c r="S32">
        <f>IF(N32='Outil Cibles'!$U$7, 'Outil Cibles'!$U$18, 0)</f>
        <v>0</v>
      </c>
      <c r="T32">
        <f>IF(N32='Outil Cibles'!$V$7, 'Outil Cibles'!$V$18, 0)</f>
        <v>0</v>
      </c>
      <c r="U32">
        <f>IF(N32='Outil Cibles'!$W$7, 'Outil Cibles'!$W$18, 0)</f>
        <v>0</v>
      </c>
      <c r="V32">
        <f>IF(N32='Outil Cibles'!$X$7, 'Outil Cibles'!$X$18, 0)</f>
        <v>0</v>
      </c>
      <c r="W32">
        <f>IF(N32='Outil Cibles'!$Y$7, 'Outil Cibles'!$Y$18, 0)</f>
        <v>0</v>
      </c>
      <c r="X32">
        <f>IF(N32='Outil Cibles'!$Z$7, 'Outil Cibles'!$Z$18, 0)</f>
        <v>0</v>
      </c>
      <c r="Y32">
        <f t="shared" si="2"/>
        <v>0</v>
      </c>
      <c r="AA32">
        <f>IF($A32='Outil Cibles'!D$7,'Outil Cibles'!D$11*'Outil Cibles'!D$8,0)</f>
        <v>0</v>
      </c>
      <c r="AC32">
        <f>IF($A32=('Outil Cibles'!D$7+20),'Outil Cibles'!D$12*'Outil Cibles'!D$8,0)</f>
        <v>0</v>
      </c>
      <c r="AE32">
        <f>IF($A32=('Outil Cibles'!D$7+30),'Outil Cibles'!D$13*'Outil Cibles'!D$8,0)</f>
        <v>0</v>
      </c>
      <c r="AG32">
        <f>IF($A32=('Outil Cibles'!D$7+40),'Outil Cibles'!D$14*'Outil Cibles'!D$8,0)</f>
        <v>0</v>
      </c>
    </row>
    <row r="33" spans="1:33" x14ac:dyDescent="0.3">
      <c r="A33" s="10">
        <v>2050</v>
      </c>
      <c r="B33">
        <f>IF($A33='Outil Cibles'!D$7,'Outil Cibles'!D$11*'Outil Cibles'!D$8,IF($A33=('Outil Cibles'!D$7+20),'Outil Cibles'!D$12*'Outil Cibles'!D$8,IF($A33=('Outil Cibles'!D$7+30),'Outil Cibles'!D$13*'Outil Cibles'!D$8,IF($A33=('Outil Cibles'!D$7+40),'Outil Cibles'!D$14*'Outil Cibles'!D$8,0))))</f>
        <v>0</v>
      </c>
      <c r="C33">
        <f>IF($A33='Outil Cibles'!E$7,'Outil Cibles'!E$11*'Outil Cibles'!E$8,IF($A33=('Outil Cibles'!E$7+20),'Outil Cibles'!E$12*'Outil Cibles'!E$8,IF($A33=('Outil Cibles'!E$7+30),'Outil Cibles'!E$13*'Outil Cibles'!E$8,IF($A33=('Outil Cibles'!E$7+40),'Outil Cibles'!E$14*'Outil Cibles'!E$8,0))))</f>
        <v>0</v>
      </c>
      <c r="D33">
        <f>IF($A33='Outil Cibles'!F$7,'Outil Cibles'!F$11*'Outil Cibles'!F$8,IF($A33=('Outil Cibles'!F$7+20),'Outil Cibles'!F$12*'Outil Cibles'!F$8,IF($A33=('Outil Cibles'!F$7+30),'Outil Cibles'!F$13*'Outil Cibles'!F$8,IF($A33=('Outil Cibles'!F$7+40),'Outil Cibles'!F$14*'Outil Cibles'!F$8,0))))</f>
        <v>4990.4878571816089</v>
      </c>
      <c r="E33">
        <f>IF($A33='Outil Cibles'!G$7,'Outil Cibles'!G$11*'Outil Cibles'!G$8,IF($A33=('Outil Cibles'!G$7+20),'Outil Cibles'!G$12*'Outil Cibles'!G$8,IF($A33=('Outil Cibles'!G$7+30),'Outil Cibles'!G$13*'Outil Cibles'!G$8,IF($A33=('Outil Cibles'!G$7+40),'Outil Cibles'!G$14*'Outil Cibles'!G$8,0))))</f>
        <v>0</v>
      </c>
      <c r="F33">
        <f>IF($A33='Outil Cibles'!H$7,'Outil Cibles'!H$11*'Outil Cibles'!H$8,IF($A33=('Outil Cibles'!H$7+20),'Outil Cibles'!H$12*'Outil Cibles'!H$8,IF($A33=('Outil Cibles'!H$7+30),'Outil Cibles'!H$13*'Outil Cibles'!H$8,IF($A33=('Outil Cibles'!H$7+40),'Outil Cibles'!H$14*'Outil Cibles'!H$8,0))))</f>
        <v>0</v>
      </c>
      <c r="G33">
        <f>IF($A33='Outil Cibles'!I$7,'Outil Cibles'!I$11*'Outil Cibles'!I$8,IF($A33=('Outil Cibles'!I$7+20),'Outil Cibles'!I$12*'Outil Cibles'!I$8,IF($A33=('Outil Cibles'!I$7+30),'Outil Cibles'!I$13*'Outil Cibles'!I$8,IF($A33=('Outil Cibles'!I$7+40),'Outil Cibles'!I$14*'Outil Cibles'!I$8,0))))</f>
        <v>0</v>
      </c>
      <c r="H33">
        <f>IF($A33='Outil Cibles'!J$7,'Outil Cibles'!J$11*'Outil Cibles'!J$8,IF($A33=('Outil Cibles'!J$7+20),'Outil Cibles'!J$12*'Outil Cibles'!J$8,IF($A33=('Outil Cibles'!J$7+30),'Outil Cibles'!J$13*'Outil Cibles'!J$8,IF($A33=('Outil Cibles'!J$7+40),'Outil Cibles'!J$14*'Outil Cibles'!J$8,0))))</f>
        <v>0</v>
      </c>
      <c r="I33">
        <f>IF($A33='Outil Cibles'!K$7,'Outil Cibles'!K$11*'Outil Cibles'!K$8,IF($A33=('Outil Cibles'!K$7+20),'Outil Cibles'!K$12*'Outil Cibles'!K$8,IF($A33=('Outil Cibles'!K$7+30),'Outil Cibles'!K$13*'Outil Cibles'!K$8,IF($A33=('Outil Cibles'!K$7+40),'Outil Cibles'!K$14*'Outil Cibles'!K$8,0))))</f>
        <v>0</v>
      </c>
      <c r="J33">
        <f>IF($A33='Outil Cibles'!L$7,'Outil Cibles'!L$11*'Outil Cibles'!L$8,IF($A33=('Outil Cibles'!L$7+20),'Outil Cibles'!L$12*'Outil Cibles'!L$8,IF($A33=('Outil Cibles'!L$7+30),'Outil Cibles'!L$13*'Outil Cibles'!L$8,IF($A33=('Outil Cibles'!L$7+40),'Outil Cibles'!L$14*'Outil Cibles'!L$8,0))))</f>
        <v>0</v>
      </c>
      <c r="K33">
        <f>IF($A33='Outil Cibles'!M$7,'Outil Cibles'!M$11*'Outil Cibles'!M$8,IF($A33=('Outil Cibles'!M$7+20),'Outil Cibles'!M$12*'Outil Cibles'!M$8,IF($A33=('Outil Cibles'!M$7+30),'Outil Cibles'!M$13*'Outil Cibles'!M$8,IF($A33=('Outil Cibles'!M$7+40),'Outil Cibles'!M$14*'Outil Cibles'!M$8,0))))</f>
        <v>142036.96208901503</v>
      </c>
      <c r="L33">
        <f t="shared" si="1"/>
        <v>147027.44994619663</v>
      </c>
      <c r="N33" s="10">
        <v>2050</v>
      </c>
      <c r="O33">
        <f>IF(N33='Outil Cibles'!$Q$7, 'Outil Cibles'!$Q$18, 0)</f>
        <v>0</v>
      </c>
      <c r="P33">
        <f>IF(N33='Outil Cibles'!$R$7, 'Outil Cibles'!$R$18, 0)</f>
        <v>0</v>
      </c>
      <c r="Q33">
        <f>IF(N33='Outil Cibles'!$S$7, 'Outil Cibles'!$S$18, 0)</f>
        <v>0</v>
      </c>
      <c r="R33">
        <f>IF(N33='Outil Cibles'!$T$7, 'Outil Cibles'!$T$18, 0)</f>
        <v>0</v>
      </c>
      <c r="S33">
        <f>IF(N33='Outil Cibles'!$U$7, 'Outil Cibles'!$U$18, 0)</f>
        <v>0</v>
      </c>
      <c r="T33">
        <f>IF(N33='Outil Cibles'!$V$7, 'Outil Cibles'!$V$18, 0)</f>
        <v>0</v>
      </c>
      <c r="U33">
        <f>IF(N33='Outil Cibles'!$W$7, 'Outil Cibles'!$W$18, 0)</f>
        <v>0</v>
      </c>
      <c r="V33">
        <f>IF(N33='Outil Cibles'!$X$7, 'Outil Cibles'!$X$18, 0)</f>
        <v>0</v>
      </c>
      <c r="W33">
        <f>IF(N33='Outil Cibles'!$Y$7, 'Outil Cibles'!$Y$18, 0)</f>
        <v>0</v>
      </c>
      <c r="X33">
        <f>IF(N33='Outil Cibles'!$Z$7, 'Outil Cibles'!$Z$18, 0)</f>
        <v>74196.598619472104</v>
      </c>
      <c r="Y33">
        <f t="shared" si="2"/>
        <v>74196.598619472104</v>
      </c>
      <c r="AA33">
        <f>IF($A33='Outil Cibles'!D$7,'Outil Cibles'!D$11*'Outil Cibles'!D$8,0)</f>
        <v>0</v>
      </c>
      <c r="AC33">
        <f>IF($A33=('Outil Cibles'!D$7+20),'Outil Cibles'!D$12*'Outil Cibles'!D$8,0)</f>
        <v>0</v>
      </c>
      <c r="AE33">
        <f>IF($A33=('Outil Cibles'!D$7+30),'Outil Cibles'!D$13*'Outil Cibles'!D$8,0)</f>
        <v>0</v>
      </c>
      <c r="AG33">
        <f>IF($A33=('Outil Cibles'!D$7+40),'Outil Cibles'!D$14*'Outil Cibles'!D$8,0)</f>
        <v>0</v>
      </c>
    </row>
    <row r="34" spans="1:33" x14ac:dyDescent="0.3">
      <c r="A34">
        <v>2051</v>
      </c>
      <c r="B34">
        <f>IF($A34='Outil Cibles'!D$7,'Outil Cibles'!D$11*'Outil Cibles'!D$8,IF($A34=('Outil Cibles'!D$7+20),'Outil Cibles'!D$12*'Outil Cibles'!D$8,IF($A34=('Outil Cibles'!D$7+30),'Outil Cibles'!D$13*'Outil Cibles'!D$8,IF($A34=('Outil Cibles'!D$7+40),'Outil Cibles'!D$14*'Outil Cibles'!D$8,0))))</f>
        <v>0</v>
      </c>
      <c r="C34">
        <f>IF($A34='Outil Cibles'!E$7,'Outil Cibles'!E$11*'Outil Cibles'!E$8,IF($A34=('Outil Cibles'!E$7+20),'Outil Cibles'!E$12*'Outil Cibles'!E$8,IF($A34=('Outil Cibles'!E$7+30),'Outil Cibles'!E$13*'Outil Cibles'!E$8,IF($A34=('Outil Cibles'!E$7+40),'Outil Cibles'!E$14*'Outil Cibles'!E$8,0))))</f>
        <v>0</v>
      </c>
      <c r="D34">
        <f>IF($A34='Outil Cibles'!F$7,'Outil Cibles'!F$11*'Outil Cibles'!F$8,IF($A34=('Outil Cibles'!F$7+20),'Outil Cibles'!F$12*'Outil Cibles'!F$8,IF($A34=('Outil Cibles'!F$7+30),'Outil Cibles'!F$13*'Outil Cibles'!F$8,IF($A34=('Outil Cibles'!F$7+40),'Outil Cibles'!F$14*'Outil Cibles'!F$8,0))))</f>
        <v>0</v>
      </c>
      <c r="E34">
        <f>IF($A34='Outil Cibles'!G$7,'Outil Cibles'!G$11*'Outil Cibles'!G$8,IF($A34=('Outil Cibles'!G$7+20),'Outil Cibles'!G$12*'Outil Cibles'!G$8,IF($A34=('Outil Cibles'!G$7+30),'Outil Cibles'!G$13*'Outil Cibles'!G$8,IF($A34=('Outil Cibles'!G$7+40),'Outil Cibles'!G$14*'Outil Cibles'!G$8,0))))</f>
        <v>0</v>
      </c>
      <c r="F34">
        <f>IF($A34='Outil Cibles'!H$7,'Outil Cibles'!H$11*'Outil Cibles'!H$8,IF($A34=('Outil Cibles'!H$7+20),'Outil Cibles'!H$12*'Outil Cibles'!H$8,IF($A34=('Outil Cibles'!H$7+30),'Outil Cibles'!H$13*'Outil Cibles'!H$8,IF($A34=('Outil Cibles'!H$7+40),'Outil Cibles'!H$14*'Outil Cibles'!H$8,0))))</f>
        <v>0</v>
      </c>
      <c r="G34">
        <f>IF($A34='Outil Cibles'!I$7,'Outil Cibles'!I$11*'Outil Cibles'!I$8,IF($A34=('Outil Cibles'!I$7+20),'Outil Cibles'!I$12*'Outil Cibles'!I$8,IF($A34=('Outil Cibles'!I$7+30),'Outil Cibles'!I$13*'Outil Cibles'!I$8,IF($A34=('Outil Cibles'!I$7+40),'Outil Cibles'!I$14*'Outil Cibles'!I$8,0))))</f>
        <v>0</v>
      </c>
      <c r="H34">
        <f>IF($A34='Outil Cibles'!J$7,'Outil Cibles'!J$11*'Outil Cibles'!J$8,IF($A34=('Outil Cibles'!J$7+20),'Outil Cibles'!J$12*'Outil Cibles'!J$8,IF($A34=('Outil Cibles'!J$7+30),'Outil Cibles'!J$13*'Outil Cibles'!J$8,IF($A34=('Outil Cibles'!J$7+40),'Outil Cibles'!J$14*'Outil Cibles'!J$8,0))))</f>
        <v>0</v>
      </c>
      <c r="I34">
        <f>IF($A34='Outil Cibles'!K$7,'Outil Cibles'!K$11*'Outil Cibles'!K$8,IF($A34=('Outil Cibles'!K$7+20),'Outil Cibles'!K$12*'Outil Cibles'!K$8,IF($A34=('Outil Cibles'!K$7+30),'Outil Cibles'!K$13*'Outil Cibles'!K$8,IF($A34=('Outil Cibles'!K$7+40),'Outil Cibles'!K$14*'Outil Cibles'!K$8,0))))</f>
        <v>0</v>
      </c>
      <c r="J34">
        <f>IF($A34='Outil Cibles'!L$7,'Outil Cibles'!L$11*'Outil Cibles'!L$8,IF($A34=('Outil Cibles'!L$7+20),'Outil Cibles'!L$12*'Outil Cibles'!L$8,IF($A34=('Outil Cibles'!L$7+30),'Outil Cibles'!L$13*'Outil Cibles'!L$8,IF($A34=('Outil Cibles'!L$7+40),'Outil Cibles'!L$14*'Outil Cibles'!L$8,0))))</f>
        <v>0</v>
      </c>
      <c r="K34">
        <f>IF($A34='Outil Cibles'!M$7,'Outil Cibles'!M$11*'Outil Cibles'!M$8,IF($A34=('Outil Cibles'!M$7+20),'Outil Cibles'!M$12*'Outil Cibles'!M$8,IF($A34=('Outil Cibles'!M$7+30),'Outil Cibles'!M$13*'Outil Cibles'!M$8,IF($A34=('Outil Cibles'!M$7+40),'Outil Cibles'!M$14*'Outil Cibles'!M$8,0))))</f>
        <v>0</v>
      </c>
      <c r="L34">
        <f t="shared" si="1"/>
        <v>0</v>
      </c>
      <c r="N34">
        <v>2051</v>
      </c>
      <c r="O34">
        <f>IF(N34='Outil Cibles'!$Q$7, 'Outil Cibles'!$Q$18, 0)</f>
        <v>0</v>
      </c>
      <c r="P34">
        <f>IF(N34='Outil Cibles'!$R$7, 'Outil Cibles'!$R$18, 0)</f>
        <v>0</v>
      </c>
      <c r="Q34">
        <f>IF(N34='Outil Cibles'!$S$7, 'Outil Cibles'!$S$18, 0)</f>
        <v>0</v>
      </c>
      <c r="R34">
        <f>IF(N34='Outil Cibles'!$T$7, 'Outil Cibles'!$T$18, 0)</f>
        <v>0</v>
      </c>
      <c r="S34">
        <f>IF(N34='Outil Cibles'!$U$7, 'Outil Cibles'!$U$18, 0)</f>
        <v>0</v>
      </c>
      <c r="T34">
        <f>IF(N34='Outil Cibles'!$V$7, 'Outil Cibles'!$V$18, 0)</f>
        <v>0</v>
      </c>
      <c r="U34">
        <f>IF(N34='Outil Cibles'!$W$7, 'Outil Cibles'!$W$18, 0)</f>
        <v>0</v>
      </c>
      <c r="V34">
        <f>IF(N34='Outil Cibles'!$X$7, 'Outil Cibles'!$X$18, 0)</f>
        <v>0</v>
      </c>
      <c r="W34">
        <f>IF(N34='Outil Cibles'!$Y$7, 'Outil Cibles'!$Y$18, 0)</f>
        <v>0</v>
      </c>
      <c r="X34">
        <f>IF(N34='Outil Cibles'!$Z$7, 'Outil Cibles'!$Z$18, 0)</f>
        <v>0</v>
      </c>
      <c r="Y34">
        <f t="shared" si="2"/>
        <v>0</v>
      </c>
      <c r="AA34">
        <f>IF($A34='Outil Cibles'!D$7,'Outil Cibles'!D$11*'Outil Cibles'!D$8,0)</f>
        <v>0</v>
      </c>
      <c r="AC34">
        <f>IF($A34=('Outil Cibles'!D$7+20),'Outil Cibles'!D$12*'Outil Cibles'!D$8,0)</f>
        <v>0</v>
      </c>
      <c r="AE34">
        <f>IF($A34=('Outil Cibles'!D$7+30),'Outil Cibles'!D$13*'Outil Cibles'!D$8,0)</f>
        <v>0</v>
      </c>
      <c r="AG34">
        <f>IF($A34=('Outil Cibles'!D$7+40),'Outil Cibles'!D$14*'Outil Cibles'!D$8,0)</f>
        <v>0</v>
      </c>
    </row>
    <row r="35" spans="1:33" x14ac:dyDescent="0.3">
      <c r="A35">
        <v>2052</v>
      </c>
      <c r="B35">
        <f>IF($A35='Outil Cibles'!D$7,'Outil Cibles'!D$11*'Outil Cibles'!D$8,IF($A35=('Outil Cibles'!D$7+20),'Outil Cibles'!D$12*'Outil Cibles'!D$8,IF($A35=('Outil Cibles'!D$7+30),'Outil Cibles'!D$13*'Outil Cibles'!D$8,IF($A35=('Outil Cibles'!D$7+40),'Outil Cibles'!D$14*'Outil Cibles'!D$8,0))))</f>
        <v>0</v>
      </c>
      <c r="C35">
        <f>IF($A35='Outil Cibles'!E$7,'Outil Cibles'!E$11*'Outil Cibles'!E$8,IF($A35=('Outil Cibles'!E$7+20),'Outil Cibles'!E$12*'Outil Cibles'!E$8,IF($A35=('Outil Cibles'!E$7+30),'Outil Cibles'!E$13*'Outil Cibles'!E$8,IF($A35=('Outil Cibles'!E$7+40),'Outil Cibles'!E$14*'Outil Cibles'!E$8,0))))</f>
        <v>0</v>
      </c>
      <c r="D35">
        <f>IF($A35='Outil Cibles'!F$7,'Outil Cibles'!F$11*'Outil Cibles'!F$8,IF($A35=('Outil Cibles'!F$7+20),'Outil Cibles'!F$12*'Outil Cibles'!F$8,IF($A35=('Outil Cibles'!F$7+30),'Outil Cibles'!F$13*'Outil Cibles'!F$8,IF($A35=('Outil Cibles'!F$7+40),'Outil Cibles'!F$14*'Outil Cibles'!F$8,0))))</f>
        <v>0</v>
      </c>
      <c r="E35">
        <f>IF($A35='Outil Cibles'!G$7,'Outil Cibles'!G$11*'Outil Cibles'!G$8,IF($A35=('Outil Cibles'!G$7+20),'Outil Cibles'!G$12*'Outil Cibles'!G$8,IF($A35=('Outil Cibles'!G$7+30),'Outil Cibles'!G$13*'Outil Cibles'!G$8,IF($A35=('Outil Cibles'!G$7+40),'Outil Cibles'!G$14*'Outil Cibles'!G$8,0))))</f>
        <v>0</v>
      </c>
      <c r="F35">
        <f>IF($A35='Outil Cibles'!H$7,'Outil Cibles'!H$11*'Outil Cibles'!H$8,IF($A35=('Outil Cibles'!H$7+20),'Outil Cibles'!H$12*'Outil Cibles'!H$8,IF($A35=('Outil Cibles'!H$7+30),'Outil Cibles'!H$13*'Outil Cibles'!H$8,IF($A35=('Outil Cibles'!H$7+40),'Outil Cibles'!H$14*'Outil Cibles'!H$8,0))))</f>
        <v>0</v>
      </c>
      <c r="G35">
        <f>IF($A35='Outil Cibles'!I$7,'Outil Cibles'!I$11*'Outil Cibles'!I$8,IF($A35=('Outil Cibles'!I$7+20),'Outil Cibles'!I$12*'Outil Cibles'!I$8,IF($A35=('Outil Cibles'!I$7+30),'Outil Cibles'!I$13*'Outil Cibles'!I$8,IF($A35=('Outil Cibles'!I$7+40),'Outil Cibles'!I$14*'Outil Cibles'!I$8,0))))</f>
        <v>0</v>
      </c>
      <c r="H35">
        <f>IF($A35='Outil Cibles'!J$7,'Outil Cibles'!J$11*'Outil Cibles'!J$8,IF($A35=('Outil Cibles'!J$7+20),'Outil Cibles'!J$12*'Outil Cibles'!J$8,IF($A35=('Outil Cibles'!J$7+30),'Outil Cibles'!J$13*'Outil Cibles'!J$8,IF($A35=('Outil Cibles'!J$7+40),'Outil Cibles'!J$14*'Outil Cibles'!J$8,0))))</f>
        <v>0</v>
      </c>
      <c r="I35">
        <f>IF($A35='Outil Cibles'!K$7,'Outil Cibles'!K$11*'Outil Cibles'!K$8,IF($A35=('Outil Cibles'!K$7+20),'Outil Cibles'!K$12*'Outil Cibles'!K$8,IF($A35=('Outil Cibles'!K$7+30),'Outil Cibles'!K$13*'Outil Cibles'!K$8,IF($A35=('Outil Cibles'!K$7+40),'Outil Cibles'!K$14*'Outil Cibles'!K$8,0))))</f>
        <v>0</v>
      </c>
      <c r="J35">
        <f>IF($A35='Outil Cibles'!L$7,'Outil Cibles'!L$11*'Outil Cibles'!L$8,IF($A35=('Outil Cibles'!L$7+20),'Outil Cibles'!L$12*'Outil Cibles'!L$8,IF($A35=('Outil Cibles'!L$7+30),'Outil Cibles'!L$13*'Outil Cibles'!L$8,IF($A35=('Outil Cibles'!L$7+40),'Outil Cibles'!L$14*'Outil Cibles'!L$8,0))))</f>
        <v>0</v>
      </c>
      <c r="K35">
        <f>IF($A35='Outil Cibles'!M$7,'Outil Cibles'!M$11*'Outil Cibles'!M$8,IF($A35=('Outil Cibles'!M$7+20),'Outil Cibles'!M$12*'Outil Cibles'!M$8,IF($A35=('Outil Cibles'!M$7+30),'Outil Cibles'!M$13*'Outil Cibles'!M$8,IF($A35=('Outil Cibles'!M$7+40),'Outil Cibles'!M$14*'Outil Cibles'!M$8,0))))</f>
        <v>0</v>
      </c>
      <c r="L35">
        <f t="shared" si="1"/>
        <v>0</v>
      </c>
      <c r="N35">
        <v>2052</v>
      </c>
      <c r="O35">
        <f>IF(N35='Outil Cibles'!$Q$7, 'Outil Cibles'!$Q$18, 0)</f>
        <v>0</v>
      </c>
      <c r="P35">
        <f>IF(N35='Outil Cibles'!$R$7, 'Outil Cibles'!$R$18, 0)</f>
        <v>0</v>
      </c>
      <c r="Q35">
        <f>IF(N35='Outil Cibles'!$S$7, 'Outil Cibles'!$S$18, 0)</f>
        <v>0</v>
      </c>
      <c r="R35">
        <f>IF(N35='Outil Cibles'!$T$7, 'Outil Cibles'!$T$18, 0)</f>
        <v>0</v>
      </c>
      <c r="S35">
        <f>IF(N35='Outil Cibles'!$U$7, 'Outil Cibles'!$U$18, 0)</f>
        <v>0</v>
      </c>
      <c r="T35">
        <f>IF(N35='Outil Cibles'!$V$7, 'Outil Cibles'!$V$18, 0)</f>
        <v>0</v>
      </c>
      <c r="U35">
        <f>IF(N35='Outil Cibles'!$W$7, 'Outil Cibles'!$W$18, 0)</f>
        <v>0</v>
      </c>
      <c r="V35">
        <f>IF(N35='Outil Cibles'!$X$7, 'Outil Cibles'!$X$18, 0)</f>
        <v>0</v>
      </c>
      <c r="W35">
        <f>IF(N35='Outil Cibles'!$Y$7, 'Outil Cibles'!$Y$18, 0)</f>
        <v>0</v>
      </c>
      <c r="X35">
        <f>IF(N35='Outil Cibles'!$Z$7, 'Outil Cibles'!$Z$18, 0)</f>
        <v>0</v>
      </c>
      <c r="Y35">
        <f t="shared" si="2"/>
        <v>0</v>
      </c>
      <c r="AA35">
        <f>IF($A35='Outil Cibles'!D$7,'Outil Cibles'!D$11*'Outil Cibles'!D$8,0)</f>
        <v>0</v>
      </c>
      <c r="AC35">
        <f>IF($A35=('Outil Cibles'!D$7+20),'Outil Cibles'!D$12*'Outil Cibles'!D$8,0)</f>
        <v>0</v>
      </c>
      <c r="AE35">
        <f>IF($A35=('Outil Cibles'!D$7+30),'Outil Cibles'!D$13*'Outil Cibles'!D$8,0)</f>
        <v>0</v>
      </c>
      <c r="AG35">
        <f>IF($A35=('Outil Cibles'!D$7+40),'Outil Cibles'!D$14*'Outil Cibles'!D$8,0)</f>
        <v>0</v>
      </c>
    </row>
    <row r="36" spans="1:33" x14ac:dyDescent="0.3">
      <c r="A36">
        <v>2053</v>
      </c>
      <c r="B36">
        <f>IF($A36='Outil Cibles'!D$7,'Outil Cibles'!D$11*'Outil Cibles'!D$8,IF($A36=('Outil Cibles'!D$7+20),'Outil Cibles'!D$12*'Outil Cibles'!D$8,IF($A36=('Outil Cibles'!D$7+30),'Outil Cibles'!D$13*'Outil Cibles'!D$8,IF($A36=('Outil Cibles'!D$7+40),'Outil Cibles'!D$14*'Outil Cibles'!D$8,0))))</f>
        <v>0</v>
      </c>
      <c r="C36">
        <f>IF($A36='Outil Cibles'!E$7,'Outil Cibles'!E$11*'Outil Cibles'!E$8,IF($A36=('Outil Cibles'!E$7+20),'Outil Cibles'!E$12*'Outil Cibles'!E$8,IF($A36=('Outil Cibles'!E$7+30),'Outil Cibles'!E$13*'Outil Cibles'!E$8,IF($A36=('Outil Cibles'!E$7+40),'Outil Cibles'!E$14*'Outil Cibles'!E$8,0))))</f>
        <v>0</v>
      </c>
      <c r="D36">
        <f>IF($A36='Outil Cibles'!F$7,'Outil Cibles'!F$11*'Outil Cibles'!F$8,IF($A36=('Outil Cibles'!F$7+20),'Outil Cibles'!F$12*'Outil Cibles'!F$8,IF($A36=('Outil Cibles'!F$7+30),'Outil Cibles'!F$13*'Outil Cibles'!F$8,IF($A36=('Outil Cibles'!F$7+40),'Outil Cibles'!F$14*'Outil Cibles'!F$8,0))))</f>
        <v>0</v>
      </c>
      <c r="E36">
        <f>IF($A36='Outil Cibles'!G$7,'Outil Cibles'!G$11*'Outil Cibles'!G$8,IF($A36=('Outil Cibles'!G$7+20),'Outil Cibles'!G$12*'Outil Cibles'!G$8,IF($A36=('Outil Cibles'!G$7+30),'Outil Cibles'!G$13*'Outil Cibles'!G$8,IF($A36=('Outil Cibles'!G$7+40),'Outil Cibles'!G$14*'Outil Cibles'!G$8,0))))</f>
        <v>0</v>
      </c>
      <c r="F36">
        <f>IF($A36='Outil Cibles'!H$7,'Outil Cibles'!H$11*'Outil Cibles'!H$8,IF($A36=('Outil Cibles'!H$7+20),'Outil Cibles'!H$12*'Outil Cibles'!H$8,IF($A36=('Outil Cibles'!H$7+30),'Outil Cibles'!H$13*'Outil Cibles'!H$8,IF($A36=('Outil Cibles'!H$7+40),'Outil Cibles'!H$14*'Outil Cibles'!H$8,0))))</f>
        <v>0</v>
      </c>
      <c r="G36">
        <f>IF($A36='Outil Cibles'!I$7,'Outil Cibles'!I$11*'Outil Cibles'!I$8,IF($A36=('Outil Cibles'!I$7+20),'Outil Cibles'!I$12*'Outil Cibles'!I$8,IF($A36=('Outil Cibles'!I$7+30),'Outil Cibles'!I$13*'Outil Cibles'!I$8,IF($A36=('Outil Cibles'!I$7+40),'Outil Cibles'!I$14*'Outil Cibles'!I$8,0))))</f>
        <v>0</v>
      </c>
      <c r="H36">
        <f>IF($A36='Outil Cibles'!J$7,'Outil Cibles'!J$11*'Outil Cibles'!J$8,IF($A36=('Outil Cibles'!J$7+20),'Outil Cibles'!J$12*'Outil Cibles'!J$8,IF($A36=('Outil Cibles'!J$7+30),'Outil Cibles'!J$13*'Outil Cibles'!J$8,IF($A36=('Outil Cibles'!J$7+40),'Outil Cibles'!J$14*'Outil Cibles'!J$8,0))))</f>
        <v>0</v>
      </c>
      <c r="I36">
        <f>IF($A36='Outil Cibles'!K$7,'Outil Cibles'!K$11*'Outil Cibles'!K$8,IF($A36=('Outil Cibles'!K$7+20),'Outil Cibles'!K$12*'Outil Cibles'!K$8,IF($A36=('Outil Cibles'!K$7+30),'Outil Cibles'!K$13*'Outil Cibles'!K$8,IF($A36=('Outil Cibles'!K$7+40),'Outil Cibles'!K$14*'Outil Cibles'!K$8,0))))</f>
        <v>0</v>
      </c>
      <c r="J36">
        <f>IF($A36='Outil Cibles'!L$7,'Outil Cibles'!L$11*'Outil Cibles'!L$8,IF($A36=('Outil Cibles'!L$7+20),'Outil Cibles'!L$12*'Outil Cibles'!L$8,IF($A36=('Outil Cibles'!L$7+30),'Outil Cibles'!L$13*'Outil Cibles'!L$8,IF($A36=('Outil Cibles'!L$7+40),'Outil Cibles'!L$14*'Outil Cibles'!L$8,0))))</f>
        <v>0</v>
      </c>
      <c r="K36">
        <f>IF($A36='Outil Cibles'!M$7,'Outil Cibles'!M$11*'Outil Cibles'!M$8,IF($A36=('Outil Cibles'!M$7+20),'Outil Cibles'!M$12*'Outil Cibles'!M$8,IF($A36=('Outil Cibles'!M$7+30),'Outil Cibles'!M$13*'Outil Cibles'!M$8,IF($A36=('Outil Cibles'!M$7+40),'Outil Cibles'!M$14*'Outil Cibles'!M$8,0))))</f>
        <v>0</v>
      </c>
      <c r="L36">
        <f t="shared" si="1"/>
        <v>0</v>
      </c>
      <c r="N36">
        <v>2053</v>
      </c>
      <c r="O36">
        <f>IF(N36='Outil Cibles'!$Q$7, 'Outil Cibles'!$Q$18, 0)</f>
        <v>0</v>
      </c>
      <c r="P36">
        <f>IF(N36='Outil Cibles'!$R$7, 'Outil Cibles'!$R$18, 0)</f>
        <v>0</v>
      </c>
      <c r="Q36">
        <f>IF(N36='Outil Cibles'!$S$7, 'Outil Cibles'!$S$18, 0)</f>
        <v>0</v>
      </c>
      <c r="R36">
        <f>IF(N36='Outil Cibles'!$T$7, 'Outil Cibles'!$T$18, 0)</f>
        <v>0</v>
      </c>
      <c r="S36">
        <f>IF(N36='Outil Cibles'!$U$7, 'Outil Cibles'!$U$18, 0)</f>
        <v>0</v>
      </c>
      <c r="T36">
        <f>IF(N36='Outil Cibles'!$V$7, 'Outil Cibles'!$V$18, 0)</f>
        <v>0</v>
      </c>
      <c r="U36">
        <f>IF(N36='Outil Cibles'!$W$7, 'Outil Cibles'!$W$18, 0)</f>
        <v>0</v>
      </c>
      <c r="V36">
        <f>IF(N36='Outil Cibles'!$X$7, 'Outil Cibles'!$X$18, 0)</f>
        <v>0</v>
      </c>
      <c r="W36">
        <f>IF(N36='Outil Cibles'!$Y$7, 'Outil Cibles'!$Y$18, 0)</f>
        <v>0</v>
      </c>
      <c r="X36">
        <f>IF(N36='Outil Cibles'!$Z$7, 'Outil Cibles'!$Z$18, 0)</f>
        <v>0</v>
      </c>
      <c r="Y36">
        <f t="shared" si="2"/>
        <v>0</v>
      </c>
      <c r="AA36">
        <f>IF($A36='Outil Cibles'!D$7,'Outil Cibles'!D$11*'Outil Cibles'!D$8,0)</f>
        <v>0</v>
      </c>
      <c r="AC36">
        <f>IF($A36=('Outil Cibles'!D$7+20),'Outil Cibles'!D$12*'Outil Cibles'!D$8,0)</f>
        <v>0</v>
      </c>
      <c r="AE36">
        <f>IF($A36=('Outil Cibles'!D$7+30),'Outil Cibles'!D$13*'Outil Cibles'!D$8,0)</f>
        <v>0</v>
      </c>
      <c r="AG36">
        <f>IF($A36=('Outil Cibles'!D$7+40),'Outil Cibles'!D$14*'Outil Cibles'!D$8,0)</f>
        <v>0</v>
      </c>
    </row>
    <row r="37" spans="1:33" x14ac:dyDescent="0.3">
      <c r="A37" s="10">
        <v>2054</v>
      </c>
      <c r="B37">
        <f>IF($A37='Outil Cibles'!D$7,'Outil Cibles'!D$11*'Outil Cibles'!D$8,IF($A37=('Outil Cibles'!D$7+20),'Outil Cibles'!D$12*'Outil Cibles'!D$8,IF($A37=('Outil Cibles'!D$7+30),'Outil Cibles'!D$13*'Outil Cibles'!D$8,IF($A37=('Outil Cibles'!D$7+40),'Outil Cibles'!D$14*'Outil Cibles'!D$8,0))))</f>
        <v>27378.470370472191</v>
      </c>
      <c r="C37">
        <f>IF($A37='Outil Cibles'!E$7,'Outil Cibles'!E$11*'Outil Cibles'!E$8,IF($A37=('Outil Cibles'!E$7+20),'Outil Cibles'!E$12*'Outil Cibles'!E$8,IF($A37=('Outil Cibles'!E$7+30),'Outil Cibles'!E$13*'Outil Cibles'!E$8,IF($A37=('Outil Cibles'!E$7+40),'Outil Cibles'!E$14*'Outil Cibles'!E$8,0))))</f>
        <v>0</v>
      </c>
      <c r="D37">
        <f>IF($A37='Outil Cibles'!F$7,'Outil Cibles'!F$11*'Outil Cibles'!F$8,IF($A37=('Outil Cibles'!F$7+20),'Outil Cibles'!F$12*'Outil Cibles'!F$8,IF($A37=('Outil Cibles'!F$7+30),'Outil Cibles'!F$13*'Outil Cibles'!F$8,IF($A37=('Outil Cibles'!F$7+40),'Outil Cibles'!F$14*'Outil Cibles'!F$8,0))))</f>
        <v>0</v>
      </c>
      <c r="E37">
        <f>IF($A37='Outil Cibles'!G$7,'Outil Cibles'!G$11*'Outil Cibles'!G$8,IF($A37=('Outil Cibles'!G$7+20),'Outil Cibles'!G$12*'Outil Cibles'!G$8,IF($A37=('Outil Cibles'!G$7+30),'Outil Cibles'!G$13*'Outil Cibles'!G$8,IF($A37=('Outil Cibles'!G$7+40),'Outil Cibles'!G$14*'Outil Cibles'!G$8,0))))</f>
        <v>0</v>
      </c>
      <c r="F37">
        <f>IF($A37='Outil Cibles'!H$7,'Outil Cibles'!H$11*'Outil Cibles'!H$8,IF($A37=('Outil Cibles'!H$7+20),'Outil Cibles'!H$12*'Outil Cibles'!H$8,IF($A37=('Outil Cibles'!H$7+30),'Outil Cibles'!H$13*'Outil Cibles'!H$8,IF($A37=('Outil Cibles'!H$7+40),'Outil Cibles'!H$14*'Outil Cibles'!H$8,0))))</f>
        <v>0</v>
      </c>
      <c r="G37">
        <f>IF($A37='Outil Cibles'!I$7,'Outil Cibles'!I$11*'Outil Cibles'!I$8,IF($A37=('Outil Cibles'!I$7+20),'Outil Cibles'!I$12*'Outil Cibles'!I$8,IF($A37=('Outil Cibles'!I$7+30),'Outil Cibles'!I$13*'Outil Cibles'!I$8,IF($A37=('Outil Cibles'!I$7+40),'Outil Cibles'!I$14*'Outil Cibles'!I$8,0))))</f>
        <v>0</v>
      </c>
      <c r="H37">
        <f>IF($A37='Outil Cibles'!J$7,'Outil Cibles'!J$11*'Outil Cibles'!J$8,IF($A37=('Outil Cibles'!J$7+20),'Outil Cibles'!J$12*'Outil Cibles'!J$8,IF($A37=('Outil Cibles'!J$7+30),'Outil Cibles'!J$13*'Outil Cibles'!J$8,IF($A37=('Outil Cibles'!J$7+40),'Outil Cibles'!J$14*'Outil Cibles'!J$8,0))))</f>
        <v>0</v>
      </c>
      <c r="I37">
        <f>IF($A37='Outil Cibles'!K$7,'Outil Cibles'!K$11*'Outil Cibles'!K$8,IF($A37=('Outil Cibles'!K$7+20),'Outil Cibles'!K$12*'Outil Cibles'!K$8,IF($A37=('Outil Cibles'!K$7+30),'Outil Cibles'!K$13*'Outil Cibles'!K$8,IF($A37=('Outil Cibles'!K$7+40),'Outil Cibles'!K$14*'Outil Cibles'!K$8,0))))</f>
        <v>0</v>
      </c>
      <c r="J37">
        <f>IF($A37='Outil Cibles'!L$7,'Outil Cibles'!L$11*'Outil Cibles'!L$8,IF($A37=('Outil Cibles'!L$7+20),'Outil Cibles'!L$12*'Outil Cibles'!L$8,IF($A37=('Outil Cibles'!L$7+30),'Outil Cibles'!L$13*'Outil Cibles'!L$8,IF($A37=('Outil Cibles'!L$7+40),'Outil Cibles'!L$14*'Outil Cibles'!L$8,0))))</f>
        <v>0</v>
      </c>
      <c r="K37">
        <f>IF($A37='Outil Cibles'!M$7,'Outil Cibles'!M$11*'Outil Cibles'!M$8,IF($A37=('Outil Cibles'!M$7+20),'Outil Cibles'!M$12*'Outil Cibles'!M$8,IF($A37=('Outil Cibles'!M$7+30),'Outil Cibles'!M$13*'Outil Cibles'!M$8,IF($A37=('Outil Cibles'!M$7+40),'Outil Cibles'!M$14*'Outil Cibles'!M$8,0))))</f>
        <v>0</v>
      </c>
      <c r="L37">
        <f t="shared" si="1"/>
        <v>27378.470370472191</v>
      </c>
      <c r="N37" s="10">
        <v>2054</v>
      </c>
      <c r="O37">
        <f>IF(N37='Outil Cibles'!$Q$7, 'Outil Cibles'!$Q$18, 0)</f>
        <v>0</v>
      </c>
      <c r="P37">
        <f>IF(N37='Outil Cibles'!$R$7, 'Outil Cibles'!$R$18, 0)</f>
        <v>0</v>
      </c>
      <c r="Q37">
        <f>IF(N37='Outil Cibles'!$S$7, 'Outil Cibles'!$S$18, 0)</f>
        <v>0</v>
      </c>
      <c r="R37">
        <f>IF(N37='Outil Cibles'!$T$7, 'Outil Cibles'!$T$18, 0)</f>
        <v>0</v>
      </c>
      <c r="S37">
        <f>IF(N37='Outil Cibles'!$U$7, 'Outil Cibles'!$U$18, 0)</f>
        <v>0</v>
      </c>
      <c r="T37">
        <f>IF(N37='Outil Cibles'!$V$7, 'Outil Cibles'!$V$18, 0)</f>
        <v>0</v>
      </c>
      <c r="U37">
        <f>IF(N37='Outil Cibles'!$W$7, 'Outil Cibles'!$W$18, 0)</f>
        <v>0</v>
      </c>
      <c r="V37">
        <f>IF(N37='Outil Cibles'!$X$7, 'Outil Cibles'!$X$18, 0)</f>
        <v>0</v>
      </c>
      <c r="W37">
        <f>IF(N37='Outil Cibles'!$Y$7, 'Outil Cibles'!$Y$18, 0)</f>
        <v>0</v>
      </c>
      <c r="X37">
        <f>IF(N37='Outil Cibles'!$Z$7, 'Outil Cibles'!$Z$18, 0)</f>
        <v>0</v>
      </c>
      <c r="Y37">
        <f t="shared" si="2"/>
        <v>0</v>
      </c>
      <c r="AA37">
        <f>IF($A37='Outil Cibles'!D$7,'Outil Cibles'!D$11*'Outil Cibles'!D$8,0)</f>
        <v>0</v>
      </c>
      <c r="AC37">
        <f>IF($A37=('Outil Cibles'!D$7+20),'Outil Cibles'!D$12*'Outil Cibles'!D$8,0)</f>
        <v>0</v>
      </c>
      <c r="AE37">
        <f>IF($A37=('Outil Cibles'!D$7+30),'Outil Cibles'!D$13*'Outil Cibles'!D$8,0)</f>
        <v>27378.470370472191</v>
      </c>
      <c r="AG37">
        <f>IF($A37=('Outil Cibles'!D$7+40),'Outil Cibles'!D$14*'Outil Cibles'!D$8,0)</f>
        <v>0</v>
      </c>
    </row>
    <row r="38" spans="1:33" x14ac:dyDescent="0.3">
      <c r="A38">
        <v>2055</v>
      </c>
      <c r="B38">
        <f>IF($A38='Outil Cibles'!D$7,'Outil Cibles'!D$11*'Outil Cibles'!D$8,IF($A38=('Outil Cibles'!D$7+20),'Outil Cibles'!D$12*'Outil Cibles'!D$8,IF($A38=('Outil Cibles'!D$7+30),'Outil Cibles'!D$13*'Outil Cibles'!D$8,IF($A38=('Outil Cibles'!D$7+40),'Outil Cibles'!D$14*'Outil Cibles'!D$8,0))))</f>
        <v>0</v>
      </c>
      <c r="C38">
        <f>IF($A38='Outil Cibles'!E$7,'Outil Cibles'!E$11*'Outil Cibles'!E$8,IF($A38=('Outil Cibles'!E$7+20),'Outil Cibles'!E$12*'Outil Cibles'!E$8,IF($A38=('Outil Cibles'!E$7+30),'Outil Cibles'!E$13*'Outil Cibles'!E$8,IF($A38=('Outil Cibles'!E$7+40),'Outil Cibles'!E$14*'Outil Cibles'!E$8,0))))</f>
        <v>0</v>
      </c>
      <c r="D38">
        <f>IF($A38='Outil Cibles'!F$7,'Outil Cibles'!F$11*'Outil Cibles'!F$8,IF($A38=('Outil Cibles'!F$7+20),'Outil Cibles'!F$12*'Outil Cibles'!F$8,IF($A38=('Outil Cibles'!F$7+30),'Outil Cibles'!F$13*'Outil Cibles'!F$8,IF($A38=('Outil Cibles'!F$7+40),'Outil Cibles'!F$14*'Outil Cibles'!F$8,0))))</f>
        <v>0</v>
      </c>
      <c r="E38">
        <f>IF($A38='Outil Cibles'!G$7,'Outil Cibles'!G$11*'Outil Cibles'!G$8,IF($A38=('Outil Cibles'!G$7+20),'Outil Cibles'!G$12*'Outil Cibles'!G$8,IF($A38=('Outil Cibles'!G$7+30),'Outil Cibles'!G$13*'Outil Cibles'!G$8,IF($A38=('Outil Cibles'!G$7+40),'Outil Cibles'!G$14*'Outil Cibles'!G$8,0))))</f>
        <v>3648.9079156922339</v>
      </c>
      <c r="F38">
        <f>IF($A38='Outil Cibles'!H$7,'Outil Cibles'!H$11*'Outil Cibles'!H$8,IF($A38=('Outil Cibles'!H$7+20),'Outil Cibles'!H$12*'Outil Cibles'!H$8,IF($A38=('Outil Cibles'!H$7+30),'Outil Cibles'!H$13*'Outil Cibles'!H$8,IF($A38=('Outil Cibles'!H$7+40),'Outil Cibles'!H$14*'Outil Cibles'!H$8,0))))</f>
        <v>0</v>
      </c>
      <c r="G38">
        <f>IF($A38='Outil Cibles'!I$7,'Outil Cibles'!I$11*'Outil Cibles'!I$8,IF($A38=('Outil Cibles'!I$7+20),'Outil Cibles'!I$12*'Outil Cibles'!I$8,IF($A38=('Outil Cibles'!I$7+30),'Outil Cibles'!I$13*'Outil Cibles'!I$8,IF($A38=('Outil Cibles'!I$7+40),'Outil Cibles'!I$14*'Outil Cibles'!I$8,0))))</f>
        <v>0</v>
      </c>
      <c r="H38">
        <f>IF($A38='Outil Cibles'!J$7,'Outil Cibles'!J$11*'Outil Cibles'!J$8,IF($A38=('Outil Cibles'!J$7+20),'Outil Cibles'!J$12*'Outil Cibles'!J$8,IF($A38=('Outil Cibles'!J$7+30),'Outil Cibles'!J$13*'Outil Cibles'!J$8,IF($A38=('Outil Cibles'!J$7+40),'Outil Cibles'!J$14*'Outil Cibles'!J$8,0))))</f>
        <v>0</v>
      </c>
      <c r="I38">
        <f>IF($A38='Outil Cibles'!K$7,'Outil Cibles'!K$11*'Outil Cibles'!K$8,IF($A38=('Outil Cibles'!K$7+20),'Outil Cibles'!K$12*'Outil Cibles'!K$8,IF($A38=('Outil Cibles'!K$7+30),'Outil Cibles'!K$13*'Outil Cibles'!K$8,IF($A38=('Outil Cibles'!K$7+40),'Outil Cibles'!K$14*'Outil Cibles'!K$8,0))))</f>
        <v>0</v>
      </c>
      <c r="J38">
        <f>IF($A38='Outil Cibles'!L$7,'Outil Cibles'!L$11*'Outil Cibles'!L$8,IF($A38=('Outil Cibles'!L$7+20),'Outil Cibles'!L$12*'Outil Cibles'!L$8,IF($A38=('Outil Cibles'!L$7+30),'Outil Cibles'!L$13*'Outil Cibles'!L$8,IF($A38=('Outil Cibles'!L$7+40),'Outil Cibles'!L$14*'Outil Cibles'!L$8,0))))</f>
        <v>0</v>
      </c>
      <c r="K38">
        <f>IF($A38='Outil Cibles'!M$7,'Outil Cibles'!M$11*'Outil Cibles'!M$8,IF($A38=('Outil Cibles'!M$7+20),'Outil Cibles'!M$12*'Outil Cibles'!M$8,IF($A38=('Outil Cibles'!M$7+30),'Outil Cibles'!M$13*'Outil Cibles'!M$8,IF($A38=('Outil Cibles'!M$7+40),'Outil Cibles'!M$14*'Outil Cibles'!M$8,0))))</f>
        <v>0</v>
      </c>
      <c r="L38">
        <f t="shared" si="1"/>
        <v>3648.9079156922339</v>
      </c>
      <c r="N38">
        <v>2055</v>
      </c>
      <c r="O38">
        <f>IF(N38='Outil Cibles'!$Q$7, 'Outil Cibles'!$Q$18, 0)</f>
        <v>0</v>
      </c>
      <c r="P38">
        <f>IF(N38='Outil Cibles'!$R$7, 'Outil Cibles'!$R$18, 0)</f>
        <v>0</v>
      </c>
      <c r="Q38">
        <f>IF(N38='Outil Cibles'!$S$7, 'Outil Cibles'!$S$18, 0)</f>
        <v>0</v>
      </c>
      <c r="R38">
        <f>IF(N38='Outil Cibles'!$T$7, 'Outil Cibles'!$T$18, 0)</f>
        <v>0</v>
      </c>
      <c r="S38">
        <f>IF(N38='Outil Cibles'!$U$7, 'Outil Cibles'!$U$18, 0)</f>
        <v>0</v>
      </c>
      <c r="T38">
        <f>IF(N38='Outil Cibles'!$V$7, 'Outil Cibles'!$V$18, 0)</f>
        <v>0</v>
      </c>
      <c r="U38">
        <f>IF(N38='Outil Cibles'!$W$7, 'Outil Cibles'!$W$18, 0)</f>
        <v>0</v>
      </c>
      <c r="V38">
        <f>IF(N38='Outil Cibles'!$X$7, 'Outil Cibles'!$X$18, 0)</f>
        <v>0</v>
      </c>
      <c r="W38">
        <f>IF(N38='Outil Cibles'!$Y$7, 'Outil Cibles'!$Y$18, 0)</f>
        <v>0</v>
      </c>
      <c r="X38">
        <f>IF(N38='Outil Cibles'!$Z$7, 'Outil Cibles'!$Z$18, 0)</f>
        <v>0</v>
      </c>
      <c r="Y38">
        <f t="shared" si="2"/>
        <v>0</v>
      </c>
      <c r="AA38">
        <f>IF($A38='Outil Cibles'!D$7,'Outil Cibles'!D$11*'Outil Cibles'!D$8,0)</f>
        <v>0</v>
      </c>
      <c r="AC38">
        <f>IF($A38=('Outil Cibles'!D$7+20),'Outil Cibles'!D$12*'Outil Cibles'!D$8,0)</f>
        <v>0</v>
      </c>
      <c r="AE38">
        <f>IF($A38=('Outil Cibles'!D$7+30),'Outil Cibles'!D$13*'Outil Cibles'!D$8,0)</f>
        <v>0</v>
      </c>
      <c r="AG38">
        <f>IF($A38=('Outil Cibles'!D$7+40),'Outil Cibles'!D$14*'Outil Cibles'!D$8,0)</f>
        <v>0</v>
      </c>
    </row>
    <row r="39" spans="1:33" x14ac:dyDescent="0.3">
      <c r="A39">
        <v>2056</v>
      </c>
      <c r="B39">
        <f>IF($A39='Outil Cibles'!D$7,'Outil Cibles'!D$11*'Outil Cibles'!D$8,IF($A39=('Outil Cibles'!D$7+20),'Outil Cibles'!D$12*'Outil Cibles'!D$8,IF($A39=('Outil Cibles'!D$7+30),'Outil Cibles'!D$13*'Outil Cibles'!D$8,IF($A39=('Outil Cibles'!D$7+40),'Outil Cibles'!D$14*'Outil Cibles'!D$8,0))))</f>
        <v>0</v>
      </c>
      <c r="C39">
        <f>IF($A39='Outil Cibles'!E$7,'Outil Cibles'!E$11*'Outil Cibles'!E$8,IF($A39=('Outil Cibles'!E$7+20),'Outil Cibles'!E$12*'Outil Cibles'!E$8,IF($A39=('Outil Cibles'!E$7+30),'Outil Cibles'!E$13*'Outil Cibles'!E$8,IF($A39=('Outil Cibles'!E$7+40),'Outil Cibles'!E$14*'Outil Cibles'!E$8,0))))</f>
        <v>23726.589121132678</v>
      </c>
      <c r="D39">
        <f>IF($A39='Outil Cibles'!F$7,'Outil Cibles'!F$11*'Outil Cibles'!F$8,IF($A39=('Outil Cibles'!F$7+20),'Outil Cibles'!F$12*'Outil Cibles'!F$8,IF($A39=('Outil Cibles'!F$7+30),'Outil Cibles'!F$13*'Outil Cibles'!F$8,IF($A39=('Outil Cibles'!F$7+40),'Outil Cibles'!F$14*'Outil Cibles'!F$8,0))))</f>
        <v>0</v>
      </c>
      <c r="E39">
        <f>IF($A39='Outil Cibles'!G$7,'Outil Cibles'!G$11*'Outil Cibles'!G$8,IF($A39=('Outil Cibles'!G$7+20),'Outil Cibles'!G$12*'Outil Cibles'!G$8,IF($A39=('Outil Cibles'!G$7+30),'Outil Cibles'!G$13*'Outil Cibles'!G$8,IF($A39=('Outil Cibles'!G$7+40),'Outil Cibles'!G$14*'Outil Cibles'!G$8,0))))</f>
        <v>0</v>
      </c>
      <c r="F39">
        <f>IF($A39='Outil Cibles'!H$7,'Outil Cibles'!H$11*'Outil Cibles'!H$8,IF($A39=('Outil Cibles'!H$7+20),'Outil Cibles'!H$12*'Outil Cibles'!H$8,IF($A39=('Outil Cibles'!H$7+30),'Outil Cibles'!H$13*'Outil Cibles'!H$8,IF($A39=('Outil Cibles'!H$7+40),'Outil Cibles'!H$14*'Outil Cibles'!H$8,0))))</f>
        <v>0</v>
      </c>
      <c r="G39">
        <f>IF($A39='Outil Cibles'!I$7,'Outil Cibles'!I$11*'Outil Cibles'!I$8,IF($A39=('Outil Cibles'!I$7+20),'Outil Cibles'!I$12*'Outil Cibles'!I$8,IF($A39=('Outil Cibles'!I$7+30),'Outil Cibles'!I$13*'Outil Cibles'!I$8,IF($A39=('Outil Cibles'!I$7+40),'Outil Cibles'!I$14*'Outil Cibles'!I$8,0))))</f>
        <v>0</v>
      </c>
      <c r="H39">
        <f>IF($A39='Outil Cibles'!J$7,'Outil Cibles'!J$11*'Outil Cibles'!J$8,IF($A39=('Outil Cibles'!J$7+20),'Outil Cibles'!J$12*'Outil Cibles'!J$8,IF($A39=('Outil Cibles'!J$7+30),'Outil Cibles'!J$13*'Outil Cibles'!J$8,IF($A39=('Outil Cibles'!J$7+40),'Outil Cibles'!J$14*'Outil Cibles'!J$8,0))))</f>
        <v>0</v>
      </c>
      <c r="I39">
        <f>IF($A39='Outil Cibles'!K$7,'Outil Cibles'!K$11*'Outil Cibles'!K$8,IF($A39=('Outil Cibles'!K$7+20),'Outil Cibles'!K$12*'Outil Cibles'!K$8,IF($A39=('Outil Cibles'!K$7+30),'Outil Cibles'!K$13*'Outil Cibles'!K$8,IF($A39=('Outil Cibles'!K$7+40),'Outil Cibles'!K$14*'Outil Cibles'!K$8,0))))</f>
        <v>0</v>
      </c>
      <c r="J39">
        <f>IF($A39='Outil Cibles'!L$7,'Outil Cibles'!L$11*'Outil Cibles'!L$8,IF($A39=('Outil Cibles'!L$7+20),'Outil Cibles'!L$12*'Outil Cibles'!L$8,IF($A39=('Outil Cibles'!L$7+30),'Outil Cibles'!L$13*'Outil Cibles'!L$8,IF($A39=('Outil Cibles'!L$7+40),'Outil Cibles'!L$14*'Outil Cibles'!L$8,0))))</f>
        <v>0</v>
      </c>
      <c r="K39">
        <f>IF($A39='Outil Cibles'!M$7,'Outil Cibles'!M$11*'Outil Cibles'!M$8,IF($A39=('Outil Cibles'!M$7+20),'Outil Cibles'!M$12*'Outil Cibles'!M$8,IF($A39=('Outil Cibles'!M$7+30),'Outil Cibles'!M$13*'Outil Cibles'!M$8,IF($A39=('Outil Cibles'!M$7+40),'Outil Cibles'!M$14*'Outil Cibles'!M$8,0))))</f>
        <v>0</v>
      </c>
      <c r="L39">
        <f t="shared" si="1"/>
        <v>23726.589121132678</v>
      </c>
      <c r="N39">
        <v>2056</v>
      </c>
      <c r="O39">
        <f>IF(N39='Outil Cibles'!$Q$7, 'Outil Cibles'!$Q$18, 0)</f>
        <v>0</v>
      </c>
      <c r="P39">
        <f>IF(N39='Outil Cibles'!$R$7, 'Outil Cibles'!$R$18, 0)</f>
        <v>0</v>
      </c>
      <c r="Q39">
        <f>IF(N39='Outil Cibles'!$S$7, 'Outil Cibles'!$S$18, 0)</f>
        <v>0</v>
      </c>
      <c r="R39">
        <f>IF(N39='Outil Cibles'!$T$7, 'Outil Cibles'!$T$18, 0)</f>
        <v>0</v>
      </c>
      <c r="S39">
        <f>IF(N39='Outil Cibles'!$U$7, 'Outil Cibles'!$U$18, 0)</f>
        <v>0</v>
      </c>
      <c r="T39">
        <f>IF(N39='Outil Cibles'!$V$7, 'Outil Cibles'!$V$18, 0)</f>
        <v>0</v>
      </c>
      <c r="U39">
        <f>IF(N39='Outil Cibles'!$W$7, 'Outil Cibles'!$W$18, 0)</f>
        <v>0</v>
      </c>
      <c r="V39">
        <f>IF(N39='Outil Cibles'!$X$7, 'Outil Cibles'!$X$18, 0)</f>
        <v>0</v>
      </c>
      <c r="W39">
        <f>IF(N39='Outil Cibles'!$Y$7, 'Outil Cibles'!$Y$18, 0)</f>
        <v>0</v>
      </c>
      <c r="X39">
        <f>IF(N39='Outil Cibles'!$Z$7, 'Outil Cibles'!$Z$18, 0)</f>
        <v>0</v>
      </c>
      <c r="Y39">
        <f t="shared" si="2"/>
        <v>0</v>
      </c>
      <c r="AA39">
        <f>IF($A39='Outil Cibles'!D$7,'Outil Cibles'!D$11*'Outil Cibles'!D$8,0)</f>
        <v>0</v>
      </c>
      <c r="AC39">
        <f>IF($A39=('Outil Cibles'!D$7+20),'Outil Cibles'!D$12*'Outil Cibles'!D$8,0)</f>
        <v>0</v>
      </c>
      <c r="AE39">
        <f>IF($A39=('Outil Cibles'!D$7+30),'Outil Cibles'!D$13*'Outil Cibles'!D$8,0)</f>
        <v>0</v>
      </c>
      <c r="AG39">
        <f>IF($A39=('Outil Cibles'!D$7+40),'Outil Cibles'!D$14*'Outil Cibles'!D$8,0)</f>
        <v>0</v>
      </c>
    </row>
    <row r="40" spans="1:33" x14ac:dyDescent="0.3">
      <c r="A40">
        <v>2057</v>
      </c>
      <c r="B40">
        <f>IF($A40='Outil Cibles'!D$7,'Outil Cibles'!D$11*'Outil Cibles'!D$8,IF($A40=('Outil Cibles'!D$7+20),'Outil Cibles'!D$12*'Outil Cibles'!D$8,IF($A40=('Outil Cibles'!D$7+30),'Outil Cibles'!D$13*'Outil Cibles'!D$8,IF($A40=('Outil Cibles'!D$7+40),'Outil Cibles'!D$14*'Outil Cibles'!D$8,0))))</f>
        <v>0</v>
      </c>
      <c r="C40">
        <f>IF($A40='Outil Cibles'!E$7,'Outil Cibles'!E$11*'Outil Cibles'!E$8,IF($A40=('Outil Cibles'!E$7+20),'Outil Cibles'!E$12*'Outil Cibles'!E$8,IF($A40=('Outil Cibles'!E$7+30),'Outil Cibles'!E$13*'Outil Cibles'!E$8,IF($A40=('Outil Cibles'!E$7+40),'Outil Cibles'!E$14*'Outil Cibles'!E$8,0))))</f>
        <v>0</v>
      </c>
      <c r="D40">
        <f>IF($A40='Outil Cibles'!F$7,'Outil Cibles'!F$11*'Outil Cibles'!F$8,IF($A40=('Outil Cibles'!F$7+20),'Outil Cibles'!F$12*'Outil Cibles'!F$8,IF($A40=('Outil Cibles'!F$7+30),'Outil Cibles'!F$13*'Outil Cibles'!F$8,IF($A40=('Outil Cibles'!F$7+40),'Outil Cibles'!F$14*'Outil Cibles'!F$8,0))))</f>
        <v>0</v>
      </c>
      <c r="E40">
        <f>IF($A40='Outil Cibles'!G$7,'Outil Cibles'!G$11*'Outil Cibles'!G$8,IF($A40=('Outil Cibles'!G$7+20),'Outil Cibles'!G$12*'Outil Cibles'!G$8,IF($A40=('Outil Cibles'!G$7+30),'Outil Cibles'!G$13*'Outil Cibles'!G$8,IF($A40=('Outil Cibles'!G$7+40),'Outil Cibles'!G$14*'Outil Cibles'!G$8,0))))</f>
        <v>0</v>
      </c>
      <c r="F40">
        <f>IF($A40='Outil Cibles'!H$7,'Outil Cibles'!H$11*'Outil Cibles'!H$8,IF($A40=('Outil Cibles'!H$7+20),'Outil Cibles'!H$12*'Outil Cibles'!H$8,IF($A40=('Outil Cibles'!H$7+30),'Outil Cibles'!H$13*'Outil Cibles'!H$8,IF($A40=('Outil Cibles'!H$7+40),'Outil Cibles'!H$14*'Outil Cibles'!H$8,0))))</f>
        <v>0</v>
      </c>
      <c r="G40">
        <f>IF($A40='Outil Cibles'!I$7,'Outil Cibles'!I$11*'Outil Cibles'!I$8,IF($A40=('Outil Cibles'!I$7+20),'Outil Cibles'!I$12*'Outil Cibles'!I$8,IF($A40=('Outil Cibles'!I$7+30),'Outil Cibles'!I$13*'Outil Cibles'!I$8,IF($A40=('Outil Cibles'!I$7+40),'Outil Cibles'!I$14*'Outil Cibles'!I$8,0))))</f>
        <v>0</v>
      </c>
      <c r="H40">
        <f>IF($A40='Outil Cibles'!J$7,'Outil Cibles'!J$11*'Outil Cibles'!J$8,IF($A40=('Outil Cibles'!J$7+20),'Outil Cibles'!J$12*'Outil Cibles'!J$8,IF($A40=('Outil Cibles'!J$7+30),'Outil Cibles'!J$13*'Outil Cibles'!J$8,IF($A40=('Outil Cibles'!J$7+40),'Outil Cibles'!J$14*'Outil Cibles'!J$8,0))))</f>
        <v>0</v>
      </c>
      <c r="I40">
        <f>IF($A40='Outil Cibles'!K$7,'Outil Cibles'!K$11*'Outil Cibles'!K$8,IF($A40=('Outil Cibles'!K$7+20),'Outil Cibles'!K$12*'Outil Cibles'!K$8,IF($A40=('Outil Cibles'!K$7+30),'Outil Cibles'!K$13*'Outil Cibles'!K$8,IF($A40=('Outil Cibles'!K$7+40),'Outil Cibles'!K$14*'Outil Cibles'!K$8,0))))</f>
        <v>0</v>
      </c>
      <c r="J40">
        <f>IF($A40='Outil Cibles'!L$7,'Outil Cibles'!L$11*'Outil Cibles'!L$8,IF($A40=('Outil Cibles'!L$7+20),'Outil Cibles'!L$12*'Outil Cibles'!L$8,IF($A40=('Outil Cibles'!L$7+30),'Outil Cibles'!L$13*'Outil Cibles'!L$8,IF($A40=('Outil Cibles'!L$7+40),'Outil Cibles'!L$14*'Outil Cibles'!L$8,0))))</f>
        <v>0</v>
      </c>
      <c r="K40">
        <f>IF($A40='Outil Cibles'!M$7,'Outil Cibles'!M$11*'Outil Cibles'!M$8,IF($A40=('Outil Cibles'!M$7+20),'Outil Cibles'!M$12*'Outil Cibles'!M$8,IF($A40=('Outil Cibles'!M$7+30),'Outil Cibles'!M$13*'Outil Cibles'!M$8,IF($A40=('Outil Cibles'!M$7+40),'Outil Cibles'!M$14*'Outil Cibles'!M$8,0))))</f>
        <v>0</v>
      </c>
      <c r="L40">
        <f t="shared" si="1"/>
        <v>0</v>
      </c>
      <c r="N40">
        <v>2057</v>
      </c>
      <c r="O40">
        <f>IF(N40='Outil Cibles'!$Q$7, 'Outil Cibles'!$Q$18, 0)</f>
        <v>0</v>
      </c>
      <c r="P40">
        <f>IF(N40='Outil Cibles'!$R$7, 'Outil Cibles'!$R$18, 0)</f>
        <v>0</v>
      </c>
      <c r="Q40">
        <f>IF(N40='Outil Cibles'!$S$7, 'Outil Cibles'!$S$18, 0)</f>
        <v>0</v>
      </c>
      <c r="R40">
        <f>IF(N40='Outil Cibles'!$T$7, 'Outil Cibles'!$T$18, 0)</f>
        <v>0</v>
      </c>
      <c r="S40">
        <f>IF(N40='Outil Cibles'!$U$7, 'Outil Cibles'!$U$18, 0)</f>
        <v>0</v>
      </c>
      <c r="T40">
        <f>IF(N40='Outil Cibles'!$V$7, 'Outil Cibles'!$V$18, 0)</f>
        <v>0</v>
      </c>
      <c r="U40">
        <f>IF(N40='Outil Cibles'!$W$7, 'Outil Cibles'!$W$18, 0)</f>
        <v>0</v>
      </c>
      <c r="V40">
        <f>IF(N40='Outil Cibles'!$X$7, 'Outil Cibles'!$X$18, 0)</f>
        <v>0</v>
      </c>
      <c r="W40">
        <f>IF(N40='Outil Cibles'!$Y$7, 'Outil Cibles'!$Y$18, 0)</f>
        <v>0</v>
      </c>
      <c r="X40">
        <f>IF(N40='Outil Cibles'!$Z$7, 'Outil Cibles'!$Z$18, 0)</f>
        <v>0</v>
      </c>
      <c r="Y40">
        <f t="shared" si="2"/>
        <v>0</v>
      </c>
      <c r="AA40">
        <f>IF($A40='Outil Cibles'!D$7,'Outil Cibles'!D$11*'Outil Cibles'!D$8,0)</f>
        <v>0</v>
      </c>
      <c r="AC40">
        <f>IF($A40=('Outil Cibles'!D$7+20),'Outil Cibles'!D$12*'Outil Cibles'!D$8,0)</f>
        <v>0</v>
      </c>
      <c r="AE40">
        <f>IF($A40=('Outil Cibles'!D$7+30),'Outil Cibles'!D$13*'Outil Cibles'!D$8,0)</f>
        <v>0</v>
      </c>
      <c r="AG40">
        <f>IF($A40=('Outil Cibles'!D$7+40),'Outil Cibles'!D$14*'Outil Cibles'!D$8,0)</f>
        <v>0</v>
      </c>
    </row>
    <row r="41" spans="1:33" x14ac:dyDescent="0.3">
      <c r="A41" s="10">
        <v>2058</v>
      </c>
      <c r="B41">
        <f>IF($A41='Outil Cibles'!D$7,'Outil Cibles'!D$11*'Outil Cibles'!D$8,IF($A41=('Outil Cibles'!D$7+20),'Outil Cibles'!D$12*'Outil Cibles'!D$8,IF($A41=('Outil Cibles'!D$7+30),'Outil Cibles'!D$13*'Outil Cibles'!D$8,IF($A41=('Outil Cibles'!D$7+40),'Outil Cibles'!D$14*'Outil Cibles'!D$8,0))))</f>
        <v>0</v>
      </c>
      <c r="C41">
        <f>IF($A41='Outil Cibles'!E$7,'Outil Cibles'!E$11*'Outil Cibles'!E$8,IF($A41=('Outil Cibles'!E$7+20),'Outil Cibles'!E$12*'Outil Cibles'!E$8,IF($A41=('Outil Cibles'!E$7+30),'Outil Cibles'!E$13*'Outil Cibles'!E$8,IF($A41=('Outil Cibles'!E$7+40),'Outil Cibles'!E$14*'Outil Cibles'!E$8,0))))</f>
        <v>0</v>
      </c>
      <c r="D41">
        <f>IF($A41='Outil Cibles'!F$7,'Outil Cibles'!F$11*'Outil Cibles'!F$8,IF($A41=('Outil Cibles'!F$7+20),'Outil Cibles'!F$12*'Outil Cibles'!F$8,IF($A41=('Outil Cibles'!F$7+30),'Outil Cibles'!F$13*'Outil Cibles'!F$8,IF($A41=('Outil Cibles'!F$7+40),'Outil Cibles'!F$14*'Outil Cibles'!F$8,0))))</f>
        <v>0</v>
      </c>
      <c r="E41">
        <f>IF($A41='Outil Cibles'!G$7,'Outil Cibles'!G$11*'Outil Cibles'!G$8,IF($A41=('Outil Cibles'!G$7+20),'Outil Cibles'!G$12*'Outil Cibles'!G$8,IF($A41=('Outil Cibles'!G$7+30),'Outil Cibles'!G$13*'Outil Cibles'!G$8,IF($A41=('Outil Cibles'!G$7+40),'Outil Cibles'!G$14*'Outil Cibles'!G$8,0))))</f>
        <v>0</v>
      </c>
      <c r="F41">
        <f>IF($A41='Outil Cibles'!H$7,'Outil Cibles'!H$11*'Outil Cibles'!H$8,IF($A41=('Outil Cibles'!H$7+20),'Outil Cibles'!H$12*'Outil Cibles'!H$8,IF($A41=('Outil Cibles'!H$7+30),'Outil Cibles'!H$13*'Outil Cibles'!H$8,IF($A41=('Outil Cibles'!H$7+40),'Outil Cibles'!H$14*'Outil Cibles'!H$8,0))))</f>
        <v>2879.2520443425633</v>
      </c>
      <c r="G41">
        <f>IF($A41='Outil Cibles'!I$7,'Outil Cibles'!I$11*'Outil Cibles'!I$8,IF($A41=('Outil Cibles'!I$7+20),'Outil Cibles'!I$12*'Outil Cibles'!I$8,IF($A41=('Outil Cibles'!I$7+30),'Outil Cibles'!I$13*'Outil Cibles'!I$8,IF($A41=('Outil Cibles'!I$7+40),'Outil Cibles'!I$14*'Outil Cibles'!I$8,0))))</f>
        <v>0</v>
      </c>
      <c r="H41">
        <f>IF($A41='Outil Cibles'!J$7,'Outil Cibles'!J$11*'Outil Cibles'!J$8,IF($A41=('Outil Cibles'!J$7+20),'Outil Cibles'!J$12*'Outil Cibles'!J$8,IF($A41=('Outil Cibles'!J$7+30),'Outil Cibles'!J$13*'Outil Cibles'!J$8,IF($A41=('Outil Cibles'!J$7+40),'Outil Cibles'!J$14*'Outil Cibles'!J$8,0))))</f>
        <v>0</v>
      </c>
      <c r="I41">
        <f>IF($A41='Outil Cibles'!K$7,'Outil Cibles'!K$11*'Outil Cibles'!K$8,IF($A41=('Outil Cibles'!K$7+20),'Outil Cibles'!K$12*'Outil Cibles'!K$8,IF($A41=('Outil Cibles'!K$7+30),'Outil Cibles'!K$13*'Outil Cibles'!K$8,IF($A41=('Outil Cibles'!K$7+40),'Outil Cibles'!K$14*'Outil Cibles'!K$8,0))))</f>
        <v>0</v>
      </c>
      <c r="J41">
        <f>IF($A41='Outil Cibles'!L$7,'Outil Cibles'!L$11*'Outil Cibles'!L$8,IF($A41=('Outil Cibles'!L$7+20),'Outil Cibles'!L$12*'Outil Cibles'!L$8,IF($A41=('Outil Cibles'!L$7+30),'Outil Cibles'!L$13*'Outil Cibles'!L$8,IF($A41=('Outil Cibles'!L$7+40),'Outil Cibles'!L$14*'Outil Cibles'!L$8,0))))</f>
        <v>0</v>
      </c>
      <c r="K41">
        <f>IF($A41='Outil Cibles'!M$7,'Outil Cibles'!M$11*'Outil Cibles'!M$8,IF($A41=('Outil Cibles'!M$7+20),'Outil Cibles'!M$12*'Outil Cibles'!M$8,IF($A41=('Outil Cibles'!M$7+30),'Outil Cibles'!M$13*'Outil Cibles'!M$8,IF($A41=('Outil Cibles'!M$7+40),'Outil Cibles'!M$14*'Outil Cibles'!M$8,0))))</f>
        <v>0</v>
      </c>
      <c r="L41">
        <f t="shared" si="1"/>
        <v>2879.2520443425633</v>
      </c>
      <c r="N41" s="10">
        <v>2058</v>
      </c>
      <c r="O41">
        <f>IF(N41='Outil Cibles'!$Q$7, 'Outil Cibles'!$Q$18, 0)</f>
        <v>0</v>
      </c>
      <c r="P41">
        <f>IF(N41='Outil Cibles'!$R$7, 'Outil Cibles'!$R$18, 0)</f>
        <v>0</v>
      </c>
      <c r="Q41">
        <f>IF(N41='Outil Cibles'!$S$7, 'Outil Cibles'!$S$18, 0)</f>
        <v>0</v>
      </c>
      <c r="R41">
        <f>IF(N41='Outil Cibles'!$T$7, 'Outil Cibles'!$T$18, 0)</f>
        <v>0</v>
      </c>
      <c r="S41">
        <f>IF(N41='Outil Cibles'!$U$7, 'Outil Cibles'!$U$18, 0)</f>
        <v>0</v>
      </c>
      <c r="T41">
        <f>IF(N41='Outil Cibles'!$V$7, 'Outil Cibles'!$V$18, 0)</f>
        <v>0</v>
      </c>
      <c r="U41">
        <f>IF(N41='Outil Cibles'!$W$7, 'Outil Cibles'!$W$18, 0)</f>
        <v>0</v>
      </c>
      <c r="V41">
        <f>IF(N41='Outil Cibles'!$X$7, 'Outil Cibles'!$X$18, 0)</f>
        <v>0</v>
      </c>
      <c r="W41">
        <f>IF(N41='Outil Cibles'!$Y$7, 'Outil Cibles'!$Y$18, 0)</f>
        <v>0</v>
      </c>
      <c r="X41">
        <f>IF(N41='Outil Cibles'!$Z$7, 'Outil Cibles'!$Z$18, 0)</f>
        <v>0</v>
      </c>
      <c r="Y41">
        <f t="shared" si="2"/>
        <v>0</v>
      </c>
      <c r="AA41">
        <f>IF($A41='Outil Cibles'!D$7,'Outil Cibles'!D$11*'Outil Cibles'!D$8,0)</f>
        <v>0</v>
      </c>
      <c r="AC41">
        <f>IF($A41=('Outil Cibles'!D$7+20),'Outil Cibles'!D$12*'Outil Cibles'!D$8,0)</f>
        <v>0</v>
      </c>
      <c r="AE41">
        <f>IF($A41=('Outil Cibles'!D$7+30),'Outil Cibles'!D$13*'Outil Cibles'!D$8,0)</f>
        <v>0</v>
      </c>
      <c r="AG41">
        <f>IF($A41=('Outil Cibles'!D$7+40),'Outil Cibles'!D$14*'Outil Cibles'!D$8,0)</f>
        <v>0</v>
      </c>
    </row>
    <row r="42" spans="1:33" x14ac:dyDescent="0.3">
      <c r="A42">
        <v>2059</v>
      </c>
      <c r="B42">
        <f>IF($A42='Outil Cibles'!D$7,'Outil Cibles'!D$11*'Outil Cibles'!D$8,IF($A42=('Outil Cibles'!D$7+20),'Outil Cibles'!D$12*'Outil Cibles'!D$8,IF($A42=('Outil Cibles'!D$7+30),'Outil Cibles'!D$13*'Outil Cibles'!D$8,IF($A42=('Outil Cibles'!D$7+40),'Outil Cibles'!D$14*'Outil Cibles'!D$8,0))))</f>
        <v>0</v>
      </c>
      <c r="C42">
        <f>IF($A42='Outil Cibles'!E$7,'Outil Cibles'!E$11*'Outil Cibles'!E$8,IF($A42=('Outil Cibles'!E$7+20),'Outil Cibles'!E$12*'Outil Cibles'!E$8,IF($A42=('Outil Cibles'!E$7+30),'Outil Cibles'!E$13*'Outil Cibles'!E$8,IF($A42=('Outil Cibles'!E$7+40),'Outil Cibles'!E$14*'Outil Cibles'!E$8,0))))</f>
        <v>0</v>
      </c>
      <c r="D42">
        <f>IF($A42='Outil Cibles'!F$7,'Outil Cibles'!F$11*'Outil Cibles'!F$8,IF($A42=('Outil Cibles'!F$7+20),'Outil Cibles'!F$12*'Outil Cibles'!F$8,IF($A42=('Outil Cibles'!F$7+30),'Outil Cibles'!F$13*'Outil Cibles'!F$8,IF($A42=('Outil Cibles'!F$7+40),'Outil Cibles'!F$14*'Outil Cibles'!F$8,0))))</f>
        <v>0</v>
      </c>
      <c r="E42">
        <f>IF($A42='Outil Cibles'!G$7,'Outil Cibles'!G$11*'Outil Cibles'!G$8,IF($A42=('Outil Cibles'!G$7+20),'Outil Cibles'!G$12*'Outil Cibles'!G$8,IF($A42=('Outil Cibles'!G$7+30),'Outil Cibles'!G$13*'Outil Cibles'!G$8,IF($A42=('Outil Cibles'!G$7+40),'Outil Cibles'!G$14*'Outil Cibles'!G$8,0))))</f>
        <v>0</v>
      </c>
      <c r="F42">
        <f>IF($A42='Outil Cibles'!H$7,'Outil Cibles'!H$11*'Outil Cibles'!H$8,IF($A42=('Outil Cibles'!H$7+20),'Outil Cibles'!H$12*'Outil Cibles'!H$8,IF($A42=('Outil Cibles'!H$7+30),'Outil Cibles'!H$13*'Outil Cibles'!H$8,IF($A42=('Outil Cibles'!H$7+40),'Outil Cibles'!H$14*'Outil Cibles'!H$8,0))))</f>
        <v>0</v>
      </c>
      <c r="G42">
        <f>IF($A42='Outil Cibles'!I$7,'Outil Cibles'!I$11*'Outil Cibles'!I$8,IF($A42=('Outil Cibles'!I$7+20),'Outil Cibles'!I$12*'Outil Cibles'!I$8,IF($A42=('Outil Cibles'!I$7+30),'Outil Cibles'!I$13*'Outil Cibles'!I$8,IF($A42=('Outil Cibles'!I$7+40),'Outil Cibles'!I$14*'Outil Cibles'!I$8,0))))</f>
        <v>0</v>
      </c>
      <c r="H42">
        <f>IF($A42='Outil Cibles'!J$7,'Outil Cibles'!J$11*'Outil Cibles'!J$8,IF($A42=('Outil Cibles'!J$7+20),'Outil Cibles'!J$12*'Outil Cibles'!J$8,IF($A42=('Outil Cibles'!J$7+30),'Outil Cibles'!J$13*'Outil Cibles'!J$8,IF($A42=('Outil Cibles'!J$7+40),'Outil Cibles'!J$14*'Outil Cibles'!J$8,0))))</f>
        <v>0</v>
      </c>
      <c r="I42">
        <f>IF($A42='Outil Cibles'!K$7,'Outil Cibles'!K$11*'Outil Cibles'!K$8,IF($A42=('Outil Cibles'!K$7+20),'Outil Cibles'!K$12*'Outil Cibles'!K$8,IF($A42=('Outil Cibles'!K$7+30),'Outil Cibles'!K$13*'Outil Cibles'!K$8,IF($A42=('Outil Cibles'!K$7+40),'Outil Cibles'!K$14*'Outil Cibles'!K$8,0))))</f>
        <v>0</v>
      </c>
      <c r="J42">
        <f>IF($A42='Outil Cibles'!L$7,'Outil Cibles'!L$11*'Outil Cibles'!L$8,IF($A42=('Outil Cibles'!L$7+20),'Outil Cibles'!L$12*'Outil Cibles'!L$8,IF($A42=('Outil Cibles'!L$7+30),'Outil Cibles'!L$13*'Outil Cibles'!L$8,IF($A42=('Outil Cibles'!L$7+40),'Outil Cibles'!L$14*'Outil Cibles'!L$8,0))))</f>
        <v>0</v>
      </c>
      <c r="K42">
        <f>IF($A42='Outil Cibles'!M$7,'Outil Cibles'!M$11*'Outil Cibles'!M$8,IF($A42=('Outil Cibles'!M$7+20),'Outil Cibles'!M$12*'Outil Cibles'!M$8,IF($A42=('Outil Cibles'!M$7+30),'Outil Cibles'!M$13*'Outil Cibles'!M$8,IF($A42=('Outil Cibles'!M$7+40),'Outil Cibles'!M$14*'Outil Cibles'!M$8,0))))</f>
        <v>0</v>
      </c>
      <c r="L42">
        <f t="shared" si="1"/>
        <v>0</v>
      </c>
      <c r="N42">
        <v>2059</v>
      </c>
      <c r="O42">
        <f>IF(N42='Outil Cibles'!$Q$7, 'Outil Cibles'!$Q$18, 0)</f>
        <v>0</v>
      </c>
      <c r="P42">
        <f>IF(N42='Outil Cibles'!$R$7, 'Outil Cibles'!$R$18, 0)</f>
        <v>0</v>
      </c>
      <c r="Q42">
        <f>IF(N42='Outil Cibles'!$S$7, 'Outil Cibles'!$S$18, 0)</f>
        <v>0</v>
      </c>
      <c r="R42">
        <f>IF(N42='Outil Cibles'!$T$7, 'Outil Cibles'!$T$18, 0)</f>
        <v>0</v>
      </c>
      <c r="S42">
        <f>IF(N42='Outil Cibles'!$U$7, 'Outil Cibles'!$U$18, 0)</f>
        <v>0</v>
      </c>
      <c r="T42">
        <f>IF(N42='Outil Cibles'!$V$7, 'Outil Cibles'!$V$18, 0)</f>
        <v>0</v>
      </c>
      <c r="U42">
        <f>IF(N42='Outil Cibles'!$W$7, 'Outil Cibles'!$W$18, 0)</f>
        <v>0</v>
      </c>
      <c r="V42">
        <f>IF(N42='Outil Cibles'!$X$7, 'Outil Cibles'!$X$18, 0)</f>
        <v>0</v>
      </c>
      <c r="W42">
        <f>IF(N42='Outil Cibles'!$Y$7, 'Outil Cibles'!$Y$18, 0)</f>
        <v>0</v>
      </c>
      <c r="X42">
        <f>IF(N42='Outil Cibles'!$Z$7, 'Outil Cibles'!$Z$18, 0)</f>
        <v>0</v>
      </c>
      <c r="Y42">
        <f t="shared" si="2"/>
        <v>0</v>
      </c>
      <c r="AA42">
        <f>IF($A42='Outil Cibles'!D$7,'Outil Cibles'!D$11*'Outil Cibles'!D$8,0)</f>
        <v>0</v>
      </c>
      <c r="AC42">
        <f>IF($A42=('Outil Cibles'!D$7+20),'Outil Cibles'!D$12*'Outil Cibles'!D$8,0)</f>
        <v>0</v>
      </c>
      <c r="AE42">
        <f>IF($A42=('Outil Cibles'!D$7+30),'Outil Cibles'!D$13*'Outil Cibles'!D$8,0)</f>
        <v>0</v>
      </c>
      <c r="AG42">
        <f>IF($A42=('Outil Cibles'!D$7+40),'Outil Cibles'!D$14*'Outil Cibles'!D$8,0)</f>
        <v>0</v>
      </c>
    </row>
    <row r="43" spans="1:33" x14ac:dyDescent="0.3">
      <c r="A43">
        <v>2060</v>
      </c>
      <c r="B43">
        <f>IF($A43='Outil Cibles'!D$7,'Outil Cibles'!D$11*'Outil Cibles'!D$8,IF($A43=('Outil Cibles'!D$7+20),'Outil Cibles'!D$12*'Outil Cibles'!D$8,IF($A43=('Outil Cibles'!D$7+30),'Outil Cibles'!D$13*'Outil Cibles'!D$8,IF($A43=('Outil Cibles'!D$7+40),'Outil Cibles'!D$14*'Outil Cibles'!D$8,0))))</f>
        <v>0</v>
      </c>
      <c r="C43">
        <f>IF($A43='Outil Cibles'!E$7,'Outil Cibles'!E$11*'Outil Cibles'!E$8,IF($A43=('Outil Cibles'!E$7+20),'Outil Cibles'!E$12*'Outil Cibles'!E$8,IF($A43=('Outil Cibles'!E$7+30),'Outil Cibles'!E$13*'Outil Cibles'!E$8,IF($A43=('Outil Cibles'!E$7+40),'Outil Cibles'!E$14*'Outil Cibles'!E$8,0))))</f>
        <v>0</v>
      </c>
      <c r="D43">
        <f>IF($A43='Outil Cibles'!F$7,'Outil Cibles'!F$11*'Outil Cibles'!F$8,IF($A43=('Outil Cibles'!F$7+20),'Outil Cibles'!F$12*'Outil Cibles'!F$8,IF($A43=('Outil Cibles'!F$7+30),'Outil Cibles'!F$13*'Outil Cibles'!F$8,IF($A43=('Outil Cibles'!F$7+40),'Outil Cibles'!F$14*'Outil Cibles'!F$8,0))))</f>
        <v>16660.391987622723</v>
      </c>
      <c r="E43">
        <f>IF($A43='Outil Cibles'!G$7,'Outil Cibles'!G$11*'Outil Cibles'!G$8,IF($A43=('Outil Cibles'!G$7+20),'Outil Cibles'!G$12*'Outil Cibles'!G$8,IF($A43=('Outil Cibles'!G$7+30),'Outil Cibles'!G$13*'Outil Cibles'!G$8,IF($A43=('Outil Cibles'!G$7+40),'Outil Cibles'!G$14*'Outil Cibles'!G$8,0))))</f>
        <v>0</v>
      </c>
      <c r="F43">
        <f>IF($A43='Outil Cibles'!H$7,'Outil Cibles'!H$11*'Outil Cibles'!H$8,IF($A43=('Outil Cibles'!H$7+20),'Outil Cibles'!H$12*'Outil Cibles'!H$8,IF($A43=('Outil Cibles'!H$7+30),'Outil Cibles'!H$13*'Outil Cibles'!H$8,IF($A43=('Outil Cibles'!H$7+40),'Outil Cibles'!H$14*'Outil Cibles'!H$8,0))))</f>
        <v>0</v>
      </c>
      <c r="G43">
        <f>IF($A43='Outil Cibles'!I$7,'Outil Cibles'!I$11*'Outil Cibles'!I$8,IF($A43=('Outil Cibles'!I$7+20),'Outil Cibles'!I$12*'Outil Cibles'!I$8,IF($A43=('Outil Cibles'!I$7+30),'Outil Cibles'!I$13*'Outil Cibles'!I$8,IF($A43=('Outil Cibles'!I$7+40),'Outil Cibles'!I$14*'Outil Cibles'!I$8,0))))</f>
        <v>2380.0559982318182</v>
      </c>
      <c r="H43">
        <f>IF($A43='Outil Cibles'!J$7,'Outil Cibles'!J$11*'Outil Cibles'!J$8,IF($A43=('Outil Cibles'!J$7+20),'Outil Cibles'!J$12*'Outil Cibles'!J$8,IF($A43=('Outil Cibles'!J$7+30),'Outil Cibles'!J$13*'Outil Cibles'!J$8,IF($A43=('Outil Cibles'!J$7+40),'Outil Cibles'!J$14*'Outil Cibles'!J$8,0))))</f>
        <v>0</v>
      </c>
      <c r="I43">
        <f>IF($A43='Outil Cibles'!K$7,'Outil Cibles'!K$11*'Outil Cibles'!K$8,IF($A43=('Outil Cibles'!K$7+20),'Outil Cibles'!K$12*'Outil Cibles'!K$8,IF($A43=('Outil Cibles'!K$7+30),'Outil Cibles'!K$13*'Outil Cibles'!K$8,IF($A43=('Outil Cibles'!K$7+40),'Outil Cibles'!K$14*'Outil Cibles'!K$8,0))))</f>
        <v>0</v>
      </c>
      <c r="J43">
        <f>IF($A43='Outil Cibles'!L$7,'Outil Cibles'!L$11*'Outil Cibles'!L$8,IF($A43=('Outil Cibles'!L$7+20),'Outil Cibles'!L$12*'Outil Cibles'!L$8,IF($A43=('Outil Cibles'!L$7+30),'Outil Cibles'!L$13*'Outil Cibles'!L$8,IF($A43=('Outil Cibles'!L$7+40),'Outil Cibles'!L$14*'Outil Cibles'!L$8,0))))</f>
        <v>0</v>
      </c>
      <c r="K43">
        <f>IF($A43='Outil Cibles'!M$7,'Outil Cibles'!M$11*'Outil Cibles'!M$8,IF($A43=('Outil Cibles'!M$7+20),'Outil Cibles'!M$12*'Outil Cibles'!M$8,IF($A43=('Outil Cibles'!M$7+30),'Outil Cibles'!M$13*'Outil Cibles'!M$8,IF($A43=('Outil Cibles'!M$7+40),'Outil Cibles'!M$14*'Outil Cibles'!M$8,0))))</f>
        <v>0</v>
      </c>
      <c r="L43">
        <f t="shared" si="1"/>
        <v>19040.447985854542</v>
      </c>
      <c r="N43">
        <v>2060</v>
      </c>
      <c r="O43">
        <f>IF(N43='Outil Cibles'!$Q$7, 'Outil Cibles'!$Q$18, 0)</f>
        <v>0</v>
      </c>
      <c r="P43">
        <f>IF(N43='Outil Cibles'!$R$7, 'Outil Cibles'!$R$18, 0)</f>
        <v>0</v>
      </c>
      <c r="Q43">
        <f>IF(N43='Outil Cibles'!$S$7, 'Outil Cibles'!$S$18, 0)</f>
        <v>0</v>
      </c>
      <c r="R43">
        <f>IF(N43='Outil Cibles'!$T$7, 'Outil Cibles'!$T$18, 0)</f>
        <v>0</v>
      </c>
      <c r="S43">
        <f>IF(N43='Outil Cibles'!$U$7, 'Outil Cibles'!$U$18, 0)</f>
        <v>0</v>
      </c>
      <c r="T43">
        <f>IF(N43='Outil Cibles'!$V$7, 'Outil Cibles'!$V$18, 0)</f>
        <v>0</v>
      </c>
      <c r="U43">
        <f>IF(N43='Outil Cibles'!$W$7, 'Outil Cibles'!$W$18, 0)</f>
        <v>0</v>
      </c>
      <c r="V43">
        <f>IF(N43='Outil Cibles'!$X$7, 'Outil Cibles'!$X$18, 0)</f>
        <v>0</v>
      </c>
      <c r="W43">
        <f>IF(N43='Outil Cibles'!$Y$7, 'Outil Cibles'!$Y$18, 0)</f>
        <v>0</v>
      </c>
      <c r="X43">
        <f>IF(N43='Outil Cibles'!$Z$7, 'Outil Cibles'!$Z$18, 0)</f>
        <v>0</v>
      </c>
      <c r="Y43">
        <f t="shared" si="2"/>
        <v>0</v>
      </c>
      <c r="AA43">
        <f>IF($A43='Outil Cibles'!D$7,'Outil Cibles'!D$11*'Outil Cibles'!D$8,0)</f>
        <v>0</v>
      </c>
      <c r="AC43">
        <f>IF($A43=('Outil Cibles'!D$7+20),'Outil Cibles'!D$12*'Outil Cibles'!D$8,0)</f>
        <v>0</v>
      </c>
      <c r="AE43">
        <f>IF($A43=('Outil Cibles'!D$7+30),'Outil Cibles'!D$13*'Outil Cibles'!D$8,0)</f>
        <v>0</v>
      </c>
      <c r="AG43">
        <f>IF($A43=('Outil Cibles'!D$7+40),'Outil Cibles'!D$14*'Outil Cibles'!D$8,0)</f>
        <v>0</v>
      </c>
    </row>
    <row r="44" spans="1:33" x14ac:dyDescent="0.3">
      <c r="A44">
        <v>2061</v>
      </c>
      <c r="B44">
        <f>IF($A44='Outil Cibles'!D$7,'Outil Cibles'!D$11*'Outil Cibles'!D$8,IF($A44=('Outil Cibles'!D$7+20),'Outil Cibles'!D$12*'Outil Cibles'!D$8,IF($A44=('Outil Cibles'!D$7+30),'Outil Cibles'!D$13*'Outil Cibles'!D$8,IF($A44=('Outil Cibles'!D$7+40),'Outil Cibles'!D$14*'Outil Cibles'!D$8,0))))</f>
        <v>0</v>
      </c>
      <c r="C44">
        <f>IF($A44='Outil Cibles'!E$7,'Outil Cibles'!E$11*'Outil Cibles'!E$8,IF($A44=('Outil Cibles'!E$7+20),'Outil Cibles'!E$12*'Outil Cibles'!E$8,IF($A44=('Outil Cibles'!E$7+30),'Outil Cibles'!E$13*'Outil Cibles'!E$8,IF($A44=('Outil Cibles'!E$7+40),'Outil Cibles'!E$14*'Outil Cibles'!E$8,0))))</f>
        <v>0</v>
      </c>
      <c r="D44">
        <f>IF($A44='Outil Cibles'!F$7,'Outil Cibles'!F$11*'Outil Cibles'!F$8,IF($A44=('Outil Cibles'!F$7+20),'Outil Cibles'!F$12*'Outil Cibles'!F$8,IF($A44=('Outil Cibles'!F$7+30),'Outil Cibles'!F$13*'Outil Cibles'!F$8,IF($A44=('Outil Cibles'!F$7+40),'Outil Cibles'!F$14*'Outil Cibles'!F$8,0))))</f>
        <v>0</v>
      </c>
      <c r="E44">
        <f>IF($A44='Outil Cibles'!G$7,'Outil Cibles'!G$11*'Outil Cibles'!G$8,IF($A44=('Outil Cibles'!G$7+20),'Outil Cibles'!G$12*'Outil Cibles'!G$8,IF($A44=('Outil Cibles'!G$7+30),'Outil Cibles'!G$13*'Outil Cibles'!G$8,IF($A44=('Outil Cibles'!G$7+40),'Outil Cibles'!G$14*'Outil Cibles'!G$8,0))))</f>
        <v>0</v>
      </c>
      <c r="F44">
        <f>IF($A44='Outil Cibles'!H$7,'Outil Cibles'!H$11*'Outil Cibles'!H$8,IF($A44=('Outil Cibles'!H$7+20),'Outil Cibles'!H$12*'Outil Cibles'!H$8,IF($A44=('Outil Cibles'!H$7+30),'Outil Cibles'!H$13*'Outil Cibles'!H$8,IF($A44=('Outil Cibles'!H$7+40),'Outil Cibles'!H$14*'Outil Cibles'!H$8,0))))</f>
        <v>0</v>
      </c>
      <c r="G44">
        <f>IF($A44='Outil Cibles'!I$7,'Outil Cibles'!I$11*'Outil Cibles'!I$8,IF($A44=('Outil Cibles'!I$7+20),'Outil Cibles'!I$12*'Outil Cibles'!I$8,IF($A44=('Outil Cibles'!I$7+30),'Outil Cibles'!I$13*'Outil Cibles'!I$8,IF($A44=('Outil Cibles'!I$7+40),'Outil Cibles'!I$14*'Outil Cibles'!I$8,0))))</f>
        <v>0</v>
      </c>
      <c r="H44">
        <f>IF($A44='Outil Cibles'!J$7,'Outil Cibles'!J$11*'Outil Cibles'!J$8,IF($A44=('Outil Cibles'!J$7+20),'Outil Cibles'!J$12*'Outil Cibles'!J$8,IF($A44=('Outil Cibles'!J$7+30),'Outil Cibles'!J$13*'Outil Cibles'!J$8,IF($A44=('Outil Cibles'!J$7+40),'Outil Cibles'!J$14*'Outil Cibles'!J$8,0))))</f>
        <v>0</v>
      </c>
      <c r="I44">
        <f>IF($A44='Outil Cibles'!K$7,'Outil Cibles'!K$11*'Outil Cibles'!K$8,IF($A44=('Outil Cibles'!K$7+20),'Outil Cibles'!K$12*'Outil Cibles'!K$8,IF($A44=('Outil Cibles'!K$7+30),'Outil Cibles'!K$13*'Outil Cibles'!K$8,IF($A44=('Outil Cibles'!K$7+40),'Outil Cibles'!K$14*'Outil Cibles'!K$8,0))))</f>
        <v>0</v>
      </c>
      <c r="J44">
        <f>IF($A44='Outil Cibles'!L$7,'Outil Cibles'!L$11*'Outil Cibles'!L$8,IF($A44=('Outil Cibles'!L$7+20),'Outil Cibles'!L$12*'Outil Cibles'!L$8,IF($A44=('Outil Cibles'!L$7+30),'Outil Cibles'!L$13*'Outil Cibles'!L$8,IF($A44=('Outil Cibles'!L$7+40),'Outil Cibles'!L$14*'Outil Cibles'!L$8,0))))</f>
        <v>0</v>
      </c>
      <c r="K44">
        <f>IF($A44='Outil Cibles'!M$7,'Outil Cibles'!M$11*'Outil Cibles'!M$8,IF($A44=('Outil Cibles'!M$7+20),'Outil Cibles'!M$12*'Outil Cibles'!M$8,IF($A44=('Outil Cibles'!M$7+30),'Outil Cibles'!M$13*'Outil Cibles'!M$8,IF($A44=('Outil Cibles'!M$7+40),'Outil Cibles'!M$14*'Outil Cibles'!M$8,0))))</f>
        <v>0</v>
      </c>
      <c r="L44">
        <f t="shared" si="1"/>
        <v>0</v>
      </c>
      <c r="N44">
        <v>2061</v>
      </c>
      <c r="O44">
        <f>IF(N44='Outil Cibles'!$Q$7, 'Outil Cibles'!$Q$18, 0)</f>
        <v>0</v>
      </c>
      <c r="P44">
        <f>IF(N44='Outil Cibles'!$R$7, 'Outil Cibles'!$R$18, 0)</f>
        <v>0</v>
      </c>
      <c r="Q44">
        <f>IF(N44='Outil Cibles'!$S$7, 'Outil Cibles'!$S$18, 0)</f>
        <v>0</v>
      </c>
      <c r="R44">
        <f>IF(N44='Outil Cibles'!$T$7, 'Outil Cibles'!$T$18, 0)</f>
        <v>0</v>
      </c>
      <c r="S44">
        <f>IF(N44='Outil Cibles'!$U$7, 'Outil Cibles'!$U$18, 0)</f>
        <v>0</v>
      </c>
      <c r="T44">
        <f>IF(N44='Outil Cibles'!$V$7, 'Outil Cibles'!$V$18, 0)</f>
        <v>0</v>
      </c>
      <c r="U44">
        <f>IF(N44='Outil Cibles'!$W$7, 'Outil Cibles'!$W$18, 0)</f>
        <v>0</v>
      </c>
      <c r="V44">
        <f>IF(N44='Outil Cibles'!$X$7, 'Outil Cibles'!$X$18, 0)</f>
        <v>0</v>
      </c>
      <c r="W44">
        <f>IF(N44='Outil Cibles'!$Y$7, 'Outil Cibles'!$Y$18, 0)</f>
        <v>0</v>
      </c>
      <c r="X44">
        <f>IF(N44='Outil Cibles'!$Z$7, 'Outil Cibles'!$Z$18, 0)</f>
        <v>0</v>
      </c>
      <c r="Y44">
        <f t="shared" si="2"/>
        <v>0</v>
      </c>
      <c r="AA44">
        <f>IF($A44='Outil Cibles'!D$7,'Outil Cibles'!D$11*'Outil Cibles'!D$8,0)</f>
        <v>0</v>
      </c>
      <c r="AC44">
        <f>IF($A44=('Outil Cibles'!D$7+20),'Outil Cibles'!D$12*'Outil Cibles'!D$8,0)</f>
        <v>0</v>
      </c>
      <c r="AE44">
        <f>IF($A44=('Outil Cibles'!D$7+30),'Outil Cibles'!D$13*'Outil Cibles'!D$8,0)</f>
        <v>0</v>
      </c>
      <c r="AG44">
        <f>IF($A44=('Outil Cibles'!D$7+40),'Outil Cibles'!D$14*'Outil Cibles'!D$8,0)</f>
        <v>0</v>
      </c>
    </row>
    <row r="45" spans="1:33" x14ac:dyDescent="0.3">
      <c r="A45" s="10">
        <v>2062</v>
      </c>
      <c r="B45">
        <f>IF($A45='Outil Cibles'!D$7,'Outil Cibles'!D$11*'Outil Cibles'!D$8,IF($A45=('Outil Cibles'!D$7+20),'Outil Cibles'!D$12*'Outil Cibles'!D$8,IF($A45=('Outil Cibles'!D$7+30),'Outil Cibles'!D$13*'Outil Cibles'!D$8,IF($A45=('Outil Cibles'!D$7+40),'Outil Cibles'!D$14*'Outil Cibles'!D$8,0))))</f>
        <v>0</v>
      </c>
      <c r="C45">
        <f>IF($A45='Outil Cibles'!E$7,'Outil Cibles'!E$11*'Outil Cibles'!E$8,IF($A45=('Outil Cibles'!E$7+20),'Outil Cibles'!E$12*'Outil Cibles'!E$8,IF($A45=('Outil Cibles'!E$7+30),'Outil Cibles'!E$13*'Outil Cibles'!E$8,IF($A45=('Outil Cibles'!E$7+40),'Outil Cibles'!E$14*'Outil Cibles'!E$8,0))))</f>
        <v>0</v>
      </c>
      <c r="D45">
        <f>IF($A45='Outil Cibles'!F$7,'Outil Cibles'!F$11*'Outil Cibles'!F$8,IF($A45=('Outil Cibles'!F$7+20),'Outil Cibles'!F$12*'Outil Cibles'!F$8,IF($A45=('Outil Cibles'!F$7+30),'Outil Cibles'!F$13*'Outil Cibles'!F$8,IF($A45=('Outil Cibles'!F$7+40),'Outil Cibles'!F$14*'Outil Cibles'!F$8,0))))</f>
        <v>0</v>
      </c>
      <c r="E45">
        <f>IF($A45='Outil Cibles'!G$7,'Outil Cibles'!G$11*'Outil Cibles'!G$8,IF($A45=('Outil Cibles'!G$7+20),'Outil Cibles'!G$12*'Outil Cibles'!G$8,IF($A45=('Outil Cibles'!G$7+30),'Outil Cibles'!G$13*'Outil Cibles'!G$8,IF($A45=('Outil Cibles'!G$7+40),'Outil Cibles'!G$14*'Outil Cibles'!G$8,0))))</f>
        <v>0</v>
      </c>
      <c r="F45">
        <f>IF($A45='Outil Cibles'!H$7,'Outil Cibles'!H$11*'Outil Cibles'!H$8,IF($A45=('Outil Cibles'!H$7+20),'Outil Cibles'!H$12*'Outil Cibles'!H$8,IF($A45=('Outil Cibles'!H$7+30),'Outil Cibles'!H$13*'Outil Cibles'!H$8,IF($A45=('Outil Cibles'!H$7+40),'Outil Cibles'!H$14*'Outil Cibles'!H$8,0))))</f>
        <v>0</v>
      </c>
      <c r="G45">
        <f>IF($A45='Outil Cibles'!I$7,'Outil Cibles'!I$11*'Outil Cibles'!I$8,IF($A45=('Outil Cibles'!I$7+20),'Outil Cibles'!I$12*'Outil Cibles'!I$8,IF($A45=('Outil Cibles'!I$7+30),'Outil Cibles'!I$13*'Outil Cibles'!I$8,IF($A45=('Outil Cibles'!I$7+40),'Outil Cibles'!I$14*'Outil Cibles'!I$8,0))))</f>
        <v>0</v>
      </c>
      <c r="H45">
        <f>IF($A45='Outil Cibles'!J$7,'Outil Cibles'!J$11*'Outil Cibles'!J$8,IF($A45=('Outil Cibles'!J$7+20),'Outil Cibles'!J$12*'Outil Cibles'!J$8,IF($A45=('Outil Cibles'!J$7+30),'Outil Cibles'!J$13*'Outil Cibles'!J$8,IF($A45=('Outil Cibles'!J$7+40),'Outil Cibles'!J$14*'Outil Cibles'!J$8,0))))</f>
        <v>1891.5685600772872</v>
      </c>
      <c r="I45">
        <f>IF($A45='Outil Cibles'!K$7,'Outil Cibles'!K$11*'Outil Cibles'!K$8,IF($A45=('Outil Cibles'!K$7+20),'Outil Cibles'!K$12*'Outil Cibles'!K$8,IF($A45=('Outil Cibles'!K$7+30),'Outil Cibles'!K$13*'Outil Cibles'!K$8,IF($A45=('Outil Cibles'!K$7+40),'Outil Cibles'!K$14*'Outil Cibles'!K$8,0))))</f>
        <v>0</v>
      </c>
      <c r="J45">
        <f>IF($A45='Outil Cibles'!L$7,'Outil Cibles'!L$11*'Outil Cibles'!L$8,IF($A45=('Outil Cibles'!L$7+20),'Outil Cibles'!L$12*'Outil Cibles'!L$8,IF($A45=('Outil Cibles'!L$7+30),'Outil Cibles'!L$13*'Outil Cibles'!L$8,IF($A45=('Outil Cibles'!L$7+40),'Outil Cibles'!L$14*'Outil Cibles'!L$8,0))))</f>
        <v>0</v>
      </c>
      <c r="K45">
        <f>IF($A45='Outil Cibles'!M$7,'Outil Cibles'!M$11*'Outil Cibles'!M$8,IF($A45=('Outil Cibles'!M$7+20),'Outil Cibles'!M$12*'Outil Cibles'!M$8,IF($A45=('Outil Cibles'!M$7+30),'Outil Cibles'!M$13*'Outil Cibles'!M$8,IF($A45=('Outil Cibles'!M$7+40),'Outil Cibles'!M$14*'Outil Cibles'!M$8,0))))</f>
        <v>0</v>
      </c>
      <c r="L45">
        <f t="shared" si="1"/>
        <v>1891.5685600772872</v>
      </c>
      <c r="N45" s="10">
        <v>2062</v>
      </c>
      <c r="O45">
        <f>IF(N45='Outil Cibles'!$Q$7, 'Outil Cibles'!$Q$18, 0)</f>
        <v>0</v>
      </c>
      <c r="P45">
        <f>IF(N45='Outil Cibles'!$R$7, 'Outil Cibles'!$R$18, 0)</f>
        <v>0</v>
      </c>
      <c r="Q45">
        <f>IF(N45='Outil Cibles'!$S$7, 'Outil Cibles'!$S$18, 0)</f>
        <v>0</v>
      </c>
      <c r="R45">
        <f>IF(N45='Outil Cibles'!$T$7, 'Outil Cibles'!$T$18, 0)</f>
        <v>0</v>
      </c>
      <c r="S45">
        <f>IF(N45='Outil Cibles'!$U$7, 'Outil Cibles'!$U$18, 0)</f>
        <v>0</v>
      </c>
      <c r="T45">
        <f>IF(N45='Outil Cibles'!$V$7, 'Outil Cibles'!$V$18, 0)</f>
        <v>0</v>
      </c>
      <c r="U45">
        <f>IF(N45='Outil Cibles'!$W$7, 'Outil Cibles'!$W$18, 0)</f>
        <v>0</v>
      </c>
      <c r="V45">
        <f>IF(N45='Outil Cibles'!$X$7, 'Outil Cibles'!$X$18, 0)</f>
        <v>0</v>
      </c>
      <c r="W45">
        <f>IF(N45='Outil Cibles'!$Y$7, 'Outil Cibles'!$Y$18, 0)</f>
        <v>0</v>
      </c>
      <c r="X45">
        <f>IF(N45='Outil Cibles'!$Z$7, 'Outil Cibles'!$Z$18, 0)</f>
        <v>0</v>
      </c>
      <c r="Y45">
        <f t="shared" si="2"/>
        <v>0</v>
      </c>
      <c r="AA45">
        <f>IF($A45='Outil Cibles'!D$7,'Outil Cibles'!D$11*'Outil Cibles'!D$8,0)</f>
        <v>0</v>
      </c>
      <c r="AC45">
        <f>IF($A45=('Outil Cibles'!D$7+20),'Outil Cibles'!D$12*'Outil Cibles'!D$8,0)</f>
        <v>0</v>
      </c>
      <c r="AE45">
        <f>IF($A45=('Outil Cibles'!D$7+30),'Outil Cibles'!D$13*'Outil Cibles'!D$8,0)</f>
        <v>0</v>
      </c>
      <c r="AG45">
        <f>IF($A45=('Outil Cibles'!D$7+40),'Outil Cibles'!D$14*'Outil Cibles'!D$8,0)</f>
        <v>0</v>
      </c>
    </row>
    <row r="46" spans="1:33" x14ac:dyDescent="0.3">
      <c r="A46">
        <v>2063</v>
      </c>
      <c r="B46">
        <f>IF($A46='Outil Cibles'!D$7,'Outil Cibles'!D$11*'Outil Cibles'!D$8,IF($A46=('Outil Cibles'!D$7+20),'Outil Cibles'!D$12*'Outil Cibles'!D$8,IF($A46=('Outil Cibles'!D$7+30),'Outil Cibles'!D$13*'Outil Cibles'!D$8,IF($A46=('Outil Cibles'!D$7+40),'Outil Cibles'!D$14*'Outil Cibles'!D$8,0))))</f>
        <v>0</v>
      </c>
      <c r="C46">
        <f>IF($A46='Outil Cibles'!E$7,'Outil Cibles'!E$11*'Outil Cibles'!E$8,IF($A46=('Outil Cibles'!E$7+20),'Outil Cibles'!E$12*'Outil Cibles'!E$8,IF($A46=('Outil Cibles'!E$7+30),'Outil Cibles'!E$13*'Outil Cibles'!E$8,IF($A46=('Outil Cibles'!E$7+40),'Outil Cibles'!E$14*'Outil Cibles'!E$8,0))))</f>
        <v>0</v>
      </c>
      <c r="D46">
        <f>IF($A46='Outil Cibles'!F$7,'Outil Cibles'!F$11*'Outil Cibles'!F$8,IF($A46=('Outil Cibles'!F$7+20),'Outil Cibles'!F$12*'Outil Cibles'!F$8,IF($A46=('Outil Cibles'!F$7+30),'Outil Cibles'!F$13*'Outil Cibles'!F$8,IF($A46=('Outil Cibles'!F$7+40),'Outil Cibles'!F$14*'Outil Cibles'!F$8,0))))</f>
        <v>0</v>
      </c>
      <c r="E46">
        <f>IF($A46='Outil Cibles'!G$7,'Outil Cibles'!G$11*'Outil Cibles'!G$8,IF($A46=('Outil Cibles'!G$7+20),'Outil Cibles'!G$12*'Outil Cibles'!G$8,IF($A46=('Outil Cibles'!G$7+30),'Outil Cibles'!G$13*'Outil Cibles'!G$8,IF($A46=('Outil Cibles'!G$7+40),'Outil Cibles'!G$14*'Outil Cibles'!G$8,0))))</f>
        <v>0</v>
      </c>
      <c r="F46">
        <f>IF($A46='Outil Cibles'!H$7,'Outil Cibles'!H$11*'Outil Cibles'!H$8,IF($A46=('Outil Cibles'!H$7+20),'Outil Cibles'!H$12*'Outil Cibles'!H$8,IF($A46=('Outil Cibles'!H$7+30),'Outil Cibles'!H$13*'Outil Cibles'!H$8,IF($A46=('Outil Cibles'!H$7+40),'Outil Cibles'!H$14*'Outil Cibles'!H$8,0))))</f>
        <v>0</v>
      </c>
      <c r="G46">
        <f>IF($A46='Outil Cibles'!I$7,'Outil Cibles'!I$11*'Outil Cibles'!I$8,IF($A46=('Outil Cibles'!I$7+20),'Outil Cibles'!I$12*'Outil Cibles'!I$8,IF($A46=('Outil Cibles'!I$7+30),'Outil Cibles'!I$13*'Outil Cibles'!I$8,IF($A46=('Outil Cibles'!I$7+40),'Outil Cibles'!I$14*'Outil Cibles'!I$8,0))))</f>
        <v>0</v>
      </c>
      <c r="H46">
        <f>IF($A46='Outil Cibles'!J$7,'Outil Cibles'!J$11*'Outil Cibles'!J$8,IF($A46=('Outil Cibles'!J$7+20),'Outil Cibles'!J$12*'Outil Cibles'!J$8,IF($A46=('Outil Cibles'!J$7+30),'Outil Cibles'!J$13*'Outil Cibles'!J$8,IF($A46=('Outil Cibles'!J$7+40),'Outil Cibles'!J$14*'Outil Cibles'!J$8,0))))</f>
        <v>0</v>
      </c>
      <c r="I46">
        <f>IF($A46='Outil Cibles'!K$7,'Outil Cibles'!K$11*'Outil Cibles'!K$8,IF($A46=('Outil Cibles'!K$7+20),'Outil Cibles'!K$12*'Outil Cibles'!K$8,IF($A46=('Outil Cibles'!K$7+30),'Outil Cibles'!K$13*'Outil Cibles'!K$8,IF($A46=('Outil Cibles'!K$7+40),'Outil Cibles'!K$14*'Outil Cibles'!K$8,0))))</f>
        <v>0</v>
      </c>
      <c r="J46">
        <f>IF($A46='Outil Cibles'!L$7,'Outil Cibles'!L$11*'Outil Cibles'!L$8,IF($A46=('Outil Cibles'!L$7+20),'Outil Cibles'!L$12*'Outil Cibles'!L$8,IF($A46=('Outil Cibles'!L$7+30),'Outil Cibles'!L$13*'Outil Cibles'!L$8,IF($A46=('Outil Cibles'!L$7+40),'Outil Cibles'!L$14*'Outil Cibles'!L$8,0))))</f>
        <v>0</v>
      </c>
      <c r="K46">
        <f>IF($A46='Outil Cibles'!M$7,'Outil Cibles'!M$11*'Outil Cibles'!M$8,IF($A46=('Outil Cibles'!M$7+20),'Outil Cibles'!M$12*'Outil Cibles'!M$8,IF($A46=('Outil Cibles'!M$7+30),'Outil Cibles'!M$13*'Outil Cibles'!M$8,IF($A46=('Outil Cibles'!M$7+40),'Outil Cibles'!M$14*'Outil Cibles'!M$8,0))))</f>
        <v>0</v>
      </c>
      <c r="L46">
        <f t="shared" si="1"/>
        <v>0</v>
      </c>
      <c r="N46">
        <v>2063</v>
      </c>
      <c r="O46">
        <f>IF(N46='Outil Cibles'!$Q$7, 'Outil Cibles'!$Q$18, 0)</f>
        <v>0</v>
      </c>
      <c r="P46">
        <f>IF(N46='Outil Cibles'!$R$7, 'Outil Cibles'!$R$18, 0)</f>
        <v>0</v>
      </c>
      <c r="Q46">
        <f>IF(N46='Outil Cibles'!$S$7, 'Outil Cibles'!$S$18, 0)</f>
        <v>0</v>
      </c>
      <c r="R46">
        <f>IF(N46='Outil Cibles'!$T$7, 'Outil Cibles'!$T$18, 0)</f>
        <v>0</v>
      </c>
      <c r="S46">
        <f>IF(N46='Outil Cibles'!$U$7, 'Outil Cibles'!$U$18, 0)</f>
        <v>0</v>
      </c>
      <c r="T46">
        <f>IF(N46='Outil Cibles'!$V$7, 'Outil Cibles'!$V$18, 0)</f>
        <v>0</v>
      </c>
      <c r="U46">
        <f>IF(N46='Outil Cibles'!$W$7, 'Outil Cibles'!$W$18, 0)</f>
        <v>0</v>
      </c>
      <c r="V46">
        <f>IF(N46='Outil Cibles'!$X$7, 'Outil Cibles'!$X$18, 0)</f>
        <v>0</v>
      </c>
      <c r="W46">
        <f>IF(N46='Outil Cibles'!$Y$7, 'Outil Cibles'!$Y$18, 0)</f>
        <v>0</v>
      </c>
      <c r="X46">
        <f>IF(N46='Outil Cibles'!$Z$7, 'Outil Cibles'!$Z$18, 0)</f>
        <v>0</v>
      </c>
      <c r="Y46">
        <f t="shared" si="2"/>
        <v>0</v>
      </c>
      <c r="AA46">
        <f>IF($A46='Outil Cibles'!D$7,'Outil Cibles'!D$11*'Outil Cibles'!D$8,0)</f>
        <v>0</v>
      </c>
      <c r="AC46">
        <f>IF($A46=('Outil Cibles'!D$7+20),'Outil Cibles'!D$12*'Outil Cibles'!D$8,0)</f>
        <v>0</v>
      </c>
      <c r="AE46">
        <f>IF($A46=('Outil Cibles'!D$7+30),'Outil Cibles'!D$13*'Outil Cibles'!D$8,0)</f>
        <v>0</v>
      </c>
      <c r="AG46">
        <f>IF($A46=('Outil Cibles'!D$7+40),'Outil Cibles'!D$14*'Outil Cibles'!D$8,0)</f>
        <v>0</v>
      </c>
    </row>
    <row r="47" spans="1:33" x14ac:dyDescent="0.3">
      <c r="A47">
        <v>2064</v>
      </c>
      <c r="B47">
        <f>IF($A47='Outil Cibles'!D$7,'Outil Cibles'!D$11*'Outil Cibles'!D$8,IF($A47=('Outil Cibles'!D$7+20),'Outil Cibles'!D$12*'Outil Cibles'!D$8,IF($A47=('Outil Cibles'!D$7+30),'Outil Cibles'!D$13*'Outil Cibles'!D$8,IF($A47=('Outil Cibles'!D$7+40),'Outil Cibles'!D$14*'Outil Cibles'!D$8,0))))</f>
        <v>2826.8976192775631</v>
      </c>
      <c r="C47">
        <f>IF($A47='Outil Cibles'!E$7,'Outil Cibles'!E$11*'Outil Cibles'!E$8,IF($A47=('Outil Cibles'!E$7+20),'Outil Cibles'!E$12*'Outil Cibles'!E$8,IF($A47=('Outil Cibles'!E$7+30),'Outil Cibles'!E$13*'Outil Cibles'!E$8,IF($A47=('Outil Cibles'!E$7+40),'Outil Cibles'!E$14*'Outil Cibles'!E$8,0))))</f>
        <v>0</v>
      </c>
      <c r="D47">
        <f>IF($A47='Outil Cibles'!F$7,'Outil Cibles'!F$11*'Outil Cibles'!F$8,IF($A47=('Outil Cibles'!F$7+20),'Outil Cibles'!F$12*'Outil Cibles'!F$8,IF($A47=('Outil Cibles'!F$7+30),'Outil Cibles'!F$13*'Outil Cibles'!F$8,IF($A47=('Outil Cibles'!F$7+40),'Outil Cibles'!F$14*'Outil Cibles'!F$8,0))))</f>
        <v>0</v>
      </c>
      <c r="E47">
        <f>IF($A47='Outil Cibles'!G$7,'Outil Cibles'!G$11*'Outil Cibles'!G$8,IF($A47=('Outil Cibles'!G$7+20),'Outil Cibles'!G$12*'Outil Cibles'!G$8,IF($A47=('Outil Cibles'!G$7+30),'Outil Cibles'!G$13*'Outil Cibles'!G$8,IF($A47=('Outil Cibles'!G$7+40),'Outil Cibles'!G$14*'Outil Cibles'!G$8,0))))</f>
        <v>0</v>
      </c>
      <c r="F47">
        <f>IF($A47='Outil Cibles'!H$7,'Outil Cibles'!H$11*'Outil Cibles'!H$8,IF($A47=('Outil Cibles'!H$7+20),'Outil Cibles'!H$12*'Outil Cibles'!H$8,IF($A47=('Outil Cibles'!H$7+30),'Outil Cibles'!H$13*'Outil Cibles'!H$8,IF($A47=('Outil Cibles'!H$7+40),'Outil Cibles'!H$14*'Outil Cibles'!H$8,0))))</f>
        <v>0</v>
      </c>
      <c r="G47">
        <f>IF($A47='Outil Cibles'!I$7,'Outil Cibles'!I$11*'Outil Cibles'!I$8,IF($A47=('Outil Cibles'!I$7+20),'Outil Cibles'!I$12*'Outil Cibles'!I$8,IF($A47=('Outil Cibles'!I$7+30),'Outil Cibles'!I$13*'Outil Cibles'!I$8,IF($A47=('Outil Cibles'!I$7+40),'Outil Cibles'!I$14*'Outil Cibles'!I$8,0))))</f>
        <v>0</v>
      </c>
      <c r="H47">
        <f>IF($A47='Outil Cibles'!J$7,'Outil Cibles'!J$11*'Outil Cibles'!J$8,IF($A47=('Outil Cibles'!J$7+20),'Outil Cibles'!J$12*'Outil Cibles'!J$8,IF($A47=('Outil Cibles'!J$7+30),'Outil Cibles'!J$13*'Outil Cibles'!J$8,IF($A47=('Outil Cibles'!J$7+40),'Outil Cibles'!J$14*'Outil Cibles'!J$8,0))))</f>
        <v>0</v>
      </c>
      <c r="I47">
        <f>IF($A47='Outil Cibles'!K$7,'Outil Cibles'!K$11*'Outil Cibles'!K$8,IF($A47=('Outil Cibles'!K$7+20),'Outil Cibles'!K$12*'Outil Cibles'!K$8,IF($A47=('Outil Cibles'!K$7+30),'Outil Cibles'!K$13*'Outil Cibles'!K$8,IF($A47=('Outil Cibles'!K$7+40),'Outil Cibles'!K$14*'Outil Cibles'!K$8,0))))</f>
        <v>1413.4488096387815</v>
      </c>
      <c r="J47">
        <f>IF($A47='Outil Cibles'!L$7,'Outil Cibles'!L$11*'Outil Cibles'!L$8,IF($A47=('Outil Cibles'!L$7+20),'Outil Cibles'!L$12*'Outil Cibles'!L$8,IF($A47=('Outil Cibles'!L$7+30),'Outil Cibles'!L$13*'Outil Cibles'!L$8,IF($A47=('Outil Cibles'!L$7+40),'Outil Cibles'!L$14*'Outil Cibles'!L$8,0))))</f>
        <v>0</v>
      </c>
      <c r="K47">
        <f>IF($A47='Outil Cibles'!M$7,'Outil Cibles'!M$11*'Outil Cibles'!M$8,IF($A47=('Outil Cibles'!M$7+20),'Outil Cibles'!M$12*'Outil Cibles'!M$8,IF($A47=('Outil Cibles'!M$7+30),'Outil Cibles'!M$13*'Outil Cibles'!M$8,IF($A47=('Outil Cibles'!M$7+40),'Outil Cibles'!M$14*'Outil Cibles'!M$8,0))))</f>
        <v>0</v>
      </c>
      <c r="L47">
        <f t="shared" si="1"/>
        <v>4240.3464289163448</v>
      </c>
      <c r="N47">
        <v>2064</v>
      </c>
      <c r="O47">
        <f>IF(N47='Outil Cibles'!$Q$7, 'Outil Cibles'!$Q$18, 0)</f>
        <v>0</v>
      </c>
      <c r="P47">
        <f>IF(N47='Outil Cibles'!$R$7, 'Outil Cibles'!$R$18, 0)</f>
        <v>0</v>
      </c>
      <c r="Q47">
        <f>IF(N47='Outil Cibles'!$S$7, 'Outil Cibles'!$S$18, 0)</f>
        <v>0</v>
      </c>
      <c r="R47">
        <f>IF(N47='Outil Cibles'!$T$7, 'Outil Cibles'!$T$18, 0)</f>
        <v>0</v>
      </c>
      <c r="S47">
        <f>IF(N47='Outil Cibles'!$U$7, 'Outil Cibles'!$U$18, 0)</f>
        <v>0</v>
      </c>
      <c r="T47">
        <f>IF(N47='Outil Cibles'!$V$7, 'Outil Cibles'!$V$18, 0)</f>
        <v>0</v>
      </c>
      <c r="U47">
        <f>IF(N47='Outil Cibles'!$W$7, 'Outil Cibles'!$W$18, 0)</f>
        <v>0</v>
      </c>
      <c r="V47">
        <f>IF(N47='Outil Cibles'!$X$7, 'Outil Cibles'!$X$18, 0)</f>
        <v>0</v>
      </c>
      <c r="W47">
        <f>IF(N47='Outil Cibles'!$Y$7, 'Outil Cibles'!$Y$18, 0)</f>
        <v>0</v>
      </c>
      <c r="X47">
        <f>IF(N47='Outil Cibles'!$Z$7, 'Outil Cibles'!$Z$18, 0)</f>
        <v>0</v>
      </c>
      <c r="Y47">
        <f t="shared" si="2"/>
        <v>0</v>
      </c>
      <c r="AA47">
        <f>IF($A47='Outil Cibles'!D$7,'Outil Cibles'!D$11*'Outil Cibles'!D$8,0)</f>
        <v>0</v>
      </c>
      <c r="AC47">
        <f>IF($A47=('Outil Cibles'!D$7+20),'Outil Cibles'!D$12*'Outil Cibles'!D$8,0)</f>
        <v>0</v>
      </c>
      <c r="AE47">
        <f>IF($A47=('Outil Cibles'!D$7+30),'Outil Cibles'!D$13*'Outil Cibles'!D$8,0)</f>
        <v>0</v>
      </c>
      <c r="AG47">
        <f>IF($A47=('Outil Cibles'!D$7+40),'Outil Cibles'!D$14*'Outil Cibles'!D$8,0)</f>
        <v>2826.8976192775631</v>
      </c>
    </row>
    <row r="48" spans="1:33" x14ac:dyDescent="0.3">
      <c r="A48">
        <v>2065</v>
      </c>
      <c r="B48">
        <f>IF($A48='Outil Cibles'!D$7,'Outil Cibles'!D$11*'Outil Cibles'!D$8,IF($A48=('Outil Cibles'!D$7+20),'Outil Cibles'!D$12*'Outil Cibles'!D$8,IF($A48=('Outil Cibles'!D$7+30),'Outil Cibles'!D$13*'Outil Cibles'!D$8,IF($A48=('Outil Cibles'!D$7+40),'Outil Cibles'!D$14*'Outil Cibles'!D$8,0))))</f>
        <v>0</v>
      </c>
      <c r="C48">
        <f>IF($A48='Outil Cibles'!E$7,'Outil Cibles'!E$11*'Outil Cibles'!E$8,IF($A48=('Outil Cibles'!E$7+20),'Outil Cibles'!E$12*'Outil Cibles'!E$8,IF($A48=('Outil Cibles'!E$7+30),'Outil Cibles'!E$13*'Outil Cibles'!E$8,IF($A48=('Outil Cibles'!E$7+40),'Outil Cibles'!E$14*'Outil Cibles'!E$8,0))))</f>
        <v>0</v>
      </c>
      <c r="D48">
        <f>IF($A48='Outil Cibles'!F$7,'Outil Cibles'!F$11*'Outil Cibles'!F$8,IF($A48=('Outil Cibles'!F$7+20),'Outil Cibles'!F$12*'Outil Cibles'!F$8,IF($A48=('Outil Cibles'!F$7+30),'Outil Cibles'!F$13*'Outil Cibles'!F$8,IF($A48=('Outil Cibles'!F$7+40),'Outil Cibles'!F$14*'Outil Cibles'!F$8,0))))</f>
        <v>0</v>
      </c>
      <c r="E48">
        <f>IF($A48='Outil Cibles'!G$7,'Outil Cibles'!G$11*'Outil Cibles'!G$8,IF($A48=('Outil Cibles'!G$7+20),'Outil Cibles'!G$12*'Outil Cibles'!G$8,IF($A48=('Outil Cibles'!G$7+30),'Outil Cibles'!G$13*'Outil Cibles'!G$8,IF($A48=('Outil Cibles'!G$7+40),'Outil Cibles'!G$14*'Outil Cibles'!G$8,0))))</f>
        <v>8247.2195111804449</v>
      </c>
      <c r="F48">
        <f>IF($A48='Outil Cibles'!H$7,'Outil Cibles'!H$11*'Outil Cibles'!H$8,IF($A48=('Outil Cibles'!H$7+20),'Outil Cibles'!H$12*'Outil Cibles'!H$8,IF($A48=('Outil Cibles'!H$7+30),'Outil Cibles'!H$13*'Outil Cibles'!H$8,IF($A48=('Outil Cibles'!H$7+40),'Outil Cibles'!H$14*'Outil Cibles'!H$8,0))))</f>
        <v>0</v>
      </c>
      <c r="G48">
        <f>IF($A48='Outil Cibles'!I$7,'Outil Cibles'!I$11*'Outil Cibles'!I$8,IF($A48=('Outil Cibles'!I$7+20),'Outil Cibles'!I$12*'Outil Cibles'!I$8,IF($A48=('Outil Cibles'!I$7+30),'Outil Cibles'!I$13*'Outil Cibles'!I$8,IF($A48=('Outil Cibles'!I$7+40),'Outil Cibles'!I$14*'Outil Cibles'!I$8,0))))</f>
        <v>0</v>
      </c>
      <c r="H48">
        <f>IF($A48='Outil Cibles'!J$7,'Outil Cibles'!J$11*'Outil Cibles'!J$8,IF($A48=('Outil Cibles'!J$7+20),'Outil Cibles'!J$12*'Outil Cibles'!J$8,IF($A48=('Outil Cibles'!J$7+30),'Outil Cibles'!J$13*'Outil Cibles'!J$8,IF($A48=('Outil Cibles'!J$7+40),'Outil Cibles'!J$14*'Outil Cibles'!J$8,0))))</f>
        <v>0</v>
      </c>
      <c r="I48">
        <f>IF($A48='Outil Cibles'!K$7,'Outil Cibles'!K$11*'Outil Cibles'!K$8,IF($A48=('Outil Cibles'!K$7+20),'Outil Cibles'!K$12*'Outil Cibles'!K$8,IF($A48=('Outil Cibles'!K$7+30),'Outil Cibles'!K$13*'Outil Cibles'!K$8,IF($A48=('Outil Cibles'!K$7+40),'Outil Cibles'!K$14*'Outil Cibles'!K$8,0))))</f>
        <v>0</v>
      </c>
      <c r="J48">
        <f>IF($A48='Outil Cibles'!L$7,'Outil Cibles'!L$11*'Outil Cibles'!L$8,IF($A48=('Outil Cibles'!L$7+20),'Outil Cibles'!L$12*'Outil Cibles'!L$8,IF($A48=('Outil Cibles'!L$7+30),'Outil Cibles'!L$13*'Outil Cibles'!L$8,IF($A48=('Outil Cibles'!L$7+40),'Outil Cibles'!L$14*'Outil Cibles'!L$8,0))))</f>
        <v>0</v>
      </c>
      <c r="K48">
        <f>IF($A48='Outil Cibles'!M$7,'Outil Cibles'!M$11*'Outil Cibles'!M$8,IF($A48=('Outil Cibles'!M$7+20),'Outil Cibles'!M$12*'Outil Cibles'!M$8,IF($A48=('Outil Cibles'!M$7+30),'Outil Cibles'!M$13*'Outil Cibles'!M$8,IF($A48=('Outil Cibles'!M$7+40),'Outil Cibles'!M$14*'Outil Cibles'!M$8,0))))</f>
        <v>0</v>
      </c>
      <c r="L48">
        <f t="shared" si="1"/>
        <v>8247.2195111804449</v>
      </c>
      <c r="N48">
        <v>2065</v>
      </c>
      <c r="O48">
        <f>IF(N48='Outil Cibles'!$Q$7, 'Outil Cibles'!$Q$18, 0)</f>
        <v>0</v>
      </c>
      <c r="P48">
        <f>IF(N48='Outil Cibles'!$R$7, 'Outil Cibles'!$R$18, 0)</f>
        <v>0</v>
      </c>
      <c r="Q48">
        <f>IF(N48='Outil Cibles'!$S$7, 'Outil Cibles'!$S$18, 0)</f>
        <v>0</v>
      </c>
      <c r="R48">
        <f>IF(N48='Outil Cibles'!$T$7, 'Outil Cibles'!$T$18, 0)</f>
        <v>0</v>
      </c>
      <c r="S48">
        <f>IF(N48='Outil Cibles'!$U$7, 'Outil Cibles'!$U$18, 0)</f>
        <v>0</v>
      </c>
      <c r="T48">
        <f>IF(N48='Outil Cibles'!$V$7, 'Outil Cibles'!$V$18, 0)</f>
        <v>0</v>
      </c>
      <c r="U48">
        <f>IF(N48='Outil Cibles'!$W$7, 'Outil Cibles'!$W$18, 0)</f>
        <v>0</v>
      </c>
      <c r="V48">
        <f>IF(N48='Outil Cibles'!$X$7, 'Outil Cibles'!$X$18, 0)</f>
        <v>0</v>
      </c>
      <c r="W48">
        <f>IF(N48='Outil Cibles'!$Y$7, 'Outil Cibles'!$Y$18, 0)</f>
        <v>0</v>
      </c>
      <c r="X48">
        <f>IF(N48='Outil Cibles'!$Z$7, 'Outil Cibles'!$Z$18, 0)</f>
        <v>0</v>
      </c>
      <c r="Y48">
        <f t="shared" si="2"/>
        <v>0</v>
      </c>
      <c r="AA48">
        <f>IF($A48='Outil Cibles'!D$7,'Outil Cibles'!D$11*'Outil Cibles'!D$8,0)</f>
        <v>0</v>
      </c>
      <c r="AC48">
        <f>IF($A48=('Outil Cibles'!D$7+20),'Outil Cibles'!D$12*'Outil Cibles'!D$8,0)</f>
        <v>0</v>
      </c>
      <c r="AE48">
        <f>IF($A48=('Outil Cibles'!D$7+30),'Outil Cibles'!D$13*'Outil Cibles'!D$8,0)</f>
        <v>0</v>
      </c>
      <c r="AG48">
        <f>IF($A48=('Outil Cibles'!D$7+40),'Outil Cibles'!D$14*'Outil Cibles'!D$8,0)</f>
        <v>0</v>
      </c>
    </row>
    <row r="49" spans="1:33" x14ac:dyDescent="0.3">
      <c r="A49" s="10">
        <v>2066</v>
      </c>
      <c r="B49">
        <f>IF($A49='Outil Cibles'!D$7,'Outil Cibles'!D$11*'Outil Cibles'!D$8,IF($A49=('Outil Cibles'!D$7+20),'Outil Cibles'!D$12*'Outil Cibles'!D$8,IF($A49=('Outil Cibles'!D$7+30),'Outil Cibles'!D$13*'Outil Cibles'!D$8,IF($A49=('Outil Cibles'!D$7+40),'Outil Cibles'!D$14*'Outil Cibles'!D$8,0))))</f>
        <v>0</v>
      </c>
      <c r="C49">
        <f>IF($A49='Outil Cibles'!E$7,'Outil Cibles'!E$11*'Outil Cibles'!E$8,IF($A49=('Outil Cibles'!E$7+20),'Outil Cibles'!E$12*'Outil Cibles'!E$8,IF($A49=('Outil Cibles'!E$7+30),'Outil Cibles'!E$13*'Outil Cibles'!E$8,IF($A49=('Outil Cibles'!E$7+40),'Outil Cibles'!E$14*'Outil Cibles'!E$8,0))))</f>
        <v>1890.740292284363</v>
      </c>
      <c r="D49">
        <f>IF($A49='Outil Cibles'!F$7,'Outil Cibles'!F$11*'Outil Cibles'!F$8,IF($A49=('Outil Cibles'!F$7+20),'Outil Cibles'!F$12*'Outil Cibles'!F$8,IF($A49=('Outil Cibles'!F$7+30),'Outil Cibles'!F$13*'Outil Cibles'!F$8,IF($A49=('Outil Cibles'!F$7+40),'Outil Cibles'!F$14*'Outil Cibles'!F$8,0))))</f>
        <v>0</v>
      </c>
      <c r="E49">
        <f>IF($A49='Outil Cibles'!G$7,'Outil Cibles'!G$11*'Outil Cibles'!G$8,IF($A49=('Outil Cibles'!G$7+20),'Outil Cibles'!G$12*'Outil Cibles'!G$8,IF($A49=('Outil Cibles'!G$7+30),'Outil Cibles'!G$13*'Outil Cibles'!G$8,IF($A49=('Outil Cibles'!G$7+40),'Outil Cibles'!G$14*'Outil Cibles'!G$8,0))))</f>
        <v>0</v>
      </c>
      <c r="F49">
        <f>IF($A49='Outil Cibles'!H$7,'Outil Cibles'!H$11*'Outil Cibles'!H$8,IF($A49=('Outil Cibles'!H$7+20),'Outil Cibles'!H$12*'Outil Cibles'!H$8,IF($A49=('Outil Cibles'!H$7+30),'Outil Cibles'!H$13*'Outil Cibles'!H$8,IF($A49=('Outil Cibles'!H$7+40),'Outil Cibles'!H$14*'Outil Cibles'!H$8,0))))</f>
        <v>0</v>
      </c>
      <c r="G49">
        <f>IF($A49='Outil Cibles'!I$7,'Outil Cibles'!I$11*'Outil Cibles'!I$8,IF($A49=('Outil Cibles'!I$7+20),'Outil Cibles'!I$12*'Outil Cibles'!I$8,IF($A49=('Outil Cibles'!I$7+30),'Outil Cibles'!I$13*'Outil Cibles'!I$8,IF($A49=('Outil Cibles'!I$7+40),'Outil Cibles'!I$14*'Outil Cibles'!I$8,0))))</f>
        <v>0</v>
      </c>
      <c r="H49">
        <f>IF($A49='Outil Cibles'!J$7,'Outil Cibles'!J$11*'Outil Cibles'!J$8,IF($A49=('Outil Cibles'!J$7+20),'Outil Cibles'!J$12*'Outil Cibles'!J$8,IF($A49=('Outil Cibles'!J$7+30),'Outil Cibles'!J$13*'Outil Cibles'!J$8,IF($A49=('Outil Cibles'!J$7+40),'Outil Cibles'!J$14*'Outil Cibles'!J$8,0))))</f>
        <v>0</v>
      </c>
      <c r="I49">
        <f>IF($A49='Outil Cibles'!K$7,'Outil Cibles'!K$11*'Outil Cibles'!K$8,IF($A49=('Outil Cibles'!K$7+20),'Outil Cibles'!K$12*'Outil Cibles'!K$8,IF($A49=('Outil Cibles'!K$7+30),'Outil Cibles'!K$13*'Outil Cibles'!K$8,IF($A49=('Outil Cibles'!K$7+40),'Outil Cibles'!K$14*'Outil Cibles'!K$8,0))))</f>
        <v>0</v>
      </c>
      <c r="J49">
        <f>IF($A49='Outil Cibles'!L$7,'Outil Cibles'!L$11*'Outil Cibles'!L$8,IF($A49=('Outil Cibles'!L$7+20),'Outil Cibles'!L$12*'Outil Cibles'!L$8,IF($A49=('Outil Cibles'!L$7+30),'Outil Cibles'!L$13*'Outil Cibles'!L$8,IF($A49=('Outil Cibles'!L$7+40),'Outil Cibles'!L$14*'Outil Cibles'!L$8,0))))</f>
        <v>0</v>
      </c>
      <c r="K49">
        <f>IF($A49='Outil Cibles'!M$7,'Outil Cibles'!M$11*'Outil Cibles'!M$8,IF($A49=('Outil Cibles'!M$7+20),'Outil Cibles'!M$12*'Outil Cibles'!M$8,IF($A49=('Outil Cibles'!M$7+30),'Outil Cibles'!M$13*'Outil Cibles'!M$8,IF($A49=('Outil Cibles'!M$7+40),'Outil Cibles'!M$14*'Outil Cibles'!M$8,0))))</f>
        <v>0</v>
      </c>
      <c r="L49">
        <f t="shared" si="1"/>
        <v>1890.740292284363</v>
      </c>
      <c r="N49" s="10">
        <v>2066</v>
      </c>
      <c r="O49">
        <f>IF(N49='Outil Cibles'!$Q$7, 'Outil Cibles'!$Q$18, 0)</f>
        <v>0</v>
      </c>
      <c r="P49">
        <f>IF(N49='Outil Cibles'!$R$7, 'Outil Cibles'!$R$18, 0)</f>
        <v>0</v>
      </c>
      <c r="Q49">
        <f>IF(N49='Outil Cibles'!$S$7, 'Outil Cibles'!$S$18, 0)</f>
        <v>0</v>
      </c>
      <c r="R49">
        <f>IF(N49='Outil Cibles'!$T$7, 'Outil Cibles'!$T$18, 0)</f>
        <v>0</v>
      </c>
      <c r="S49">
        <f>IF(N49='Outil Cibles'!$U$7, 'Outil Cibles'!$U$18, 0)</f>
        <v>0</v>
      </c>
      <c r="T49">
        <f>IF(N49='Outil Cibles'!$V$7, 'Outil Cibles'!$V$18, 0)</f>
        <v>0</v>
      </c>
      <c r="U49">
        <f>IF(N49='Outil Cibles'!$W$7, 'Outil Cibles'!$W$18, 0)</f>
        <v>0</v>
      </c>
      <c r="V49">
        <f>IF(N49='Outil Cibles'!$X$7, 'Outil Cibles'!$X$18, 0)</f>
        <v>0</v>
      </c>
      <c r="W49">
        <f>IF(N49='Outil Cibles'!$Y$7, 'Outil Cibles'!$Y$18, 0)</f>
        <v>0</v>
      </c>
      <c r="X49">
        <f>IF(N49='Outil Cibles'!$Z$7, 'Outil Cibles'!$Z$18, 0)</f>
        <v>0</v>
      </c>
      <c r="Y49">
        <f t="shared" si="2"/>
        <v>0</v>
      </c>
      <c r="AA49">
        <f>IF($A49='Outil Cibles'!D$7,'Outil Cibles'!D$11*'Outil Cibles'!D$8,0)</f>
        <v>0</v>
      </c>
      <c r="AC49">
        <f>IF($A49=('Outil Cibles'!D$7+20),'Outil Cibles'!D$12*'Outil Cibles'!D$8,0)</f>
        <v>0</v>
      </c>
      <c r="AE49">
        <f>IF($A49=('Outil Cibles'!D$7+30),'Outil Cibles'!D$13*'Outil Cibles'!D$8,0)</f>
        <v>0</v>
      </c>
      <c r="AG49">
        <f>IF($A49=('Outil Cibles'!D$7+40),'Outil Cibles'!D$14*'Outil Cibles'!D$8,0)</f>
        <v>0</v>
      </c>
    </row>
    <row r="50" spans="1:33" x14ac:dyDescent="0.3">
      <c r="A50">
        <v>2067</v>
      </c>
      <c r="B50">
        <f>IF($A50='Outil Cibles'!D$7,'Outil Cibles'!D$11*'Outil Cibles'!D$8,IF($A50=('Outil Cibles'!D$7+20),'Outil Cibles'!D$12*'Outil Cibles'!D$8,IF($A50=('Outil Cibles'!D$7+30),'Outil Cibles'!D$13*'Outil Cibles'!D$8,IF($A50=('Outil Cibles'!D$7+40),'Outil Cibles'!D$14*'Outil Cibles'!D$8,0))))</f>
        <v>0</v>
      </c>
      <c r="C50">
        <f>IF($A50='Outil Cibles'!E$7,'Outil Cibles'!E$11*'Outil Cibles'!E$8,IF($A50=('Outil Cibles'!E$7+20),'Outil Cibles'!E$12*'Outil Cibles'!E$8,IF($A50=('Outil Cibles'!E$7+30),'Outil Cibles'!E$13*'Outil Cibles'!E$8,IF($A50=('Outil Cibles'!E$7+40),'Outil Cibles'!E$14*'Outil Cibles'!E$8,0))))</f>
        <v>0</v>
      </c>
      <c r="D50">
        <f>IF($A50='Outil Cibles'!F$7,'Outil Cibles'!F$11*'Outil Cibles'!F$8,IF($A50=('Outil Cibles'!F$7+20),'Outil Cibles'!F$12*'Outil Cibles'!F$8,IF($A50=('Outil Cibles'!F$7+30),'Outil Cibles'!F$13*'Outil Cibles'!F$8,IF($A50=('Outil Cibles'!F$7+40),'Outil Cibles'!F$14*'Outil Cibles'!F$8,0))))</f>
        <v>0</v>
      </c>
      <c r="E50">
        <f>IF($A50='Outil Cibles'!G$7,'Outil Cibles'!G$11*'Outil Cibles'!G$8,IF($A50=('Outil Cibles'!G$7+20),'Outil Cibles'!G$12*'Outil Cibles'!G$8,IF($A50=('Outil Cibles'!G$7+30),'Outil Cibles'!G$13*'Outil Cibles'!G$8,IF($A50=('Outil Cibles'!G$7+40),'Outil Cibles'!G$14*'Outil Cibles'!G$8,0))))</f>
        <v>0</v>
      </c>
      <c r="F50">
        <f>IF($A50='Outil Cibles'!H$7,'Outil Cibles'!H$11*'Outil Cibles'!H$8,IF($A50=('Outil Cibles'!H$7+20),'Outil Cibles'!H$12*'Outil Cibles'!H$8,IF($A50=('Outil Cibles'!H$7+30),'Outil Cibles'!H$13*'Outil Cibles'!H$8,IF($A50=('Outil Cibles'!H$7+40),'Outil Cibles'!H$14*'Outil Cibles'!H$8,0))))</f>
        <v>0</v>
      </c>
      <c r="G50">
        <f>IF($A50='Outil Cibles'!I$7,'Outil Cibles'!I$11*'Outil Cibles'!I$8,IF($A50=('Outil Cibles'!I$7+20),'Outil Cibles'!I$12*'Outil Cibles'!I$8,IF($A50=('Outil Cibles'!I$7+30),'Outil Cibles'!I$13*'Outil Cibles'!I$8,IF($A50=('Outil Cibles'!I$7+40),'Outil Cibles'!I$14*'Outil Cibles'!I$8,0))))</f>
        <v>0</v>
      </c>
      <c r="H50">
        <f>IF($A50='Outil Cibles'!J$7,'Outil Cibles'!J$11*'Outil Cibles'!J$8,IF($A50=('Outil Cibles'!J$7+20),'Outil Cibles'!J$12*'Outil Cibles'!J$8,IF($A50=('Outil Cibles'!J$7+30),'Outil Cibles'!J$13*'Outil Cibles'!J$8,IF($A50=('Outil Cibles'!J$7+40),'Outil Cibles'!J$14*'Outil Cibles'!J$8,0))))</f>
        <v>0</v>
      </c>
      <c r="I50">
        <f>IF($A50='Outil Cibles'!K$7,'Outil Cibles'!K$11*'Outil Cibles'!K$8,IF($A50=('Outil Cibles'!K$7+20),'Outil Cibles'!K$12*'Outil Cibles'!K$8,IF($A50=('Outil Cibles'!K$7+30),'Outil Cibles'!K$13*'Outil Cibles'!K$8,IF($A50=('Outil Cibles'!K$7+40),'Outil Cibles'!K$14*'Outil Cibles'!K$8,0))))</f>
        <v>0</v>
      </c>
      <c r="J50">
        <f>IF($A50='Outil Cibles'!L$7,'Outil Cibles'!L$11*'Outil Cibles'!L$8,IF($A50=('Outil Cibles'!L$7+20),'Outil Cibles'!L$12*'Outil Cibles'!L$8,IF($A50=('Outil Cibles'!L$7+30),'Outil Cibles'!L$13*'Outil Cibles'!L$8,IF($A50=('Outil Cibles'!L$7+40),'Outil Cibles'!L$14*'Outil Cibles'!L$8,0))))</f>
        <v>0</v>
      </c>
      <c r="K50">
        <f>IF($A50='Outil Cibles'!M$7,'Outil Cibles'!M$11*'Outil Cibles'!M$8,IF($A50=('Outil Cibles'!M$7+20),'Outil Cibles'!M$12*'Outil Cibles'!M$8,IF($A50=('Outil Cibles'!M$7+30),'Outil Cibles'!M$13*'Outil Cibles'!M$8,IF($A50=('Outil Cibles'!M$7+40),'Outil Cibles'!M$14*'Outil Cibles'!M$8,0))))</f>
        <v>0</v>
      </c>
      <c r="L50">
        <f t="shared" si="1"/>
        <v>0</v>
      </c>
      <c r="N50">
        <v>2067</v>
      </c>
      <c r="O50">
        <f>IF(N50='Outil Cibles'!$Q$7, 'Outil Cibles'!$Q$18, 0)</f>
        <v>0</v>
      </c>
      <c r="P50">
        <f>IF(N50='Outil Cibles'!$R$7, 'Outil Cibles'!$R$18, 0)</f>
        <v>0</v>
      </c>
      <c r="Q50">
        <f>IF(N50='Outil Cibles'!$S$7, 'Outil Cibles'!$S$18, 0)</f>
        <v>0</v>
      </c>
      <c r="R50">
        <f>IF(N50='Outil Cibles'!$T$7, 'Outil Cibles'!$T$18, 0)</f>
        <v>0</v>
      </c>
      <c r="S50">
        <f>IF(N50='Outil Cibles'!$U$7, 'Outil Cibles'!$U$18, 0)</f>
        <v>0</v>
      </c>
      <c r="T50">
        <f>IF(N50='Outil Cibles'!$V$7, 'Outil Cibles'!$V$18, 0)</f>
        <v>0</v>
      </c>
      <c r="U50">
        <f>IF(N50='Outil Cibles'!$W$7, 'Outil Cibles'!$W$18, 0)</f>
        <v>0</v>
      </c>
      <c r="V50">
        <f>IF(N50='Outil Cibles'!$X$7, 'Outil Cibles'!$X$18, 0)</f>
        <v>0</v>
      </c>
      <c r="W50">
        <f>IF(N50='Outil Cibles'!$Y$7, 'Outil Cibles'!$Y$18, 0)</f>
        <v>0</v>
      </c>
      <c r="X50">
        <f>IF(N50='Outil Cibles'!$Z$7, 'Outil Cibles'!$Z$18, 0)</f>
        <v>0</v>
      </c>
      <c r="Y50">
        <f t="shared" si="2"/>
        <v>0</v>
      </c>
      <c r="AA50">
        <f>IF($A50='Outil Cibles'!D$7,'Outil Cibles'!D$11*'Outil Cibles'!D$8,0)</f>
        <v>0</v>
      </c>
      <c r="AC50">
        <f>IF($A50=('Outil Cibles'!D$7+20),'Outil Cibles'!D$12*'Outil Cibles'!D$8,0)</f>
        <v>0</v>
      </c>
      <c r="AE50">
        <f>IF($A50=('Outil Cibles'!D$7+30),'Outil Cibles'!D$13*'Outil Cibles'!D$8,0)</f>
        <v>0</v>
      </c>
      <c r="AG50">
        <f>IF($A50=('Outil Cibles'!D$7+40),'Outil Cibles'!D$14*'Outil Cibles'!D$8,0)</f>
        <v>0</v>
      </c>
    </row>
    <row r="51" spans="1:33" x14ac:dyDescent="0.3">
      <c r="A51">
        <v>2068</v>
      </c>
      <c r="B51">
        <f>IF($A51='Outil Cibles'!D$7,'Outil Cibles'!D$11*'Outil Cibles'!D$8,IF($A51=('Outil Cibles'!D$7+20),'Outil Cibles'!D$12*'Outil Cibles'!D$8,IF($A51=('Outil Cibles'!D$7+30),'Outil Cibles'!D$13*'Outil Cibles'!D$8,IF($A51=('Outil Cibles'!D$7+40),'Outil Cibles'!D$14*'Outil Cibles'!D$8,0))))</f>
        <v>0</v>
      </c>
      <c r="C51">
        <f>IF($A51='Outil Cibles'!E$7,'Outil Cibles'!E$11*'Outil Cibles'!E$8,IF($A51=('Outil Cibles'!E$7+20),'Outil Cibles'!E$12*'Outil Cibles'!E$8,IF($A51=('Outil Cibles'!E$7+30),'Outil Cibles'!E$13*'Outil Cibles'!E$8,IF($A51=('Outil Cibles'!E$7+40),'Outil Cibles'!E$14*'Outil Cibles'!E$8,0))))</f>
        <v>0</v>
      </c>
      <c r="D51">
        <f>IF($A51='Outil Cibles'!F$7,'Outil Cibles'!F$11*'Outil Cibles'!F$8,IF($A51=('Outil Cibles'!F$7+20),'Outil Cibles'!F$12*'Outil Cibles'!F$8,IF($A51=('Outil Cibles'!F$7+30),'Outil Cibles'!F$13*'Outil Cibles'!F$8,IF($A51=('Outil Cibles'!F$7+40),'Outil Cibles'!F$14*'Outil Cibles'!F$8,0))))</f>
        <v>0</v>
      </c>
      <c r="E51">
        <f>IF($A51='Outil Cibles'!G$7,'Outil Cibles'!G$11*'Outil Cibles'!G$8,IF($A51=('Outil Cibles'!G$7+20),'Outil Cibles'!G$12*'Outil Cibles'!G$8,IF($A51=('Outil Cibles'!G$7+30),'Outil Cibles'!G$13*'Outil Cibles'!G$8,IF($A51=('Outil Cibles'!G$7+40),'Outil Cibles'!G$14*'Outil Cibles'!G$8,0))))</f>
        <v>0</v>
      </c>
      <c r="F51">
        <f>IF($A51='Outil Cibles'!H$7,'Outil Cibles'!H$11*'Outil Cibles'!H$8,IF($A51=('Outil Cibles'!H$7+20),'Outil Cibles'!H$12*'Outil Cibles'!H$8,IF($A51=('Outil Cibles'!H$7+30),'Outil Cibles'!H$13*'Outil Cibles'!H$8,IF($A51=('Outil Cibles'!H$7+40),'Outil Cibles'!H$14*'Outil Cibles'!H$8,0))))</f>
        <v>3409.1368099396891</v>
      </c>
      <c r="G51">
        <f>IF($A51='Outil Cibles'!I$7,'Outil Cibles'!I$11*'Outil Cibles'!I$8,IF($A51=('Outil Cibles'!I$7+20),'Outil Cibles'!I$12*'Outil Cibles'!I$8,IF($A51=('Outil Cibles'!I$7+30),'Outil Cibles'!I$13*'Outil Cibles'!I$8,IF($A51=('Outil Cibles'!I$7+40),'Outil Cibles'!I$14*'Outil Cibles'!I$8,0))))</f>
        <v>0</v>
      </c>
      <c r="H51">
        <f>IF($A51='Outil Cibles'!J$7,'Outil Cibles'!J$11*'Outil Cibles'!J$8,IF($A51=('Outil Cibles'!J$7+20),'Outil Cibles'!J$12*'Outil Cibles'!J$8,IF($A51=('Outil Cibles'!J$7+30),'Outil Cibles'!J$13*'Outil Cibles'!J$8,IF($A51=('Outil Cibles'!J$7+40),'Outil Cibles'!J$14*'Outil Cibles'!J$8,0))))</f>
        <v>0</v>
      </c>
      <c r="I51">
        <f>IF($A51='Outil Cibles'!K$7,'Outil Cibles'!K$11*'Outil Cibles'!K$8,IF($A51=('Outil Cibles'!K$7+20),'Outil Cibles'!K$12*'Outil Cibles'!K$8,IF($A51=('Outil Cibles'!K$7+30),'Outil Cibles'!K$13*'Outil Cibles'!K$8,IF($A51=('Outil Cibles'!K$7+40),'Outil Cibles'!K$14*'Outil Cibles'!K$8,0))))</f>
        <v>0</v>
      </c>
      <c r="J51">
        <f>IF($A51='Outil Cibles'!L$7,'Outil Cibles'!L$11*'Outil Cibles'!L$8,IF($A51=('Outil Cibles'!L$7+20),'Outil Cibles'!L$12*'Outil Cibles'!L$8,IF($A51=('Outil Cibles'!L$7+30),'Outil Cibles'!L$13*'Outil Cibles'!L$8,IF($A51=('Outil Cibles'!L$7+40),'Outil Cibles'!L$14*'Outil Cibles'!L$8,0))))</f>
        <v>487.01954427709853</v>
      </c>
      <c r="K51">
        <f>IF($A51='Outil Cibles'!M$7,'Outil Cibles'!M$11*'Outil Cibles'!M$8,IF($A51=('Outil Cibles'!M$7+20),'Outil Cibles'!M$12*'Outil Cibles'!M$8,IF($A51=('Outil Cibles'!M$7+30),'Outil Cibles'!M$13*'Outil Cibles'!M$8,IF($A51=('Outil Cibles'!M$7+40),'Outil Cibles'!M$14*'Outil Cibles'!M$8,0))))</f>
        <v>0</v>
      </c>
      <c r="L51">
        <f t="shared" si="1"/>
        <v>3896.1563542167878</v>
      </c>
      <c r="N51">
        <v>2068</v>
      </c>
      <c r="O51">
        <f>IF(N51='Outil Cibles'!$Q$7, 'Outil Cibles'!$Q$18, 0)</f>
        <v>0</v>
      </c>
      <c r="P51">
        <f>IF(N51='Outil Cibles'!$R$7, 'Outil Cibles'!$R$18, 0)</f>
        <v>0</v>
      </c>
      <c r="Q51">
        <f>IF(N51='Outil Cibles'!$S$7, 'Outil Cibles'!$S$18, 0)</f>
        <v>0</v>
      </c>
      <c r="R51">
        <f>IF(N51='Outil Cibles'!$T$7, 'Outil Cibles'!$T$18, 0)</f>
        <v>0</v>
      </c>
      <c r="S51">
        <f>IF(N51='Outil Cibles'!$U$7, 'Outil Cibles'!$U$18, 0)</f>
        <v>0</v>
      </c>
      <c r="T51">
        <f>IF(N51='Outil Cibles'!$V$7, 'Outil Cibles'!$V$18, 0)</f>
        <v>0</v>
      </c>
      <c r="U51">
        <f>IF(N51='Outil Cibles'!$W$7, 'Outil Cibles'!$W$18, 0)</f>
        <v>0</v>
      </c>
      <c r="V51">
        <f>IF(N51='Outil Cibles'!$X$7, 'Outil Cibles'!$X$18, 0)</f>
        <v>0</v>
      </c>
      <c r="W51">
        <f>IF(N51='Outil Cibles'!$Y$7, 'Outil Cibles'!$Y$18, 0)</f>
        <v>0</v>
      </c>
      <c r="X51">
        <f>IF(N51='Outil Cibles'!$Z$7, 'Outil Cibles'!$Z$18, 0)</f>
        <v>0</v>
      </c>
      <c r="Y51">
        <f t="shared" si="2"/>
        <v>0</v>
      </c>
      <c r="AA51">
        <f>IF($A51='Outil Cibles'!D$7,'Outil Cibles'!D$11*'Outil Cibles'!D$8,0)</f>
        <v>0</v>
      </c>
      <c r="AC51">
        <f>IF($A51=('Outil Cibles'!D$7+20),'Outil Cibles'!D$12*'Outil Cibles'!D$8,0)</f>
        <v>0</v>
      </c>
      <c r="AE51">
        <f>IF($A51=('Outil Cibles'!D$7+30),'Outil Cibles'!D$13*'Outil Cibles'!D$8,0)</f>
        <v>0</v>
      </c>
      <c r="AG51">
        <f>IF($A51=('Outil Cibles'!D$7+40),'Outil Cibles'!D$14*'Outil Cibles'!D$8,0)</f>
        <v>0</v>
      </c>
    </row>
    <row r="52" spans="1:33" x14ac:dyDescent="0.3">
      <c r="A52">
        <v>2069</v>
      </c>
      <c r="B52">
        <f>IF($A52='Outil Cibles'!D$7,'Outil Cibles'!D$11*'Outil Cibles'!D$8,IF($A52=('Outil Cibles'!D$7+20),'Outil Cibles'!D$12*'Outil Cibles'!D$8,IF($A52=('Outil Cibles'!D$7+30),'Outil Cibles'!D$13*'Outil Cibles'!D$8,IF($A52=('Outil Cibles'!D$7+40),'Outil Cibles'!D$14*'Outil Cibles'!D$8,0))))</f>
        <v>0</v>
      </c>
      <c r="C52">
        <f>IF($A52='Outil Cibles'!E$7,'Outil Cibles'!E$11*'Outil Cibles'!E$8,IF($A52=('Outil Cibles'!E$7+20),'Outil Cibles'!E$12*'Outil Cibles'!E$8,IF($A52=('Outil Cibles'!E$7+30),'Outil Cibles'!E$13*'Outil Cibles'!E$8,IF($A52=('Outil Cibles'!E$7+40),'Outil Cibles'!E$14*'Outil Cibles'!E$8,0))))</f>
        <v>0</v>
      </c>
      <c r="D52">
        <f>IF($A52='Outil Cibles'!F$7,'Outil Cibles'!F$11*'Outil Cibles'!F$8,IF($A52=('Outil Cibles'!F$7+20),'Outil Cibles'!F$12*'Outil Cibles'!F$8,IF($A52=('Outil Cibles'!F$7+30),'Outil Cibles'!F$13*'Outil Cibles'!F$8,IF($A52=('Outil Cibles'!F$7+40),'Outil Cibles'!F$14*'Outil Cibles'!F$8,0))))</f>
        <v>0</v>
      </c>
      <c r="E52">
        <f>IF($A52='Outil Cibles'!G$7,'Outil Cibles'!G$11*'Outil Cibles'!G$8,IF($A52=('Outil Cibles'!G$7+20),'Outil Cibles'!G$12*'Outil Cibles'!G$8,IF($A52=('Outil Cibles'!G$7+30),'Outil Cibles'!G$13*'Outil Cibles'!G$8,IF($A52=('Outil Cibles'!G$7+40),'Outil Cibles'!G$14*'Outil Cibles'!G$8,0))))</f>
        <v>0</v>
      </c>
      <c r="F52">
        <f>IF($A52='Outil Cibles'!H$7,'Outil Cibles'!H$11*'Outil Cibles'!H$8,IF($A52=('Outil Cibles'!H$7+20),'Outil Cibles'!H$12*'Outil Cibles'!H$8,IF($A52=('Outil Cibles'!H$7+30),'Outil Cibles'!H$13*'Outil Cibles'!H$8,IF($A52=('Outil Cibles'!H$7+40),'Outil Cibles'!H$14*'Outil Cibles'!H$8,0))))</f>
        <v>0</v>
      </c>
      <c r="G52">
        <f>IF($A52='Outil Cibles'!I$7,'Outil Cibles'!I$11*'Outil Cibles'!I$8,IF($A52=('Outil Cibles'!I$7+20),'Outil Cibles'!I$12*'Outil Cibles'!I$8,IF($A52=('Outil Cibles'!I$7+30),'Outil Cibles'!I$13*'Outil Cibles'!I$8,IF($A52=('Outil Cibles'!I$7+40),'Outil Cibles'!I$14*'Outil Cibles'!I$8,0))))</f>
        <v>0</v>
      </c>
      <c r="H52">
        <f>IF($A52='Outil Cibles'!J$7,'Outil Cibles'!J$11*'Outil Cibles'!J$8,IF($A52=('Outil Cibles'!J$7+20),'Outil Cibles'!J$12*'Outil Cibles'!J$8,IF($A52=('Outil Cibles'!J$7+30),'Outil Cibles'!J$13*'Outil Cibles'!J$8,IF($A52=('Outil Cibles'!J$7+40),'Outil Cibles'!J$14*'Outil Cibles'!J$8,0))))</f>
        <v>0</v>
      </c>
      <c r="I52">
        <f>IF($A52='Outil Cibles'!K$7,'Outil Cibles'!K$11*'Outil Cibles'!K$8,IF($A52=('Outil Cibles'!K$7+20),'Outil Cibles'!K$12*'Outil Cibles'!K$8,IF($A52=('Outil Cibles'!K$7+30),'Outil Cibles'!K$13*'Outil Cibles'!K$8,IF($A52=('Outil Cibles'!K$7+40),'Outil Cibles'!K$14*'Outil Cibles'!K$8,0))))</f>
        <v>0</v>
      </c>
      <c r="J52">
        <f>IF($A52='Outil Cibles'!L$7,'Outil Cibles'!L$11*'Outil Cibles'!L$8,IF($A52=('Outil Cibles'!L$7+20),'Outil Cibles'!L$12*'Outil Cibles'!L$8,IF($A52=('Outil Cibles'!L$7+30),'Outil Cibles'!L$13*'Outil Cibles'!L$8,IF($A52=('Outil Cibles'!L$7+40),'Outil Cibles'!L$14*'Outil Cibles'!L$8,0))))</f>
        <v>0</v>
      </c>
      <c r="K52">
        <f>IF($A52='Outil Cibles'!M$7,'Outil Cibles'!M$11*'Outil Cibles'!M$8,IF($A52=('Outil Cibles'!M$7+20),'Outil Cibles'!M$12*'Outil Cibles'!M$8,IF($A52=('Outil Cibles'!M$7+30),'Outil Cibles'!M$13*'Outil Cibles'!M$8,IF($A52=('Outil Cibles'!M$7+40),'Outil Cibles'!M$14*'Outil Cibles'!M$8,0))))</f>
        <v>0</v>
      </c>
      <c r="L52">
        <f t="shared" si="1"/>
        <v>0</v>
      </c>
      <c r="N52">
        <v>2069</v>
      </c>
      <c r="O52">
        <f>IF(N52='Outil Cibles'!$Q$7, 'Outil Cibles'!$Q$18, 0)</f>
        <v>0</v>
      </c>
      <c r="P52">
        <f>IF(N52='Outil Cibles'!$R$7, 'Outil Cibles'!$R$18, 0)</f>
        <v>0</v>
      </c>
      <c r="Q52">
        <f>IF(N52='Outil Cibles'!$S$7, 'Outil Cibles'!$S$18, 0)</f>
        <v>0</v>
      </c>
      <c r="R52">
        <f>IF(N52='Outil Cibles'!$T$7, 'Outil Cibles'!$T$18, 0)</f>
        <v>0</v>
      </c>
      <c r="S52">
        <f>IF(N52='Outil Cibles'!$U$7, 'Outil Cibles'!$U$18, 0)</f>
        <v>0</v>
      </c>
      <c r="T52">
        <f>IF(N52='Outil Cibles'!$V$7, 'Outil Cibles'!$V$18, 0)</f>
        <v>0</v>
      </c>
      <c r="U52">
        <f>IF(N52='Outil Cibles'!$W$7, 'Outil Cibles'!$W$18, 0)</f>
        <v>0</v>
      </c>
      <c r="V52">
        <f>IF(N52='Outil Cibles'!$X$7, 'Outil Cibles'!$X$18, 0)</f>
        <v>0</v>
      </c>
      <c r="W52">
        <f>IF(N52='Outil Cibles'!$Y$7, 'Outil Cibles'!$Y$18, 0)</f>
        <v>0</v>
      </c>
      <c r="X52">
        <f>IF(N52='Outil Cibles'!$Z$7, 'Outil Cibles'!$Z$18, 0)</f>
        <v>0</v>
      </c>
      <c r="Y52">
        <f t="shared" si="2"/>
        <v>0</v>
      </c>
      <c r="AA52">
        <f>IF($A52='Outil Cibles'!D$7,'Outil Cibles'!D$11*'Outil Cibles'!D$8,0)</f>
        <v>0</v>
      </c>
      <c r="AC52">
        <f>IF($A52=('Outil Cibles'!D$7+20),'Outil Cibles'!D$12*'Outil Cibles'!D$8,0)</f>
        <v>0</v>
      </c>
      <c r="AE52">
        <f>IF($A52=('Outil Cibles'!D$7+30),'Outil Cibles'!D$13*'Outil Cibles'!D$8,0)</f>
        <v>0</v>
      </c>
      <c r="AG52">
        <f>IF($A52=('Outil Cibles'!D$7+40),'Outil Cibles'!D$14*'Outil Cibles'!D$8,0)</f>
        <v>0</v>
      </c>
    </row>
    <row r="53" spans="1:33" x14ac:dyDescent="0.3">
      <c r="A53">
        <v>2070</v>
      </c>
      <c r="B53">
        <f>IF($A53='Outil Cibles'!D$7,'Outil Cibles'!D$11*'Outil Cibles'!D$8,IF($A53=('Outil Cibles'!D$7+20),'Outil Cibles'!D$12*'Outil Cibles'!D$8,IF($A53=('Outil Cibles'!D$7+30),'Outil Cibles'!D$13*'Outil Cibles'!D$8,IF($A53=('Outil Cibles'!D$7+40),'Outil Cibles'!D$14*'Outil Cibles'!D$8,0))))</f>
        <v>0</v>
      </c>
      <c r="C53">
        <f>IF($A53='Outil Cibles'!E$7,'Outil Cibles'!E$11*'Outil Cibles'!E$8,IF($A53=('Outil Cibles'!E$7+20),'Outil Cibles'!E$12*'Outil Cibles'!E$8,IF($A53=('Outil Cibles'!E$7+30),'Outil Cibles'!E$13*'Outil Cibles'!E$8,IF($A53=('Outil Cibles'!E$7+40),'Outil Cibles'!E$14*'Outil Cibles'!E$8,0))))</f>
        <v>0</v>
      </c>
      <c r="D53">
        <f>IF($A53='Outil Cibles'!F$7,'Outil Cibles'!F$11*'Outil Cibles'!F$8,IF($A53=('Outil Cibles'!F$7+20),'Outil Cibles'!F$12*'Outil Cibles'!F$8,IF($A53=('Outil Cibles'!F$7+30),'Outil Cibles'!F$13*'Outil Cibles'!F$8,IF($A53=('Outil Cibles'!F$7+40),'Outil Cibles'!F$14*'Outil Cibles'!F$8,0))))</f>
        <v>76.193712210347229</v>
      </c>
      <c r="E53">
        <f>IF($A53='Outil Cibles'!G$7,'Outil Cibles'!G$11*'Outil Cibles'!G$8,IF($A53=('Outil Cibles'!G$7+20),'Outil Cibles'!G$12*'Outil Cibles'!G$8,IF($A53=('Outil Cibles'!G$7+30),'Outil Cibles'!G$13*'Outil Cibles'!G$8,IF($A53=('Outil Cibles'!G$7+40),'Outil Cibles'!G$14*'Outil Cibles'!G$8,0))))</f>
        <v>0</v>
      </c>
      <c r="F53">
        <f>IF($A53='Outil Cibles'!H$7,'Outil Cibles'!H$11*'Outil Cibles'!H$8,IF($A53=('Outil Cibles'!H$7+20),'Outil Cibles'!H$12*'Outil Cibles'!H$8,IF($A53=('Outil Cibles'!H$7+30),'Outil Cibles'!H$13*'Outil Cibles'!H$8,IF($A53=('Outil Cibles'!H$7+40),'Outil Cibles'!H$14*'Outil Cibles'!H$8,0))))</f>
        <v>0</v>
      </c>
      <c r="G53">
        <f>IF($A53='Outil Cibles'!I$7,'Outil Cibles'!I$11*'Outil Cibles'!I$8,IF($A53=('Outil Cibles'!I$7+20),'Outil Cibles'!I$12*'Outil Cibles'!I$8,IF($A53=('Outil Cibles'!I$7+30),'Outil Cibles'!I$13*'Outil Cibles'!I$8,IF($A53=('Outil Cibles'!I$7+40),'Outil Cibles'!I$14*'Outil Cibles'!I$8,0))))</f>
        <v>266.67799273621523</v>
      </c>
      <c r="H53">
        <f>IF($A53='Outil Cibles'!J$7,'Outil Cibles'!J$11*'Outil Cibles'!J$8,IF($A53=('Outil Cibles'!J$7+20),'Outil Cibles'!J$12*'Outil Cibles'!J$8,IF($A53=('Outil Cibles'!J$7+30),'Outil Cibles'!J$13*'Outil Cibles'!J$8,IF($A53=('Outil Cibles'!J$7+40),'Outil Cibles'!J$14*'Outil Cibles'!J$8,0))))</f>
        <v>0</v>
      </c>
      <c r="I53">
        <f>IF($A53='Outil Cibles'!K$7,'Outil Cibles'!K$11*'Outil Cibles'!K$8,IF($A53=('Outil Cibles'!K$7+20),'Outil Cibles'!K$12*'Outil Cibles'!K$8,IF($A53=('Outil Cibles'!K$7+30),'Outil Cibles'!K$13*'Outil Cibles'!K$8,IF($A53=('Outil Cibles'!K$7+40),'Outil Cibles'!K$14*'Outil Cibles'!K$8,0))))</f>
        <v>0</v>
      </c>
      <c r="J53">
        <f>IF($A53='Outil Cibles'!L$7,'Outil Cibles'!L$11*'Outil Cibles'!L$8,IF($A53=('Outil Cibles'!L$7+20),'Outil Cibles'!L$12*'Outil Cibles'!L$8,IF($A53=('Outil Cibles'!L$7+30),'Outil Cibles'!L$13*'Outil Cibles'!L$8,IF($A53=('Outil Cibles'!L$7+40),'Outil Cibles'!L$14*'Outil Cibles'!L$8,0))))</f>
        <v>0</v>
      </c>
      <c r="K53">
        <f>IF($A53='Outil Cibles'!M$7,'Outil Cibles'!M$11*'Outil Cibles'!M$8,IF($A53=('Outil Cibles'!M$7+20),'Outil Cibles'!M$12*'Outil Cibles'!M$8,IF($A53=('Outil Cibles'!M$7+30),'Outil Cibles'!M$13*'Outil Cibles'!M$8,IF($A53=('Outil Cibles'!M$7+40),'Outil Cibles'!M$14*'Outil Cibles'!M$8,0))))</f>
        <v>38.096856105173615</v>
      </c>
      <c r="L53">
        <f t="shared" si="1"/>
        <v>380.96856105173606</v>
      </c>
      <c r="N53">
        <v>2070</v>
      </c>
      <c r="O53">
        <f>IF(N53='Outil Cibles'!$Q$7, 'Outil Cibles'!$Q$18, 0)</f>
        <v>0</v>
      </c>
      <c r="P53">
        <f>IF(N53='Outil Cibles'!$R$7, 'Outil Cibles'!$R$18, 0)</f>
        <v>0</v>
      </c>
      <c r="Q53">
        <f>IF(N53='Outil Cibles'!$S$7, 'Outil Cibles'!$S$18, 0)</f>
        <v>0</v>
      </c>
      <c r="R53">
        <f>IF(N53='Outil Cibles'!$T$7, 'Outil Cibles'!$T$18, 0)</f>
        <v>0</v>
      </c>
      <c r="S53">
        <f>IF(N53='Outil Cibles'!$U$7, 'Outil Cibles'!$U$18, 0)</f>
        <v>0</v>
      </c>
      <c r="T53">
        <f>IF(N53='Outil Cibles'!$V$7, 'Outil Cibles'!$V$18, 0)</f>
        <v>0</v>
      </c>
      <c r="U53">
        <f>IF(N53='Outil Cibles'!$W$7, 'Outil Cibles'!$W$18, 0)</f>
        <v>0</v>
      </c>
      <c r="V53">
        <f>IF(N53='Outil Cibles'!$X$7, 'Outil Cibles'!$X$18, 0)</f>
        <v>0</v>
      </c>
      <c r="W53">
        <f>IF(N53='Outil Cibles'!$Y$7, 'Outil Cibles'!$Y$18, 0)</f>
        <v>0</v>
      </c>
      <c r="X53">
        <f>IF(N53='Outil Cibles'!$Z$7, 'Outil Cibles'!$Z$18, 0)</f>
        <v>0</v>
      </c>
      <c r="Y53">
        <f t="shared" si="2"/>
        <v>0</v>
      </c>
      <c r="AA53">
        <f>IF($A53='Outil Cibles'!D$7,'Outil Cibles'!D$11*'Outil Cibles'!D$8,0)</f>
        <v>0</v>
      </c>
      <c r="AC53">
        <f>IF($A53=('Outil Cibles'!D$7+20),'Outil Cibles'!D$12*'Outil Cibles'!D$8,0)</f>
        <v>0</v>
      </c>
      <c r="AE53">
        <f>IF($A53=('Outil Cibles'!D$7+30),'Outil Cibles'!D$13*'Outil Cibles'!D$8,0)</f>
        <v>0</v>
      </c>
      <c r="AG53">
        <f>IF($A53=('Outil Cibles'!D$7+40),'Outil Cibles'!D$14*'Outil Cibles'!D$8,0)</f>
        <v>0</v>
      </c>
    </row>
    <row r="54" spans="1:33" x14ac:dyDescent="0.3">
      <c r="A54">
        <v>2071</v>
      </c>
      <c r="B54">
        <f>IF($A54='Outil Cibles'!D$7,'Outil Cibles'!D$11*'Outil Cibles'!D$8,IF($A54=('Outil Cibles'!D$7+20),'Outil Cibles'!D$12*'Outil Cibles'!D$8,IF($A54=('Outil Cibles'!D$7+30),'Outil Cibles'!D$13*'Outil Cibles'!D$8,IF($A54=('Outil Cibles'!D$7+40),'Outil Cibles'!D$14*'Outil Cibles'!D$8,0))))</f>
        <v>0</v>
      </c>
      <c r="C54">
        <f>IF($A54='Outil Cibles'!E$7,'Outil Cibles'!E$11*'Outil Cibles'!E$8,IF($A54=('Outil Cibles'!E$7+20),'Outil Cibles'!E$12*'Outil Cibles'!E$8,IF($A54=('Outil Cibles'!E$7+30),'Outil Cibles'!E$13*'Outil Cibles'!E$8,IF($A54=('Outil Cibles'!E$7+40),'Outil Cibles'!E$14*'Outil Cibles'!E$8,0))))</f>
        <v>0</v>
      </c>
      <c r="D54">
        <f>IF($A54='Outil Cibles'!F$7,'Outil Cibles'!F$11*'Outil Cibles'!F$8,IF($A54=('Outil Cibles'!F$7+20),'Outil Cibles'!F$12*'Outil Cibles'!F$8,IF($A54=('Outil Cibles'!F$7+30),'Outil Cibles'!F$13*'Outil Cibles'!F$8,IF($A54=('Outil Cibles'!F$7+40),'Outil Cibles'!F$14*'Outil Cibles'!F$8,0))))</f>
        <v>0</v>
      </c>
      <c r="E54">
        <f>IF($A54='Outil Cibles'!G$7,'Outil Cibles'!G$11*'Outil Cibles'!G$8,IF($A54=('Outil Cibles'!G$7+20),'Outil Cibles'!G$12*'Outil Cibles'!G$8,IF($A54=('Outil Cibles'!G$7+30),'Outil Cibles'!G$13*'Outil Cibles'!G$8,IF($A54=('Outil Cibles'!G$7+40),'Outil Cibles'!G$14*'Outil Cibles'!G$8,0))))</f>
        <v>0</v>
      </c>
      <c r="F54">
        <f>IF($A54='Outil Cibles'!H$7,'Outil Cibles'!H$11*'Outil Cibles'!H$8,IF($A54=('Outil Cibles'!H$7+20),'Outil Cibles'!H$12*'Outil Cibles'!H$8,IF($A54=('Outil Cibles'!H$7+30),'Outil Cibles'!H$13*'Outil Cibles'!H$8,IF($A54=('Outil Cibles'!H$7+40),'Outil Cibles'!H$14*'Outil Cibles'!H$8,0))))</f>
        <v>0</v>
      </c>
      <c r="G54">
        <f>IF($A54='Outil Cibles'!I$7,'Outil Cibles'!I$11*'Outil Cibles'!I$8,IF($A54=('Outil Cibles'!I$7+20),'Outil Cibles'!I$12*'Outil Cibles'!I$8,IF($A54=('Outil Cibles'!I$7+30),'Outil Cibles'!I$13*'Outil Cibles'!I$8,IF($A54=('Outil Cibles'!I$7+40),'Outil Cibles'!I$14*'Outil Cibles'!I$8,0))))</f>
        <v>0</v>
      </c>
      <c r="H54">
        <f>IF($A54='Outil Cibles'!J$7,'Outil Cibles'!J$11*'Outil Cibles'!J$8,IF($A54=('Outil Cibles'!J$7+20),'Outil Cibles'!J$12*'Outil Cibles'!J$8,IF($A54=('Outil Cibles'!J$7+30),'Outil Cibles'!J$13*'Outil Cibles'!J$8,IF($A54=('Outil Cibles'!J$7+40),'Outil Cibles'!J$14*'Outil Cibles'!J$8,0))))</f>
        <v>0</v>
      </c>
      <c r="I54">
        <f>IF($A54='Outil Cibles'!K$7,'Outil Cibles'!K$11*'Outil Cibles'!K$8,IF($A54=('Outil Cibles'!K$7+20),'Outil Cibles'!K$12*'Outil Cibles'!K$8,IF($A54=('Outil Cibles'!K$7+30),'Outil Cibles'!K$13*'Outil Cibles'!K$8,IF($A54=('Outil Cibles'!K$7+40),'Outil Cibles'!K$14*'Outil Cibles'!K$8,0))))</f>
        <v>0</v>
      </c>
      <c r="J54">
        <f>IF($A54='Outil Cibles'!L$7,'Outil Cibles'!L$11*'Outil Cibles'!L$8,IF($A54=('Outil Cibles'!L$7+20),'Outil Cibles'!L$12*'Outil Cibles'!L$8,IF($A54=('Outil Cibles'!L$7+30),'Outil Cibles'!L$13*'Outil Cibles'!L$8,IF($A54=('Outil Cibles'!L$7+40),'Outil Cibles'!L$14*'Outil Cibles'!L$8,0))))</f>
        <v>0</v>
      </c>
      <c r="K54">
        <f>IF($A54='Outil Cibles'!M$7,'Outil Cibles'!M$11*'Outil Cibles'!M$8,IF($A54=('Outil Cibles'!M$7+20),'Outil Cibles'!M$12*'Outil Cibles'!M$8,IF($A54=('Outil Cibles'!M$7+30),'Outil Cibles'!M$13*'Outil Cibles'!M$8,IF($A54=('Outil Cibles'!M$7+40),'Outil Cibles'!M$14*'Outil Cibles'!M$8,0))))</f>
        <v>0</v>
      </c>
      <c r="L54">
        <f t="shared" si="1"/>
        <v>0</v>
      </c>
      <c r="N54">
        <v>2071</v>
      </c>
      <c r="O54">
        <f>IF(N54='Outil Cibles'!$Q$7, 'Outil Cibles'!$Q$18, 0)</f>
        <v>0</v>
      </c>
      <c r="P54">
        <f>IF(N54='Outil Cibles'!$R$7, 'Outil Cibles'!$R$18, 0)</f>
        <v>0</v>
      </c>
      <c r="Q54">
        <f>IF(N54='Outil Cibles'!$S$7, 'Outil Cibles'!$S$18, 0)</f>
        <v>0</v>
      </c>
      <c r="R54">
        <f>IF(N54='Outil Cibles'!$T$7, 'Outil Cibles'!$T$18, 0)</f>
        <v>0</v>
      </c>
      <c r="S54">
        <f>IF(N54='Outil Cibles'!$U$7, 'Outil Cibles'!$U$18, 0)</f>
        <v>0</v>
      </c>
      <c r="T54">
        <f>IF(N54='Outil Cibles'!$V$7, 'Outil Cibles'!$V$18, 0)</f>
        <v>0</v>
      </c>
      <c r="U54">
        <f>IF(N54='Outil Cibles'!$W$7, 'Outil Cibles'!$W$18, 0)</f>
        <v>0</v>
      </c>
      <c r="V54">
        <f>IF(N54='Outil Cibles'!$X$7, 'Outil Cibles'!$X$18, 0)</f>
        <v>0</v>
      </c>
      <c r="W54">
        <f>IF(N54='Outil Cibles'!$Y$7, 'Outil Cibles'!$Y$18, 0)</f>
        <v>0</v>
      </c>
      <c r="X54">
        <f>IF(N54='Outil Cibles'!$Z$7, 'Outil Cibles'!$Z$18, 0)</f>
        <v>0</v>
      </c>
      <c r="Y54">
        <f t="shared" si="2"/>
        <v>0</v>
      </c>
      <c r="AA54">
        <f>IF($A54='Outil Cibles'!D$7,'Outil Cibles'!D$11*'Outil Cibles'!D$8,0)</f>
        <v>0</v>
      </c>
      <c r="AC54">
        <f>IF($A54=('Outil Cibles'!D$7+20),'Outil Cibles'!D$12*'Outil Cibles'!D$8,0)</f>
        <v>0</v>
      </c>
      <c r="AE54">
        <f>IF($A54=('Outil Cibles'!D$7+30),'Outil Cibles'!D$13*'Outil Cibles'!D$8,0)</f>
        <v>0</v>
      </c>
      <c r="AG54">
        <f>IF($A54=('Outil Cibles'!D$7+40),'Outil Cibles'!D$14*'Outil Cibles'!D$8,0)</f>
        <v>0</v>
      </c>
    </row>
    <row r="55" spans="1:33" x14ac:dyDescent="0.3">
      <c r="A55">
        <v>2072</v>
      </c>
      <c r="B55">
        <f>IF($A55='Outil Cibles'!D$7,'Outil Cibles'!D$11*'Outil Cibles'!D$8,IF($A55=('Outil Cibles'!D$7+20),'Outil Cibles'!D$12*'Outil Cibles'!D$8,IF($A55=('Outil Cibles'!D$7+30),'Outil Cibles'!D$13*'Outil Cibles'!D$8,IF($A55=('Outil Cibles'!D$7+40),'Outil Cibles'!D$14*'Outil Cibles'!D$8,0))))</f>
        <v>0</v>
      </c>
      <c r="C55">
        <f>IF($A55='Outil Cibles'!E$7,'Outil Cibles'!E$11*'Outil Cibles'!E$8,IF($A55=('Outil Cibles'!E$7+20),'Outil Cibles'!E$12*'Outil Cibles'!E$8,IF($A55=('Outil Cibles'!E$7+30),'Outil Cibles'!E$13*'Outil Cibles'!E$8,IF($A55=('Outil Cibles'!E$7+40),'Outil Cibles'!E$14*'Outil Cibles'!E$8,0))))</f>
        <v>0</v>
      </c>
      <c r="D55">
        <f>IF($A55='Outil Cibles'!F$7,'Outil Cibles'!F$11*'Outil Cibles'!F$8,IF($A55=('Outil Cibles'!F$7+20),'Outil Cibles'!F$12*'Outil Cibles'!F$8,IF($A55=('Outil Cibles'!F$7+30),'Outil Cibles'!F$13*'Outil Cibles'!F$8,IF($A55=('Outil Cibles'!F$7+40),'Outil Cibles'!F$14*'Outil Cibles'!F$8,0))))</f>
        <v>0</v>
      </c>
      <c r="E55">
        <f>IF($A55='Outil Cibles'!G$7,'Outil Cibles'!G$11*'Outil Cibles'!G$8,IF($A55=('Outil Cibles'!G$7+20),'Outil Cibles'!G$12*'Outil Cibles'!G$8,IF($A55=('Outil Cibles'!G$7+30),'Outil Cibles'!G$13*'Outil Cibles'!G$8,IF($A55=('Outil Cibles'!G$7+40),'Outil Cibles'!G$14*'Outil Cibles'!G$8,0))))</f>
        <v>0</v>
      </c>
      <c r="F55">
        <f>IF($A55='Outil Cibles'!H$7,'Outil Cibles'!H$11*'Outil Cibles'!H$8,IF($A55=('Outil Cibles'!H$7+20),'Outil Cibles'!H$12*'Outil Cibles'!H$8,IF($A55=('Outil Cibles'!H$7+30),'Outil Cibles'!H$13*'Outil Cibles'!H$8,IF($A55=('Outil Cibles'!H$7+40),'Outil Cibles'!H$14*'Outil Cibles'!H$8,0))))</f>
        <v>0</v>
      </c>
      <c r="G55">
        <f>IF($A55='Outil Cibles'!I$7,'Outil Cibles'!I$11*'Outil Cibles'!I$8,IF($A55=('Outil Cibles'!I$7+20),'Outil Cibles'!I$12*'Outil Cibles'!I$8,IF($A55=('Outil Cibles'!I$7+30),'Outil Cibles'!I$13*'Outil Cibles'!I$8,IF($A55=('Outil Cibles'!I$7+40),'Outil Cibles'!I$14*'Outil Cibles'!I$8,0))))</f>
        <v>0</v>
      </c>
      <c r="H55">
        <f>IF($A55='Outil Cibles'!J$7,'Outil Cibles'!J$11*'Outil Cibles'!J$8,IF($A55=('Outil Cibles'!J$7+20),'Outil Cibles'!J$12*'Outil Cibles'!J$8,IF($A55=('Outil Cibles'!J$7+30),'Outil Cibles'!J$13*'Outil Cibles'!J$8,IF($A55=('Outil Cibles'!J$7+40),'Outil Cibles'!J$14*'Outil Cibles'!J$8,0))))</f>
        <v>0</v>
      </c>
      <c r="I55">
        <f>IF($A55='Outil Cibles'!K$7,'Outil Cibles'!K$11*'Outil Cibles'!K$8,IF($A55=('Outil Cibles'!K$7+20),'Outil Cibles'!K$12*'Outil Cibles'!K$8,IF($A55=('Outil Cibles'!K$7+30),'Outil Cibles'!K$13*'Outil Cibles'!K$8,IF($A55=('Outil Cibles'!K$7+40),'Outil Cibles'!K$14*'Outil Cibles'!K$8,0))))</f>
        <v>0</v>
      </c>
      <c r="J55">
        <f>IF($A55='Outil Cibles'!L$7,'Outil Cibles'!L$11*'Outil Cibles'!L$8,IF($A55=('Outil Cibles'!L$7+20),'Outil Cibles'!L$12*'Outil Cibles'!L$8,IF($A55=('Outil Cibles'!L$7+30),'Outil Cibles'!L$13*'Outil Cibles'!L$8,IF($A55=('Outil Cibles'!L$7+40),'Outil Cibles'!L$14*'Outil Cibles'!L$8,0))))</f>
        <v>0</v>
      </c>
      <c r="K55">
        <f>IF($A55='Outil Cibles'!M$7,'Outil Cibles'!M$11*'Outil Cibles'!M$8,IF($A55=('Outil Cibles'!M$7+20),'Outil Cibles'!M$12*'Outil Cibles'!M$8,IF($A55=('Outil Cibles'!M$7+30),'Outil Cibles'!M$13*'Outil Cibles'!M$8,IF($A55=('Outil Cibles'!M$7+40),'Outil Cibles'!M$14*'Outil Cibles'!M$8,0))))</f>
        <v>0</v>
      </c>
      <c r="L55">
        <f t="shared" si="1"/>
        <v>0</v>
      </c>
      <c r="N55">
        <v>2072</v>
      </c>
      <c r="O55">
        <f>IF(N55='Outil Cibles'!$Q$7, 'Outil Cibles'!$Q$18, 0)</f>
        <v>0</v>
      </c>
      <c r="P55">
        <f>IF(N55='Outil Cibles'!$R$7, 'Outil Cibles'!$R$18, 0)</f>
        <v>0</v>
      </c>
      <c r="Q55">
        <f>IF(N55='Outil Cibles'!$S$7, 'Outil Cibles'!$S$18, 0)</f>
        <v>0</v>
      </c>
      <c r="R55">
        <f>IF(N55='Outil Cibles'!$T$7, 'Outil Cibles'!$T$18, 0)</f>
        <v>0</v>
      </c>
      <c r="S55">
        <f>IF(N55='Outil Cibles'!$U$7, 'Outil Cibles'!$U$18, 0)</f>
        <v>0</v>
      </c>
      <c r="T55">
        <f>IF(N55='Outil Cibles'!$V$7, 'Outil Cibles'!$V$18, 0)</f>
        <v>0</v>
      </c>
      <c r="U55">
        <f>IF(N55='Outil Cibles'!$W$7, 'Outil Cibles'!$W$18, 0)</f>
        <v>0</v>
      </c>
      <c r="V55">
        <f>IF(N55='Outil Cibles'!$X$7, 'Outil Cibles'!$X$18, 0)</f>
        <v>0</v>
      </c>
      <c r="W55">
        <f>IF(N55='Outil Cibles'!$Y$7, 'Outil Cibles'!$Y$18, 0)</f>
        <v>0</v>
      </c>
      <c r="X55">
        <f>IF(N55='Outil Cibles'!$Z$7, 'Outil Cibles'!$Z$18, 0)</f>
        <v>0</v>
      </c>
      <c r="Y55">
        <f t="shared" si="2"/>
        <v>0</v>
      </c>
      <c r="AA55">
        <f>IF($A55='Outil Cibles'!D$7,'Outil Cibles'!D$11*'Outil Cibles'!D$8,0)</f>
        <v>0</v>
      </c>
      <c r="AC55">
        <f>IF($A55=('Outil Cibles'!D$7+20),'Outil Cibles'!D$12*'Outil Cibles'!D$8,0)</f>
        <v>0</v>
      </c>
      <c r="AE55">
        <f>IF($A55=('Outil Cibles'!D$7+30),'Outil Cibles'!D$13*'Outil Cibles'!D$8,0)</f>
        <v>0</v>
      </c>
      <c r="AG55">
        <f>IF($A55=('Outil Cibles'!D$7+40),'Outil Cibles'!D$14*'Outil Cibles'!D$8,0)</f>
        <v>0</v>
      </c>
    </row>
    <row r="56" spans="1:33" x14ac:dyDescent="0.3">
      <c r="A56" s="10">
        <v>2073</v>
      </c>
      <c r="B56">
        <f>IF($A56='Outil Cibles'!D$7,'Outil Cibles'!D$11*'Outil Cibles'!D$8,IF($A56=('Outil Cibles'!D$7+20),'Outil Cibles'!D$12*'Outil Cibles'!D$8,IF($A56=('Outil Cibles'!D$7+30),'Outil Cibles'!D$13*'Outil Cibles'!D$8,IF($A56=('Outil Cibles'!D$7+40),'Outil Cibles'!D$14*'Outil Cibles'!D$8,0))))</f>
        <v>0</v>
      </c>
      <c r="C56">
        <f>IF($A56='Outil Cibles'!E$7,'Outil Cibles'!E$11*'Outil Cibles'!E$8,IF($A56=('Outil Cibles'!E$7+20),'Outil Cibles'!E$12*'Outil Cibles'!E$8,IF($A56=('Outil Cibles'!E$7+30),'Outil Cibles'!E$13*'Outil Cibles'!E$8,IF($A56=('Outil Cibles'!E$7+40),'Outil Cibles'!E$14*'Outil Cibles'!E$8,0))))</f>
        <v>0</v>
      </c>
      <c r="D56">
        <f>IF($A56='Outil Cibles'!F$7,'Outil Cibles'!F$11*'Outil Cibles'!F$8,IF($A56=('Outil Cibles'!F$7+20),'Outil Cibles'!F$12*'Outil Cibles'!F$8,IF($A56=('Outil Cibles'!F$7+30),'Outil Cibles'!F$13*'Outil Cibles'!F$8,IF($A56=('Outil Cibles'!F$7+40),'Outil Cibles'!F$14*'Outil Cibles'!F$8,0))))</f>
        <v>0</v>
      </c>
      <c r="E56">
        <f>IF($A56='Outil Cibles'!G$7,'Outil Cibles'!G$11*'Outil Cibles'!G$8,IF($A56=('Outil Cibles'!G$7+20),'Outil Cibles'!G$12*'Outil Cibles'!G$8,IF($A56=('Outil Cibles'!G$7+30),'Outil Cibles'!G$13*'Outil Cibles'!G$8,IF($A56=('Outil Cibles'!G$7+40),'Outil Cibles'!G$14*'Outil Cibles'!G$8,0))))</f>
        <v>0</v>
      </c>
      <c r="F56">
        <f>IF($A56='Outil Cibles'!H$7,'Outil Cibles'!H$11*'Outil Cibles'!H$8,IF($A56=('Outil Cibles'!H$7+20),'Outil Cibles'!H$12*'Outil Cibles'!H$8,IF($A56=('Outil Cibles'!H$7+30),'Outil Cibles'!H$13*'Outil Cibles'!H$8,IF($A56=('Outil Cibles'!H$7+40),'Outil Cibles'!H$14*'Outil Cibles'!H$8,0))))</f>
        <v>0</v>
      </c>
      <c r="G56">
        <f>IF($A56='Outil Cibles'!I$7,'Outil Cibles'!I$11*'Outil Cibles'!I$8,IF($A56=('Outil Cibles'!I$7+20),'Outil Cibles'!I$12*'Outil Cibles'!I$8,IF($A56=('Outil Cibles'!I$7+30),'Outil Cibles'!I$13*'Outil Cibles'!I$8,IF($A56=('Outil Cibles'!I$7+40),'Outil Cibles'!I$14*'Outil Cibles'!I$8,0))))</f>
        <v>0</v>
      </c>
      <c r="H56">
        <f>IF($A56='Outil Cibles'!J$7,'Outil Cibles'!J$11*'Outil Cibles'!J$8,IF($A56=('Outil Cibles'!J$7+20),'Outil Cibles'!J$12*'Outil Cibles'!J$8,IF($A56=('Outil Cibles'!J$7+30),'Outil Cibles'!J$13*'Outil Cibles'!J$8,IF($A56=('Outil Cibles'!J$7+40),'Outil Cibles'!J$14*'Outil Cibles'!J$8,0))))</f>
        <v>0</v>
      </c>
      <c r="I56">
        <f>IF($A56='Outil Cibles'!K$7,'Outil Cibles'!K$11*'Outil Cibles'!K$8,IF($A56=('Outil Cibles'!K$7+20),'Outil Cibles'!K$12*'Outil Cibles'!K$8,IF($A56=('Outil Cibles'!K$7+30),'Outil Cibles'!K$13*'Outil Cibles'!K$8,IF($A56=('Outil Cibles'!K$7+40),'Outil Cibles'!K$14*'Outil Cibles'!K$8,0))))</f>
        <v>0</v>
      </c>
      <c r="J56">
        <f>IF($A56='Outil Cibles'!L$7,'Outil Cibles'!L$11*'Outil Cibles'!L$8,IF($A56=('Outil Cibles'!L$7+20),'Outil Cibles'!L$12*'Outil Cibles'!L$8,IF($A56=('Outil Cibles'!L$7+30),'Outil Cibles'!L$13*'Outil Cibles'!L$8,IF($A56=('Outil Cibles'!L$7+40),'Outil Cibles'!L$14*'Outil Cibles'!L$8,0))))</f>
        <v>0</v>
      </c>
      <c r="K56">
        <f>IF($A56='Outil Cibles'!M$7,'Outil Cibles'!M$11*'Outil Cibles'!M$8,IF($A56=('Outil Cibles'!M$7+20),'Outil Cibles'!M$12*'Outil Cibles'!M$8,IF($A56=('Outil Cibles'!M$7+30),'Outil Cibles'!M$13*'Outil Cibles'!M$8,IF($A56=('Outil Cibles'!M$7+40),'Outil Cibles'!M$14*'Outil Cibles'!M$8,0))))</f>
        <v>0</v>
      </c>
      <c r="L56">
        <f t="shared" si="1"/>
        <v>0</v>
      </c>
      <c r="N56" s="10">
        <v>2073</v>
      </c>
      <c r="O56">
        <f>IF(N56='Outil Cibles'!$Q$7, 'Outil Cibles'!$Q$18, 0)</f>
        <v>0</v>
      </c>
      <c r="P56">
        <f>IF(N56='Outil Cibles'!$R$7, 'Outil Cibles'!$R$18, 0)</f>
        <v>0</v>
      </c>
      <c r="Q56">
        <f>IF(N56='Outil Cibles'!$S$7, 'Outil Cibles'!$S$18, 0)</f>
        <v>0</v>
      </c>
      <c r="R56">
        <f>IF(N56='Outil Cibles'!$T$7, 'Outil Cibles'!$T$18, 0)</f>
        <v>0</v>
      </c>
      <c r="S56">
        <f>IF(N56='Outil Cibles'!$U$7, 'Outil Cibles'!$U$18, 0)</f>
        <v>0</v>
      </c>
      <c r="T56">
        <f>IF(N56='Outil Cibles'!$V$7, 'Outil Cibles'!$V$18, 0)</f>
        <v>0</v>
      </c>
      <c r="U56">
        <f>IF(N56='Outil Cibles'!$W$7, 'Outil Cibles'!$W$18, 0)</f>
        <v>0</v>
      </c>
      <c r="V56">
        <f>IF(N56='Outil Cibles'!$X$7, 'Outil Cibles'!$X$18, 0)</f>
        <v>0</v>
      </c>
      <c r="W56">
        <f>IF(N56='Outil Cibles'!$Y$7, 'Outil Cibles'!$Y$18, 0)</f>
        <v>0</v>
      </c>
      <c r="X56">
        <f>IF(N56='Outil Cibles'!$Z$7, 'Outil Cibles'!$Z$18, 0)</f>
        <v>0</v>
      </c>
      <c r="Y56">
        <f t="shared" si="2"/>
        <v>0</v>
      </c>
      <c r="AA56">
        <f>IF($A56='Outil Cibles'!D$7,'Outil Cibles'!D$11*'Outil Cibles'!D$8,0)</f>
        <v>0</v>
      </c>
      <c r="AC56">
        <f>IF($A56=('Outil Cibles'!D$7+20),'Outil Cibles'!D$12*'Outil Cibles'!D$8,0)</f>
        <v>0</v>
      </c>
      <c r="AE56">
        <f>IF($A56=('Outil Cibles'!D$7+30),'Outil Cibles'!D$13*'Outil Cibles'!D$8,0)</f>
        <v>0</v>
      </c>
      <c r="AG56">
        <f>IF($A56=('Outil Cibles'!D$7+40),'Outil Cibles'!D$14*'Outil Cibles'!D$8,0)</f>
        <v>0</v>
      </c>
    </row>
    <row r="57" spans="1:33" x14ac:dyDescent="0.3">
      <c r="A57">
        <v>2074</v>
      </c>
      <c r="B57">
        <f>IF($A57='Outil Cibles'!D$7,'Outil Cibles'!D$11*'Outil Cibles'!D$8,IF($A57=('Outil Cibles'!D$7+20),'Outil Cibles'!D$12*'Outil Cibles'!D$8,IF($A57=('Outil Cibles'!D$7+30),'Outil Cibles'!D$13*'Outil Cibles'!D$8,IF($A57=('Outil Cibles'!D$7+40),'Outil Cibles'!D$14*'Outil Cibles'!D$8,0))))</f>
        <v>0</v>
      </c>
      <c r="C57">
        <f>IF($A57='Outil Cibles'!E$7,'Outil Cibles'!E$11*'Outil Cibles'!E$8,IF($A57=('Outil Cibles'!E$7+20),'Outil Cibles'!E$12*'Outil Cibles'!E$8,IF($A57=('Outil Cibles'!E$7+30),'Outil Cibles'!E$13*'Outil Cibles'!E$8,IF($A57=('Outil Cibles'!E$7+40),'Outil Cibles'!E$14*'Outil Cibles'!E$8,0))))</f>
        <v>0</v>
      </c>
      <c r="D57">
        <f>IF($A57='Outil Cibles'!F$7,'Outil Cibles'!F$11*'Outil Cibles'!F$8,IF($A57=('Outil Cibles'!F$7+20),'Outil Cibles'!F$12*'Outil Cibles'!F$8,IF($A57=('Outil Cibles'!F$7+30),'Outil Cibles'!F$13*'Outil Cibles'!F$8,IF($A57=('Outil Cibles'!F$7+40),'Outil Cibles'!F$14*'Outil Cibles'!F$8,0))))</f>
        <v>0</v>
      </c>
      <c r="E57">
        <f>IF($A57='Outil Cibles'!G$7,'Outil Cibles'!G$11*'Outil Cibles'!G$8,IF($A57=('Outil Cibles'!G$7+20),'Outil Cibles'!G$12*'Outil Cibles'!G$8,IF($A57=('Outil Cibles'!G$7+30),'Outil Cibles'!G$13*'Outil Cibles'!G$8,IF($A57=('Outil Cibles'!G$7+40),'Outil Cibles'!G$14*'Outil Cibles'!G$8,0))))</f>
        <v>0</v>
      </c>
      <c r="F57">
        <f>IF($A57='Outil Cibles'!H$7,'Outil Cibles'!H$11*'Outil Cibles'!H$8,IF($A57=('Outil Cibles'!H$7+20),'Outil Cibles'!H$12*'Outil Cibles'!H$8,IF($A57=('Outil Cibles'!H$7+30),'Outil Cibles'!H$13*'Outil Cibles'!H$8,IF($A57=('Outil Cibles'!H$7+40),'Outil Cibles'!H$14*'Outil Cibles'!H$8,0))))</f>
        <v>0</v>
      </c>
      <c r="G57">
        <f>IF($A57='Outil Cibles'!I$7,'Outil Cibles'!I$11*'Outil Cibles'!I$8,IF($A57=('Outil Cibles'!I$7+20),'Outil Cibles'!I$12*'Outil Cibles'!I$8,IF($A57=('Outil Cibles'!I$7+30),'Outil Cibles'!I$13*'Outil Cibles'!I$8,IF($A57=('Outil Cibles'!I$7+40),'Outil Cibles'!I$14*'Outil Cibles'!I$8,0))))</f>
        <v>0</v>
      </c>
      <c r="H57">
        <f>IF($A57='Outil Cibles'!J$7,'Outil Cibles'!J$11*'Outil Cibles'!J$8,IF($A57=('Outil Cibles'!J$7+20),'Outil Cibles'!J$12*'Outil Cibles'!J$8,IF($A57=('Outil Cibles'!J$7+30),'Outil Cibles'!J$13*'Outil Cibles'!J$8,IF($A57=('Outil Cibles'!J$7+40),'Outil Cibles'!J$14*'Outil Cibles'!J$8,0))))</f>
        <v>0</v>
      </c>
      <c r="I57">
        <f>IF($A57='Outil Cibles'!K$7,'Outil Cibles'!K$11*'Outil Cibles'!K$8,IF($A57=('Outil Cibles'!K$7+20),'Outil Cibles'!K$12*'Outil Cibles'!K$8,IF($A57=('Outil Cibles'!K$7+30),'Outil Cibles'!K$13*'Outil Cibles'!K$8,IF($A57=('Outil Cibles'!K$7+40),'Outil Cibles'!K$14*'Outil Cibles'!K$8,0))))</f>
        <v>0</v>
      </c>
      <c r="J57">
        <f>IF($A57='Outil Cibles'!L$7,'Outil Cibles'!L$11*'Outil Cibles'!L$8,IF($A57=('Outil Cibles'!L$7+20),'Outil Cibles'!L$12*'Outil Cibles'!L$8,IF($A57=('Outil Cibles'!L$7+30),'Outil Cibles'!L$13*'Outil Cibles'!L$8,IF($A57=('Outil Cibles'!L$7+40),'Outil Cibles'!L$14*'Outil Cibles'!L$8,0))))</f>
        <v>0</v>
      </c>
      <c r="K57">
        <f>IF($A57='Outil Cibles'!M$7,'Outil Cibles'!M$11*'Outil Cibles'!M$8,IF($A57=('Outil Cibles'!M$7+20),'Outil Cibles'!M$12*'Outil Cibles'!M$8,IF($A57=('Outil Cibles'!M$7+30),'Outil Cibles'!M$13*'Outil Cibles'!M$8,IF($A57=('Outil Cibles'!M$7+40),'Outil Cibles'!M$14*'Outil Cibles'!M$8,0))))</f>
        <v>0</v>
      </c>
      <c r="L57">
        <f t="shared" si="1"/>
        <v>0</v>
      </c>
      <c r="N57">
        <v>2074</v>
      </c>
      <c r="O57">
        <f>IF(N57='Outil Cibles'!$Q$7, 'Outil Cibles'!$Q$18, 0)</f>
        <v>0</v>
      </c>
      <c r="P57">
        <f>IF(N57='Outil Cibles'!$R$7, 'Outil Cibles'!$R$18, 0)</f>
        <v>0</v>
      </c>
      <c r="Q57">
        <f>IF(N57='Outil Cibles'!$S$7, 'Outil Cibles'!$S$18, 0)</f>
        <v>0</v>
      </c>
      <c r="R57">
        <f>IF(N57='Outil Cibles'!$T$7, 'Outil Cibles'!$T$18, 0)</f>
        <v>0</v>
      </c>
      <c r="S57">
        <f>IF(N57='Outil Cibles'!$U$7, 'Outil Cibles'!$U$18, 0)</f>
        <v>0</v>
      </c>
      <c r="T57">
        <f>IF(N57='Outil Cibles'!$V$7, 'Outil Cibles'!$V$18, 0)</f>
        <v>0</v>
      </c>
      <c r="U57">
        <f>IF(N57='Outil Cibles'!$W$7, 'Outil Cibles'!$W$18, 0)</f>
        <v>0</v>
      </c>
      <c r="V57">
        <f>IF(N57='Outil Cibles'!$X$7, 'Outil Cibles'!$X$18, 0)</f>
        <v>0</v>
      </c>
      <c r="W57">
        <f>IF(N57='Outil Cibles'!$Y$7, 'Outil Cibles'!$Y$18, 0)</f>
        <v>0</v>
      </c>
      <c r="X57">
        <f>IF(N57='Outil Cibles'!$Z$7, 'Outil Cibles'!$Z$18, 0)</f>
        <v>0</v>
      </c>
      <c r="Y57">
        <f t="shared" si="2"/>
        <v>0</v>
      </c>
      <c r="AA57">
        <f>IF($A57='Outil Cibles'!D$7,'Outil Cibles'!D$11*'Outil Cibles'!D$8,0)</f>
        <v>0</v>
      </c>
      <c r="AC57">
        <f>IF($A57=('Outil Cibles'!D$7+20),'Outil Cibles'!D$12*'Outil Cibles'!D$8,0)</f>
        <v>0</v>
      </c>
      <c r="AE57">
        <f>IF($A57=('Outil Cibles'!D$7+30),'Outil Cibles'!D$13*'Outil Cibles'!D$8,0)</f>
        <v>0</v>
      </c>
      <c r="AG57">
        <f>IF($A57=('Outil Cibles'!D$7+40),'Outil Cibles'!D$14*'Outil Cibles'!D$8,0)</f>
        <v>0</v>
      </c>
    </row>
    <row r="58" spans="1:33" x14ac:dyDescent="0.3">
      <c r="A58">
        <v>2075</v>
      </c>
      <c r="B58">
        <f>IF($A58='Outil Cibles'!D$7,'Outil Cibles'!D$11*'Outil Cibles'!D$8,IF($A58=('Outil Cibles'!D$7+20),'Outil Cibles'!D$12*'Outil Cibles'!D$8,IF($A58=('Outil Cibles'!D$7+30),'Outil Cibles'!D$13*'Outil Cibles'!D$8,IF($A58=('Outil Cibles'!D$7+40),'Outil Cibles'!D$14*'Outil Cibles'!D$8,0))))</f>
        <v>0</v>
      </c>
      <c r="C58">
        <f>IF($A58='Outil Cibles'!E$7,'Outil Cibles'!E$11*'Outil Cibles'!E$8,IF($A58=('Outil Cibles'!E$7+20),'Outil Cibles'!E$12*'Outil Cibles'!E$8,IF($A58=('Outil Cibles'!E$7+30),'Outil Cibles'!E$13*'Outil Cibles'!E$8,IF($A58=('Outil Cibles'!E$7+40),'Outil Cibles'!E$14*'Outil Cibles'!E$8,0))))</f>
        <v>0</v>
      </c>
      <c r="D58">
        <f>IF($A58='Outil Cibles'!F$7,'Outil Cibles'!F$11*'Outil Cibles'!F$8,IF($A58=('Outil Cibles'!F$7+20),'Outil Cibles'!F$12*'Outil Cibles'!F$8,IF($A58=('Outil Cibles'!F$7+30),'Outil Cibles'!F$13*'Outil Cibles'!F$8,IF($A58=('Outil Cibles'!F$7+40),'Outil Cibles'!F$14*'Outil Cibles'!F$8,0))))</f>
        <v>0</v>
      </c>
      <c r="E58">
        <f>IF($A58='Outil Cibles'!G$7,'Outil Cibles'!G$11*'Outil Cibles'!G$8,IF($A58=('Outil Cibles'!G$7+20),'Outil Cibles'!G$12*'Outil Cibles'!G$8,IF($A58=('Outil Cibles'!G$7+30),'Outil Cibles'!G$13*'Outil Cibles'!G$8,IF($A58=('Outil Cibles'!G$7+40),'Outil Cibles'!G$14*'Outil Cibles'!G$8,0))))</f>
        <v>0</v>
      </c>
      <c r="F58">
        <f>IF($A58='Outil Cibles'!H$7,'Outil Cibles'!H$11*'Outil Cibles'!H$8,IF($A58=('Outil Cibles'!H$7+20),'Outil Cibles'!H$12*'Outil Cibles'!H$8,IF($A58=('Outil Cibles'!H$7+30),'Outil Cibles'!H$13*'Outil Cibles'!H$8,IF($A58=('Outil Cibles'!H$7+40),'Outil Cibles'!H$14*'Outil Cibles'!H$8,0))))</f>
        <v>0</v>
      </c>
      <c r="G58">
        <f>IF($A58='Outil Cibles'!I$7,'Outil Cibles'!I$11*'Outil Cibles'!I$8,IF($A58=('Outil Cibles'!I$7+20),'Outil Cibles'!I$12*'Outil Cibles'!I$8,IF($A58=('Outil Cibles'!I$7+30),'Outil Cibles'!I$13*'Outil Cibles'!I$8,IF($A58=('Outil Cibles'!I$7+40),'Outil Cibles'!I$14*'Outil Cibles'!I$8,0))))</f>
        <v>0</v>
      </c>
      <c r="H58">
        <f>IF($A58='Outil Cibles'!J$7,'Outil Cibles'!J$11*'Outil Cibles'!J$8,IF($A58=('Outil Cibles'!J$7+20),'Outil Cibles'!J$12*'Outil Cibles'!J$8,IF($A58=('Outil Cibles'!J$7+30),'Outil Cibles'!J$13*'Outil Cibles'!J$8,IF($A58=('Outil Cibles'!J$7+40),'Outil Cibles'!J$14*'Outil Cibles'!J$8,0))))</f>
        <v>0</v>
      </c>
      <c r="I58">
        <f>IF($A58='Outil Cibles'!K$7,'Outil Cibles'!K$11*'Outil Cibles'!K$8,IF($A58=('Outil Cibles'!K$7+20),'Outil Cibles'!K$12*'Outil Cibles'!K$8,IF($A58=('Outil Cibles'!K$7+30),'Outil Cibles'!K$13*'Outil Cibles'!K$8,IF($A58=('Outil Cibles'!K$7+40),'Outil Cibles'!K$14*'Outil Cibles'!K$8,0))))</f>
        <v>0</v>
      </c>
      <c r="J58">
        <f>IF($A58='Outil Cibles'!L$7,'Outil Cibles'!L$11*'Outil Cibles'!L$8,IF($A58=('Outil Cibles'!L$7+20),'Outil Cibles'!L$12*'Outil Cibles'!L$8,IF($A58=('Outil Cibles'!L$7+30),'Outil Cibles'!L$13*'Outil Cibles'!L$8,IF($A58=('Outil Cibles'!L$7+40),'Outil Cibles'!L$14*'Outil Cibles'!L$8,0))))</f>
        <v>0</v>
      </c>
      <c r="K58">
        <f>IF($A58='Outil Cibles'!M$7,'Outil Cibles'!M$11*'Outil Cibles'!M$8,IF($A58=('Outil Cibles'!M$7+20),'Outil Cibles'!M$12*'Outil Cibles'!M$8,IF($A58=('Outil Cibles'!M$7+30),'Outil Cibles'!M$13*'Outil Cibles'!M$8,IF($A58=('Outil Cibles'!M$7+40),'Outil Cibles'!M$14*'Outil Cibles'!M$8,0))))</f>
        <v>0</v>
      </c>
      <c r="L58">
        <f t="shared" si="1"/>
        <v>0</v>
      </c>
      <c r="N58">
        <v>2075</v>
      </c>
      <c r="O58">
        <f>IF(N58='Outil Cibles'!$Q$7, 'Outil Cibles'!$Q$18, 0)</f>
        <v>0</v>
      </c>
      <c r="P58">
        <f>IF(N58='Outil Cibles'!$R$7, 'Outil Cibles'!$R$18, 0)</f>
        <v>0</v>
      </c>
      <c r="Q58">
        <f>IF(N58='Outil Cibles'!$S$7, 'Outil Cibles'!$S$18, 0)</f>
        <v>0</v>
      </c>
      <c r="R58">
        <f>IF(N58='Outil Cibles'!$T$7, 'Outil Cibles'!$T$18, 0)</f>
        <v>0</v>
      </c>
      <c r="S58">
        <f>IF(N58='Outil Cibles'!$U$7, 'Outil Cibles'!$U$18, 0)</f>
        <v>0</v>
      </c>
      <c r="T58">
        <f>IF(N58='Outil Cibles'!$V$7, 'Outil Cibles'!$V$18, 0)</f>
        <v>0</v>
      </c>
      <c r="U58">
        <f>IF(N58='Outil Cibles'!$W$7, 'Outil Cibles'!$W$18, 0)</f>
        <v>0</v>
      </c>
      <c r="V58">
        <f>IF(N58='Outil Cibles'!$X$7, 'Outil Cibles'!$X$18, 0)</f>
        <v>0</v>
      </c>
      <c r="W58">
        <f>IF(N58='Outil Cibles'!$Y$7, 'Outil Cibles'!$Y$18, 0)</f>
        <v>0</v>
      </c>
      <c r="X58">
        <f>IF(N58='Outil Cibles'!$Z$7, 'Outil Cibles'!$Z$18, 0)</f>
        <v>0</v>
      </c>
      <c r="Y58">
        <f t="shared" si="2"/>
        <v>0</v>
      </c>
      <c r="AA58">
        <f>IF($A58='Outil Cibles'!D$7,'Outil Cibles'!D$11*'Outil Cibles'!D$8,0)</f>
        <v>0</v>
      </c>
      <c r="AC58">
        <f>IF($A58=('Outil Cibles'!D$7+20),'Outil Cibles'!D$12*'Outil Cibles'!D$8,0)</f>
        <v>0</v>
      </c>
      <c r="AE58">
        <f>IF($A58=('Outil Cibles'!D$7+30),'Outil Cibles'!D$13*'Outil Cibles'!D$8,0)</f>
        <v>0</v>
      </c>
      <c r="AG58">
        <f>IF($A58=('Outil Cibles'!D$7+40),'Outil Cibles'!D$14*'Outil Cibles'!D$8,0)</f>
        <v>0</v>
      </c>
    </row>
    <row r="59" spans="1:33" x14ac:dyDescent="0.3">
      <c r="A59">
        <v>2076</v>
      </c>
      <c r="B59">
        <f>IF($A59='Outil Cibles'!D$7,'Outil Cibles'!D$11*'Outil Cibles'!D$8,IF($A59=('Outil Cibles'!D$7+20),'Outil Cibles'!D$12*'Outil Cibles'!D$8,IF($A59=('Outil Cibles'!D$7+30),'Outil Cibles'!D$13*'Outil Cibles'!D$8,IF($A59=('Outil Cibles'!D$7+40),'Outil Cibles'!D$14*'Outil Cibles'!D$8,0))))</f>
        <v>0</v>
      </c>
      <c r="C59">
        <f>IF($A59='Outil Cibles'!E$7,'Outil Cibles'!E$11*'Outil Cibles'!E$8,IF($A59=('Outil Cibles'!E$7+20),'Outil Cibles'!E$12*'Outil Cibles'!E$8,IF($A59=('Outil Cibles'!E$7+30),'Outil Cibles'!E$13*'Outil Cibles'!E$8,IF($A59=('Outil Cibles'!E$7+40),'Outil Cibles'!E$14*'Outil Cibles'!E$8,0))))</f>
        <v>0</v>
      </c>
      <c r="D59">
        <f>IF($A59='Outil Cibles'!F$7,'Outil Cibles'!F$11*'Outil Cibles'!F$8,IF($A59=('Outil Cibles'!F$7+20),'Outil Cibles'!F$12*'Outil Cibles'!F$8,IF($A59=('Outil Cibles'!F$7+30),'Outil Cibles'!F$13*'Outil Cibles'!F$8,IF($A59=('Outil Cibles'!F$7+40),'Outil Cibles'!F$14*'Outil Cibles'!F$8,0))))</f>
        <v>0</v>
      </c>
      <c r="E59">
        <f>IF($A59='Outil Cibles'!G$7,'Outil Cibles'!G$11*'Outil Cibles'!G$8,IF($A59=('Outil Cibles'!G$7+20),'Outil Cibles'!G$12*'Outil Cibles'!G$8,IF($A59=('Outil Cibles'!G$7+30),'Outil Cibles'!G$13*'Outil Cibles'!G$8,IF($A59=('Outil Cibles'!G$7+40),'Outil Cibles'!G$14*'Outil Cibles'!G$8,0))))</f>
        <v>0</v>
      </c>
      <c r="F59">
        <f>IF($A59='Outil Cibles'!H$7,'Outil Cibles'!H$11*'Outil Cibles'!H$8,IF($A59=('Outil Cibles'!H$7+20),'Outil Cibles'!H$12*'Outil Cibles'!H$8,IF($A59=('Outil Cibles'!H$7+30),'Outil Cibles'!H$13*'Outil Cibles'!H$8,IF($A59=('Outil Cibles'!H$7+40),'Outil Cibles'!H$14*'Outil Cibles'!H$8,0))))</f>
        <v>0</v>
      </c>
      <c r="G59">
        <f>IF($A59='Outil Cibles'!I$7,'Outil Cibles'!I$11*'Outil Cibles'!I$8,IF($A59=('Outil Cibles'!I$7+20),'Outil Cibles'!I$12*'Outil Cibles'!I$8,IF($A59=('Outil Cibles'!I$7+30),'Outil Cibles'!I$13*'Outil Cibles'!I$8,IF($A59=('Outil Cibles'!I$7+40),'Outil Cibles'!I$14*'Outil Cibles'!I$8,0))))</f>
        <v>0</v>
      </c>
      <c r="H59">
        <f>IF($A59='Outil Cibles'!J$7,'Outil Cibles'!J$11*'Outil Cibles'!J$8,IF($A59=('Outil Cibles'!J$7+20),'Outil Cibles'!J$12*'Outil Cibles'!J$8,IF($A59=('Outil Cibles'!J$7+30),'Outil Cibles'!J$13*'Outil Cibles'!J$8,IF($A59=('Outil Cibles'!J$7+40),'Outil Cibles'!J$14*'Outil Cibles'!J$8,0))))</f>
        <v>0</v>
      </c>
      <c r="I59">
        <f>IF($A59='Outil Cibles'!K$7,'Outil Cibles'!K$11*'Outil Cibles'!K$8,IF($A59=('Outil Cibles'!K$7+20),'Outil Cibles'!K$12*'Outil Cibles'!K$8,IF($A59=('Outil Cibles'!K$7+30),'Outil Cibles'!K$13*'Outil Cibles'!K$8,IF($A59=('Outil Cibles'!K$7+40),'Outil Cibles'!K$14*'Outil Cibles'!K$8,0))))</f>
        <v>0</v>
      </c>
      <c r="J59">
        <f>IF($A59='Outil Cibles'!L$7,'Outil Cibles'!L$11*'Outil Cibles'!L$8,IF($A59=('Outil Cibles'!L$7+20),'Outil Cibles'!L$12*'Outil Cibles'!L$8,IF($A59=('Outil Cibles'!L$7+30),'Outil Cibles'!L$13*'Outil Cibles'!L$8,IF($A59=('Outil Cibles'!L$7+40),'Outil Cibles'!L$14*'Outil Cibles'!L$8,0))))</f>
        <v>0</v>
      </c>
      <c r="K59">
        <f>IF($A59='Outil Cibles'!M$7,'Outil Cibles'!M$11*'Outil Cibles'!M$8,IF($A59=('Outil Cibles'!M$7+20),'Outil Cibles'!M$12*'Outil Cibles'!M$8,IF($A59=('Outil Cibles'!M$7+30),'Outil Cibles'!M$13*'Outil Cibles'!M$8,IF($A59=('Outil Cibles'!M$7+40),'Outil Cibles'!M$14*'Outil Cibles'!M$8,0))))</f>
        <v>0</v>
      </c>
      <c r="L59">
        <f t="shared" si="1"/>
        <v>0</v>
      </c>
      <c r="N59">
        <v>2076</v>
      </c>
      <c r="O59">
        <f>IF(N59='Outil Cibles'!$Q$7, 'Outil Cibles'!$Q$18, 0)</f>
        <v>0</v>
      </c>
      <c r="P59">
        <f>IF(N59='Outil Cibles'!$R$7, 'Outil Cibles'!$R$18, 0)</f>
        <v>0</v>
      </c>
      <c r="Q59">
        <f>IF(N59='Outil Cibles'!$S$7, 'Outil Cibles'!$S$18, 0)</f>
        <v>0</v>
      </c>
      <c r="R59">
        <f>IF(N59='Outil Cibles'!$T$7, 'Outil Cibles'!$T$18, 0)</f>
        <v>0</v>
      </c>
      <c r="S59">
        <f>IF(N59='Outil Cibles'!$U$7, 'Outil Cibles'!$U$18, 0)</f>
        <v>0</v>
      </c>
      <c r="T59">
        <f>IF(N59='Outil Cibles'!$V$7, 'Outil Cibles'!$V$18, 0)</f>
        <v>0</v>
      </c>
      <c r="U59">
        <f>IF(N59='Outil Cibles'!$W$7, 'Outil Cibles'!$W$18, 0)</f>
        <v>0</v>
      </c>
      <c r="V59">
        <f>IF(N59='Outil Cibles'!$X$7, 'Outil Cibles'!$X$18, 0)</f>
        <v>0</v>
      </c>
      <c r="W59">
        <f>IF(N59='Outil Cibles'!$Y$7, 'Outil Cibles'!$Y$18, 0)</f>
        <v>0</v>
      </c>
      <c r="X59">
        <f>IF(N59='Outil Cibles'!$Z$7, 'Outil Cibles'!$Z$18, 0)</f>
        <v>0</v>
      </c>
      <c r="Y59">
        <f t="shared" si="2"/>
        <v>0</v>
      </c>
      <c r="AA59">
        <f>IF($A59='Outil Cibles'!D$7,'Outil Cibles'!D$11*'Outil Cibles'!D$8,0)</f>
        <v>0</v>
      </c>
      <c r="AC59">
        <f>IF($A59=('Outil Cibles'!D$7+20),'Outil Cibles'!D$12*'Outil Cibles'!D$8,0)</f>
        <v>0</v>
      </c>
      <c r="AE59">
        <f>IF($A59=('Outil Cibles'!D$7+30),'Outil Cibles'!D$13*'Outil Cibles'!D$8,0)</f>
        <v>0</v>
      </c>
      <c r="AG59">
        <f>IF($A59=('Outil Cibles'!D$7+40),'Outil Cibles'!D$14*'Outil Cibles'!D$8,0)</f>
        <v>0</v>
      </c>
    </row>
    <row r="60" spans="1:33" x14ac:dyDescent="0.3">
      <c r="A60" s="10">
        <v>2077</v>
      </c>
      <c r="B60">
        <f>IF($A60='Outil Cibles'!D$7,'Outil Cibles'!D$11*'Outil Cibles'!D$8,IF($A60=('Outil Cibles'!D$7+20),'Outil Cibles'!D$12*'Outil Cibles'!D$8,IF($A60=('Outil Cibles'!D$7+30),'Outil Cibles'!D$13*'Outil Cibles'!D$8,IF($A60=('Outil Cibles'!D$7+40),'Outil Cibles'!D$14*'Outil Cibles'!D$8,0))))</f>
        <v>0</v>
      </c>
      <c r="C60">
        <f>IF($A60='Outil Cibles'!E$7,'Outil Cibles'!E$11*'Outil Cibles'!E$8,IF($A60=('Outil Cibles'!E$7+20),'Outil Cibles'!E$12*'Outil Cibles'!E$8,IF($A60=('Outil Cibles'!E$7+30),'Outil Cibles'!E$13*'Outil Cibles'!E$8,IF($A60=('Outil Cibles'!E$7+40),'Outil Cibles'!E$14*'Outil Cibles'!E$8,0))))</f>
        <v>0</v>
      </c>
      <c r="D60">
        <f>IF($A60='Outil Cibles'!F$7,'Outil Cibles'!F$11*'Outil Cibles'!F$8,IF($A60=('Outil Cibles'!F$7+20),'Outil Cibles'!F$12*'Outil Cibles'!F$8,IF($A60=('Outil Cibles'!F$7+30),'Outil Cibles'!F$13*'Outil Cibles'!F$8,IF($A60=('Outil Cibles'!F$7+40),'Outil Cibles'!F$14*'Outil Cibles'!F$8,0))))</f>
        <v>0</v>
      </c>
      <c r="E60">
        <f>IF($A60='Outil Cibles'!G$7,'Outil Cibles'!G$11*'Outil Cibles'!G$8,IF($A60=('Outil Cibles'!G$7+20),'Outil Cibles'!G$12*'Outil Cibles'!G$8,IF($A60=('Outil Cibles'!G$7+30),'Outil Cibles'!G$13*'Outil Cibles'!G$8,IF($A60=('Outil Cibles'!G$7+40),'Outil Cibles'!G$14*'Outil Cibles'!G$8,0))))</f>
        <v>0</v>
      </c>
      <c r="F60">
        <f>IF($A60='Outil Cibles'!H$7,'Outil Cibles'!H$11*'Outil Cibles'!H$8,IF($A60=('Outil Cibles'!H$7+20),'Outil Cibles'!H$12*'Outil Cibles'!H$8,IF($A60=('Outil Cibles'!H$7+30),'Outil Cibles'!H$13*'Outil Cibles'!H$8,IF($A60=('Outil Cibles'!H$7+40),'Outil Cibles'!H$14*'Outil Cibles'!H$8,0))))</f>
        <v>0</v>
      </c>
      <c r="G60">
        <f>IF($A60='Outil Cibles'!I$7,'Outil Cibles'!I$11*'Outil Cibles'!I$8,IF($A60=('Outil Cibles'!I$7+20),'Outil Cibles'!I$12*'Outil Cibles'!I$8,IF($A60=('Outil Cibles'!I$7+30),'Outil Cibles'!I$13*'Outil Cibles'!I$8,IF($A60=('Outil Cibles'!I$7+40),'Outil Cibles'!I$14*'Outil Cibles'!I$8,0))))</f>
        <v>0</v>
      </c>
      <c r="H60">
        <f>IF($A60='Outil Cibles'!J$7,'Outil Cibles'!J$11*'Outil Cibles'!J$8,IF($A60=('Outil Cibles'!J$7+20),'Outil Cibles'!J$12*'Outil Cibles'!J$8,IF($A60=('Outil Cibles'!J$7+30),'Outil Cibles'!J$13*'Outil Cibles'!J$8,IF($A60=('Outil Cibles'!J$7+40),'Outil Cibles'!J$14*'Outil Cibles'!J$8,0))))</f>
        <v>0</v>
      </c>
      <c r="I60">
        <f>IF($A60='Outil Cibles'!K$7,'Outil Cibles'!K$11*'Outil Cibles'!K$8,IF($A60=('Outil Cibles'!K$7+20),'Outil Cibles'!K$12*'Outil Cibles'!K$8,IF($A60=('Outil Cibles'!K$7+30),'Outil Cibles'!K$13*'Outil Cibles'!K$8,IF($A60=('Outil Cibles'!K$7+40),'Outil Cibles'!K$14*'Outil Cibles'!K$8,0))))</f>
        <v>0</v>
      </c>
      <c r="J60">
        <f>IF($A60='Outil Cibles'!L$7,'Outil Cibles'!L$11*'Outil Cibles'!L$8,IF($A60=('Outil Cibles'!L$7+20),'Outil Cibles'!L$12*'Outil Cibles'!L$8,IF($A60=('Outil Cibles'!L$7+30),'Outil Cibles'!L$13*'Outil Cibles'!L$8,IF($A60=('Outil Cibles'!L$7+40),'Outil Cibles'!L$14*'Outil Cibles'!L$8,0))))</f>
        <v>0</v>
      </c>
      <c r="K60">
        <f>IF($A60='Outil Cibles'!M$7,'Outil Cibles'!M$11*'Outil Cibles'!M$8,IF($A60=('Outil Cibles'!M$7+20),'Outil Cibles'!M$12*'Outil Cibles'!M$8,IF($A60=('Outil Cibles'!M$7+30),'Outil Cibles'!M$13*'Outil Cibles'!M$8,IF($A60=('Outil Cibles'!M$7+40),'Outil Cibles'!M$14*'Outil Cibles'!M$8,0))))</f>
        <v>0</v>
      </c>
      <c r="L60">
        <f t="shared" si="1"/>
        <v>0</v>
      </c>
      <c r="N60" s="10">
        <v>2077</v>
      </c>
      <c r="O60">
        <f>IF(N60='Outil Cibles'!$Q$7, 'Outil Cibles'!$Q$18, 0)</f>
        <v>0</v>
      </c>
      <c r="P60">
        <f>IF(N60='Outil Cibles'!$R$7, 'Outil Cibles'!$R$18, 0)</f>
        <v>0</v>
      </c>
      <c r="Q60">
        <f>IF(N60='Outil Cibles'!$S$7, 'Outil Cibles'!$S$18, 0)</f>
        <v>0</v>
      </c>
      <c r="R60">
        <f>IF(N60='Outil Cibles'!$T$7, 'Outil Cibles'!$T$18, 0)</f>
        <v>0</v>
      </c>
      <c r="S60">
        <f>IF(N60='Outil Cibles'!$U$7, 'Outil Cibles'!$U$18, 0)</f>
        <v>0</v>
      </c>
      <c r="T60">
        <f>IF(N60='Outil Cibles'!$V$7, 'Outil Cibles'!$V$18, 0)</f>
        <v>0</v>
      </c>
      <c r="U60">
        <f>IF(N60='Outil Cibles'!$W$7, 'Outil Cibles'!$W$18, 0)</f>
        <v>0</v>
      </c>
      <c r="V60">
        <f>IF(N60='Outil Cibles'!$X$7, 'Outil Cibles'!$X$18, 0)</f>
        <v>0</v>
      </c>
      <c r="W60">
        <f>IF(N60='Outil Cibles'!$Y$7, 'Outil Cibles'!$Y$18, 0)</f>
        <v>0</v>
      </c>
      <c r="X60">
        <f>IF(N60='Outil Cibles'!$Z$7, 'Outil Cibles'!$Z$18, 0)</f>
        <v>0</v>
      </c>
      <c r="Y60">
        <f t="shared" si="2"/>
        <v>0</v>
      </c>
      <c r="AA60">
        <f>IF($A60='Outil Cibles'!D$7,'Outil Cibles'!D$11*'Outil Cibles'!D$8,0)</f>
        <v>0</v>
      </c>
      <c r="AC60">
        <f>IF($A60=('Outil Cibles'!D$7+20),'Outil Cibles'!D$12*'Outil Cibles'!D$8,0)</f>
        <v>0</v>
      </c>
      <c r="AE60">
        <f>IF($A60=('Outil Cibles'!D$7+30),'Outil Cibles'!D$13*'Outil Cibles'!D$8,0)</f>
        <v>0</v>
      </c>
      <c r="AG60">
        <f>IF($A60=('Outil Cibles'!D$7+40),'Outil Cibles'!D$14*'Outil Cibles'!D$8,0)</f>
        <v>0</v>
      </c>
    </row>
    <row r="61" spans="1:33" x14ac:dyDescent="0.3">
      <c r="A61">
        <v>2078</v>
      </c>
      <c r="B61">
        <f>IF($A61='Outil Cibles'!D$7,'Outil Cibles'!D$11*'Outil Cibles'!D$8,IF($A61=('Outil Cibles'!D$7+20),'Outil Cibles'!D$12*'Outil Cibles'!D$8,IF($A61=('Outil Cibles'!D$7+30),'Outil Cibles'!D$13*'Outil Cibles'!D$8,IF($A61=('Outil Cibles'!D$7+40),'Outil Cibles'!D$14*'Outil Cibles'!D$8,0))))</f>
        <v>0</v>
      </c>
      <c r="C61">
        <f>IF($A61='Outil Cibles'!E$7,'Outil Cibles'!E$11*'Outil Cibles'!E$8,IF($A61=('Outil Cibles'!E$7+20),'Outil Cibles'!E$12*'Outil Cibles'!E$8,IF($A61=('Outil Cibles'!E$7+30),'Outil Cibles'!E$13*'Outil Cibles'!E$8,IF($A61=('Outil Cibles'!E$7+40),'Outil Cibles'!E$14*'Outil Cibles'!E$8,0))))</f>
        <v>0</v>
      </c>
      <c r="D61">
        <f>IF($A61='Outil Cibles'!F$7,'Outil Cibles'!F$11*'Outil Cibles'!F$8,IF($A61=('Outil Cibles'!F$7+20),'Outil Cibles'!F$12*'Outil Cibles'!F$8,IF($A61=('Outil Cibles'!F$7+30),'Outil Cibles'!F$13*'Outil Cibles'!F$8,IF($A61=('Outil Cibles'!F$7+40),'Outil Cibles'!F$14*'Outil Cibles'!F$8,0))))</f>
        <v>0</v>
      </c>
      <c r="E61">
        <f>IF($A61='Outil Cibles'!G$7,'Outil Cibles'!G$11*'Outil Cibles'!G$8,IF($A61=('Outil Cibles'!G$7+20),'Outil Cibles'!G$12*'Outil Cibles'!G$8,IF($A61=('Outil Cibles'!G$7+30),'Outil Cibles'!G$13*'Outil Cibles'!G$8,IF($A61=('Outil Cibles'!G$7+40),'Outil Cibles'!G$14*'Outil Cibles'!G$8,0))))</f>
        <v>0</v>
      </c>
      <c r="F61">
        <f>IF($A61='Outil Cibles'!H$7,'Outil Cibles'!H$11*'Outil Cibles'!H$8,IF($A61=('Outil Cibles'!H$7+20),'Outil Cibles'!H$12*'Outil Cibles'!H$8,IF($A61=('Outil Cibles'!H$7+30),'Outil Cibles'!H$13*'Outil Cibles'!H$8,IF($A61=('Outil Cibles'!H$7+40),'Outil Cibles'!H$14*'Outil Cibles'!H$8,0))))</f>
        <v>0</v>
      </c>
      <c r="G61">
        <f>IF($A61='Outil Cibles'!I$7,'Outil Cibles'!I$11*'Outil Cibles'!I$8,IF($A61=('Outil Cibles'!I$7+20),'Outil Cibles'!I$12*'Outil Cibles'!I$8,IF($A61=('Outil Cibles'!I$7+30),'Outil Cibles'!I$13*'Outil Cibles'!I$8,IF($A61=('Outil Cibles'!I$7+40),'Outil Cibles'!I$14*'Outil Cibles'!I$8,0))))</f>
        <v>0</v>
      </c>
      <c r="H61">
        <f>IF($A61='Outil Cibles'!J$7,'Outil Cibles'!J$11*'Outil Cibles'!J$8,IF($A61=('Outil Cibles'!J$7+20),'Outil Cibles'!J$12*'Outil Cibles'!J$8,IF($A61=('Outil Cibles'!J$7+30),'Outil Cibles'!J$13*'Outil Cibles'!J$8,IF($A61=('Outil Cibles'!J$7+40),'Outil Cibles'!J$14*'Outil Cibles'!J$8,0))))</f>
        <v>0</v>
      </c>
      <c r="I61">
        <f>IF($A61='Outil Cibles'!K$7,'Outil Cibles'!K$11*'Outil Cibles'!K$8,IF($A61=('Outil Cibles'!K$7+20),'Outil Cibles'!K$12*'Outil Cibles'!K$8,IF($A61=('Outil Cibles'!K$7+30),'Outil Cibles'!K$13*'Outil Cibles'!K$8,IF($A61=('Outil Cibles'!K$7+40),'Outil Cibles'!K$14*'Outil Cibles'!K$8,0))))</f>
        <v>0</v>
      </c>
      <c r="J61">
        <f>IF($A61='Outil Cibles'!L$7,'Outil Cibles'!L$11*'Outil Cibles'!L$8,IF($A61=('Outil Cibles'!L$7+20),'Outil Cibles'!L$12*'Outil Cibles'!L$8,IF($A61=('Outil Cibles'!L$7+30),'Outil Cibles'!L$13*'Outil Cibles'!L$8,IF($A61=('Outil Cibles'!L$7+40),'Outil Cibles'!L$14*'Outil Cibles'!L$8,0))))</f>
        <v>0</v>
      </c>
      <c r="K61">
        <f>IF($A61='Outil Cibles'!M$7,'Outil Cibles'!M$11*'Outil Cibles'!M$8,IF($A61=('Outil Cibles'!M$7+20),'Outil Cibles'!M$12*'Outil Cibles'!M$8,IF($A61=('Outil Cibles'!M$7+30),'Outil Cibles'!M$13*'Outil Cibles'!M$8,IF($A61=('Outil Cibles'!M$7+40),'Outil Cibles'!M$14*'Outil Cibles'!M$8,0))))</f>
        <v>0</v>
      </c>
      <c r="L61">
        <f t="shared" si="1"/>
        <v>0</v>
      </c>
      <c r="N61">
        <v>2078</v>
      </c>
      <c r="O61">
        <f>IF(N61='Outil Cibles'!$Q$7, 'Outil Cibles'!$Q$18, 0)</f>
        <v>0</v>
      </c>
      <c r="P61">
        <f>IF(N61='Outil Cibles'!$R$7, 'Outil Cibles'!$R$18, 0)</f>
        <v>0</v>
      </c>
      <c r="Q61">
        <f>IF(N61='Outil Cibles'!$S$7, 'Outil Cibles'!$S$18, 0)</f>
        <v>0</v>
      </c>
      <c r="R61">
        <f>IF(N61='Outil Cibles'!$T$7, 'Outil Cibles'!$T$18, 0)</f>
        <v>0</v>
      </c>
      <c r="S61">
        <f>IF(N61='Outil Cibles'!$U$7, 'Outil Cibles'!$U$18, 0)</f>
        <v>0</v>
      </c>
      <c r="T61">
        <f>IF(N61='Outil Cibles'!$V$7, 'Outil Cibles'!$V$18, 0)</f>
        <v>0</v>
      </c>
      <c r="U61">
        <f>IF(N61='Outil Cibles'!$W$7, 'Outil Cibles'!$W$18, 0)</f>
        <v>0</v>
      </c>
      <c r="V61">
        <f>IF(N61='Outil Cibles'!$X$7, 'Outil Cibles'!$X$18, 0)</f>
        <v>0</v>
      </c>
      <c r="W61">
        <f>IF(N61='Outil Cibles'!$Y$7, 'Outil Cibles'!$Y$18, 0)</f>
        <v>0</v>
      </c>
      <c r="X61">
        <f>IF(N61='Outil Cibles'!$Z$7, 'Outil Cibles'!$Z$18, 0)</f>
        <v>0</v>
      </c>
      <c r="Y61">
        <f t="shared" si="2"/>
        <v>0</v>
      </c>
      <c r="AA61">
        <f>IF($A61='Outil Cibles'!D$7,'Outil Cibles'!D$11*'Outil Cibles'!D$8,0)</f>
        <v>0</v>
      </c>
      <c r="AC61">
        <f>IF($A61=('Outil Cibles'!D$7+20),'Outil Cibles'!D$12*'Outil Cibles'!D$8,0)</f>
        <v>0</v>
      </c>
      <c r="AE61">
        <f>IF($A61=('Outil Cibles'!D$7+30),'Outil Cibles'!D$13*'Outil Cibles'!D$8,0)</f>
        <v>0</v>
      </c>
      <c r="AG61">
        <f>IF($A61=('Outil Cibles'!D$7+40),'Outil Cibles'!D$14*'Outil Cibles'!D$8,0)</f>
        <v>0</v>
      </c>
    </row>
    <row r="62" spans="1:33" x14ac:dyDescent="0.3">
      <c r="A62">
        <v>2079</v>
      </c>
      <c r="B62">
        <f>IF($A62='Outil Cibles'!D$7,'Outil Cibles'!D$11*'Outil Cibles'!D$8,IF($A62=('Outil Cibles'!D$7+20),'Outil Cibles'!D$12*'Outil Cibles'!D$8,IF($A62=('Outil Cibles'!D$7+30),'Outil Cibles'!D$13*'Outil Cibles'!D$8,IF($A62=('Outil Cibles'!D$7+40),'Outil Cibles'!D$14*'Outil Cibles'!D$8,0))))</f>
        <v>0</v>
      </c>
      <c r="C62">
        <f>IF($A62='Outil Cibles'!E$7,'Outil Cibles'!E$11*'Outil Cibles'!E$8,IF($A62=('Outil Cibles'!E$7+20),'Outil Cibles'!E$12*'Outil Cibles'!E$8,IF($A62=('Outil Cibles'!E$7+30),'Outil Cibles'!E$13*'Outil Cibles'!E$8,IF($A62=('Outil Cibles'!E$7+40),'Outil Cibles'!E$14*'Outil Cibles'!E$8,0))))</f>
        <v>0</v>
      </c>
      <c r="D62">
        <f>IF($A62='Outil Cibles'!F$7,'Outil Cibles'!F$11*'Outil Cibles'!F$8,IF($A62=('Outil Cibles'!F$7+20),'Outil Cibles'!F$12*'Outil Cibles'!F$8,IF($A62=('Outil Cibles'!F$7+30),'Outil Cibles'!F$13*'Outil Cibles'!F$8,IF($A62=('Outil Cibles'!F$7+40),'Outil Cibles'!F$14*'Outil Cibles'!F$8,0))))</f>
        <v>0</v>
      </c>
      <c r="E62">
        <f>IF($A62='Outil Cibles'!G$7,'Outil Cibles'!G$11*'Outil Cibles'!G$8,IF($A62=('Outil Cibles'!G$7+20),'Outil Cibles'!G$12*'Outil Cibles'!G$8,IF($A62=('Outil Cibles'!G$7+30),'Outil Cibles'!G$13*'Outil Cibles'!G$8,IF($A62=('Outil Cibles'!G$7+40),'Outil Cibles'!G$14*'Outil Cibles'!G$8,0))))</f>
        <v>0</v>
      </c>
      <c r="F62">
        <f>IF($A62='Outil Cibles'!H$7,'Outil Cibles'!H$11*'Outil Cibles'!H$8,IF($A62=('Outil Cibles'!H$7+20),'Outil Cibles'!H$12*'Outil Cibles'!H$8,IF($A62=('Outil Cibles'!H$7+30),'Outil Cibles'!H$13*'Outil Cibles'!H$8,IF($A62=('Outil Cibles'!H$7+40),'Outil Cibles'!H$14*'Outil Cibles'!H$8,0))))</f>
        <v>0</v>
      </c>
      <c r="G62">
        <f>IF($A62='Outil Cibles'!I$7,'Outil Cibles'!I$11*'Outil Cibles'!I$8,IF($A62=('Outil Cibles'!I$7+20),'Outil Cibles'!I$12*'Outil Cibles'!I$8,IF($A62=('Outil Cibles'!I$7+30),'Outil Cibles'!I$13*'Outil Cibles'!I$8,IF($A62=('Outil Cibles'!I$7+40),'Outil Cibles'!I$14*'Outil Cibles'!I$8,0))))</f>
        <v>0</v>
      </c>
      <c r="H62">
        <f>IF($A62='Outil Cibles'!J$7,'Outil Cibles'!J$11*'Outil Cibles'!J$8,IF($A62=('Outil Cibles'!J$7+20),'Outil Cibles'!J$12*'Outil Cibles'!J$8,IF($A62=('Outil Cibles'!J$7+30),'Outil Cibles'!J$13*'Outil Cibles'!J$8,IF($A62=('Outil Cibles'!J$7+40),'Outil Cibles'!J$14*'Outil Cibles'!J$8,0))))</f>
        <v>0</v>
      </c>
      <c r="I62">
        <f>IF($A62='Outil Cibles'!K$7,'Outil Cibles'!K$11*'Outil Cibles'!K$8,IF($A62=('Outil Cibles'!K$7+20),'Outil Cibles'!K$12*'Outil Cibles'!K$8,IF($A62=('Outil Cibles'!K$7+30),'Outil Cibles'!K$13*'Outil Cibles'!K$8,IF($A62=('Outil Cibles'!K$7+40),'Outil Cibles'!K$14*'Outil Cibles'!K$8,0))))</f>
        <v>0</v>
      </c>
      <c r="J62">
        <f>IF($A62='Outil Cibles'!L$7,'Outil Cibles'!L$11*'Outil Cibles'!L$8,IF($A62=('Outil Cibles'!L$7+20),'Outil Cibles'!L$12*'Outil Cibles'!L$8,IF($A62=('Outil Cibles'!L$7+30),'Outil Cibles'!L$13*'Outil Cibles'!L$8,IF($A62=('Outil Cibles'!L$7+40),'Outil Cibles'!L$14*'Outil Cibles'!L$8,0))))</f>
        <v>0</v>
      </c>
      <c r="K62">
        <f>IF($A62='Outil Cibles'!M$7,'Outil Cibles'!M$11*'Outil Cibles'!M$8,IF($A62=('Outil Cibles'!M$7+20),'Outil Cibles'!M$12*'Outil Cibles'!M$8,IF($A62=('Outil Cibles'!M$7+30),'Outil Cibles'!M$13*'Outil Cibles'!M$8,IF($A62=('Outil Cibles'!M$7+40),'Outil Cibles'!M$14*'Outil Cibles'!M$8,0))))</f>
        <v>0</v>
      </c>
      <c r="L62">
        <f t="shared" si="1"/>
        <v>0</v>
      </c>
      <c r="N62">
        <v>2079</v>
      </c>
      <c r="O62">
        <f>IF(N62='Outil Cibles'!$Q$7, 'Outil Cibles'!$Q$18, 0)</f>
        <v>0</v>
      </c>
      <c r="P62">
        <f>IF(N62='Outil Cibles'!$R$7, 'Outil Cibles'!$R$18, 0)</f>
        <v>0</v>
      </c>
      <c r="Q62">
        <f>IF(N62='Outil Cibles'!$S$7, 'Outil Cibles'!$S$18, 0)</f>
        <v>0</v>
      </c>
      <c r="R62">
        <f>IF(N62='Outil Cibles'!$T$7, 'Outil Cibles'!$T$18, 0)</f>
        <v>0</v>
      </c>
      <c r="S62">
        <f>IF(N62='Outil Cibles'!$U$7, 'Outil Cibles'!$U$18, 0)</f>
        <v>0</v>
      </c>
      <c r="T62">
        <f>IF(N62='Outil Cibles'!$V$7, 'Outil Cibles'!$V$18, 0)</f>
        <v>0</v>
      </c>
      <c r="U62">
        <f>IF(N62='Outil Cibles'!$W$7, 'Outil Cibles'!$W$18, 0)</f>
        <v>0</v>
      </c>
      <c r="V62">
        <f>IF(N62='Outil Cibles'!$X$7, 'Outil Cibles'!$X$18, 0)</f>
        <v>0</v>
      </c>
      <c r="W62">
        <f>IF(N62='Outil Cibles'!$Y$7, 'Outil Cibles'!$Y$18, 0)</f>
        <v>0</v>
      </c>
      <c r="X62">
        <f>IF(N62='Outil Cibles'!$Z$7, 'Outil Cibles'!$Z$18, 0)</f>
        <v>0</v>
      </c>
      <c r="Y62">
        <f t="shared" si="2"/>
        <v>0</v>
      </c>
      <c r="AA62">
        <f>IF($A62='Outil Cibles'!D$7,'Outil Cibles'!D$11*'Outil Cibles'!D$8,0)</f>
        <v>0</v>
      </c>
      <c r="AC62">
        <f>IF($A62=('Outil Cibles'!D$7+20),'Outil Cibles'!D$12*'Outil Cibles'!D$8,0)</f>
        <v>0</v>
      </c>
      <c r="AE62">
        <f>IF($A62=('Outil Cibles'!D$7+30),'Outil Cibles'!D$13*'Outil Cibles'!D$8,0)</f>
        <v>0</v>
      </c>
      <c r="AG62">
        <f>IF($A62=('Outil Cibles'!D$7+40),'Outil Cibles'!D$14*'Outil Cibles'!D$8,0)</f>
        <v>0</v>
      </c>
    </row>
    <row r="63" spans="1:33" x14ac:dyDescent="0.3">
      <c r="A63">
        <v>2080</v>
      </c>
      <c r="B63">
        <f>IF($A63='Outil Cibles'!D$7,'Outil Cibles'!D$11*'Outil Cibles'!D$8,IF($A63=('Outil Cibles'!D$7+20),'Outil Cibles'!D$12*'Outil Cibles'!D$8,IF($A63=('Outil Cibles'!D$7+30),'Outil Cibles'!D$13*'Outil Cibles'!D$8,IF($A63=('Outil Cibles'!D$7+40),'Outil Cibles'!D$14*'Outil Cibles'!D$8,0))))</f>
        <v>0</v>
      </c>
      <c r="C63">
        <f>IF($A63='Outil Cibles'!E$7,'Outil Cibles'!E$11*'Outil Cibles'!E$8,IF($A63=('Outil Cibles'!E$7+20),'Outil Cibles'!E$12*'Outil Cibles'!E$8,IF($A63=('Outil Cibles'!E$7+30),'Outil Cibles'!E$13*'Outil Cibles'!E$8,IF($A63=('Outil Cibles'!E$7+40),'Outil Cibles'!E$14*'Outil Cibles'!E$8,0))))</f>
        <v>0</v>
      </c>
      <c r="D63">
        <f>IF($A63='Outil Cibles'!F$7,'Outil Cibles'!F$11*'Outil Cibles'!F$8,IF($A63=('Outil Cibles'!F$7+20),'Outil Cibles'!F$12*'Outil Cibles'!F$8,IF($A63=('Outil Cibles'!F$7+30),'Outil Cibles'!F$13*'Outil Cibles'!F$8,IF($A63=('Outil Cibles'!F$7+40),'Outil Cibles'!F$14*'Outil Cibles'!F$8,0))))</f>
        <v>0</v>
      </c>
      <c r="E63">
        <f>IF($A63='Outil Cibles'!G$7,'Outil Cibles'!G$11*'Outil Cibles'!G$8,IF($A63=('Outil Cibles'!G$7+20),'Outil Cibles'!G$12*'Outil Cibles'!G$8,IF($A63=('Outil Cibles'!G$7+30),'Outil Cibles'!G$13*'Outil Cibles'!G$8,IF($A63=('Outil Cibles'!G$7+40),'Outil Cibles'!G$14*'Outil Cibles'!G$8,0))))</f>
        <v>0</v>
      </c>
      <c r="F63">
        <f>IF($A63='Outil Cibles'!H$7,'Outil Cibles'!H$11*'Outil Cibles'!H$8,IF($A63=('Outil Cibles'!H$7+20),'Outil Cibles'!H$12*'Outil Cibles'!H$8,IF($A63=('Outil Cibles'!H$7+30),'Outil Cibles'!H$13*'Outil Cibles'!H$8,IF($A63=('Outil Cibles'!H$7+40),'Outil Cibles'!H$14*'Outil Cibles'!H$8,0))))</f>
        <v>0</v>
      </c>
      <c r="G63">
        <f>IF($A63='Outil Cibles'!I$7,'Outil Cibles'!I$11*'Outil Cibles'!I$8,IF($A63=('Outil Cibles'!I$7+20),'Outil Cibles'!I$12*'Outil Cibles'!I$8,IF($A63=('Outil Cibles'!I$7+30),'Outil Cibles'!I$13*'Outil Cibles'!I$8,IF($A63=('Outil Cibles'!I$7+40),'Outil Cibles'!I$14*'Outil Cibles'!I$8,0))))</f>
        <v>0</v>
      </c>
      <c r="H63">
        <f>IF($A63='Outil Cibles'!J$7,'Outil Cibles'!J$11*'Outil Cibles'!J$8,IF($A63=('Outil Cibles'!J$7+20),'Outil Cibles'!J$12*'Outil Cibles'!J$8,IF($A63=('Outil Cibles'!J$7+30),'Outil Cibles'!J$13*'Outil Cibles'!J$8,IF($A63=('Outil Cibles'!J$7+40),'Outil Cibles'!J$14*'Outil Cibles'!J$8,0))))</f>
        <v>0</v>
      </c>
      <c r="I63">
        <f>IF($A63='Outil Cibles'!K$7,'Outil Cibles'!K$11*'Outil Cibles'!K$8,IF($A63=('Outil Cibles'!K$7+20),'Outil Cibles'!K$12*'Outil Cibles'!K$8,IF($A63=('Outil Cibles'!K$7+30),'Outil Cibles'!K$13*'Outil Cibles'!K$8,IF($A63=('Outil Cibles'!K$7+40),'Outil Cibles'!K$14*'Outil Cibles'!K$8,0))))</f>
        <v>0</v>
      </c>
      <c r="J63">
        <f>IF($A63='Outil Cibles'!L$7,'Outil Cibles'!L$11*'Outil Cibles'!L$8,IF($A63=('Outil Cibles'!L$7+20),'Outil Cibles'!L$12*'Outil Cibles'!L$8,IF($A63=('Outil Cibles'!L$7+30),'Outil Cibles'!L$13*'Outil Cibles'!L$8,IF($A63=('Outil Cibles'!L$7+40),'Outil Cibles'!L$14*'Outil Cibles'!L$8,0))))</f>
        <v>0</v>
      </c>
      <c r="K63">
        <f>IF($A63='Outil Cibles'!M$7,'Outil Cibles'!M$11*'Outil Cibles'!M$8,IF($A63=('Outil Cibles'!M$7+20),'Outil Cibles'!M$12*'Outil Cibles'!M$8,IF($A63=('Outil Cibles'!M$7+30),'Outil Cibles'!M$13*'Outil Cibles'!M$8,IF($A63=('Outil Cibles'!M$7+40),'Outil Cibles'!M$14*'Outil Cibles'!M$8,0))))</f>
        <v>0</v>
      </c>
      <c r="L63">
        <f t="shared" si="1"/>
        <v>0</v>
      </c>
      <c r="N63">
        <v>2080</v>
      </c>
      <c r="O63">
        <f>IF(N63='Outil Cibles'!$Q$7, 'Outil Cibles'!$Q$18, 0)</f>
        <v>0</v>
      </c>
      <c r="P63">
        <f>IF(N63='Outil Cibles'!$R$7, 'Outil Cibles'!$R$18, 0)</f>
        <v>0</v>
      </c>
      <c r="Q63">
        <f>IF(N63='Outil Cibles'!$S$7, 'Outil Cibles'!$S$18, 0)</f>
        <v>0</v>
      </c>
      <c r="R63">
        <f>IF(N63='Outil Cibles'!$T$7, 'Outil Cibles'!$T$18, 0)</f>
        <v>0</v>
      </c>
      <c r="S63">
        <f>IF(N63='Outil Cibles'!$U$7, 'Outil Cibles'!$U$18, 0)</f>
        <v>0</v>
      </c>
      <c r="T63">
        <f>IF(N63='Outil Cibles'!$V$7, 'Outil Cibles'!$V$18, 0)</f>
        <v>0</v>
      </c>
      <c r="U63">
        <f>IF(N63='Outil Cibles'!$W$7, 'Outil Cibles'!$W$18, 0)</f>
        <v>0</v>
      </c>
      <c r="V63">
        <f>IF(N63='Outil Cibles'!$X$7, 'Outil Cibles'!$X$18, 0)</f>
        <v>0</v>
      </c>
      <c r="W63">
        <f>IF(N63='Outil Cibles'!$Y$7, 'Outil Cibles'!$Y$18, 0)</f>
        <v>0</v>
      </c>
      <c r="X63">
        <f>IF(N63='Outil Cibles'!$Z$7, 'Outil Cibles'!$Z$18, 0)</f>
        <v>0</v>
      </c>
      <c r="Y63">
        <f t="shared" si="2"/>
        <v>0</v>
      </c>
      <c r="AA63">
        <f>IF($A63='Outil Cibles'!D$7,'Outil Cibles'!D$11*'Outil Cibles'!D$8,0)</f>
        <v>0</v>
      </c>
      <c r="AC63">
        <f>IF($A63=('Outil Cibles'!D$7+20),'Outil Cibles'!D$12*'Outil Cibles'!D$8,0)</f>
        <v>0</v>
      </c>
      <c r="AE63">
        <f>IF($A63=('Outil Cibles'!D$7+30),'Outil Cibles'!D$13*'Outil Cibles'!D$8,0)</f>
        <v>0</v>
      </c>
      <c r="AG63">
        <f>IF($A63=('Outil Cibles'!D$7+40),'Outil Cibles'!D$14*'Outil Cibles'!D$8,0)</f>
        <v>0</v>
      </c>
    </row>
    <row r="64" spans="1:33" x14ac:dyDescent="0.3">
      <c r="A64" s="10">
        <v>2081</v>
      </c>
      <c r="B64">
        <f>IF($A64='Outil Cibles'!D$7,'Outil Cibles'!D$11*'Outil Cibles'!D$8,IF($A64=('Outil Cibles'!D$7+20),'Outil Cibles'!D$12*'Outil Cibles'!D$8,IF($A64=('Outil Cibles'!D$7+30),'Outil Cibles'!D$13*'Outil Cibles'!D$8,IF($A64=('Outil Cibles'!D$7+40),'Outil Cibles'!D$14*'Outil Cibles'!D$8,0))))</f>
        <v>0</v>
      </c>
      <c r="C64">
        <f>IF($A64='Outil Cibles'!E$7,'Outil Cibles'!E$11*'Outil Cibles'!E$8,IF($A64=('Outil Cibles'!E$7+20),'Outil Cibles'!E$12*'Outil Cibles'!E$8,IF($A64=('Outil Cibles'!E$7+30),'Outil Cibles'!E$13*'Outil Cibles'!E$8,IF($A64=('Outil Cibles'!E$7+40),'Outil Cibles'!E$14*'Outil Cibles'!E$8,0))))</f>
        <v>0</v>
      </c>
      <c r="D64">
        <f>IF($A64='Outil Cibles'!F$7,'Outil Cibles'!F$11*'Outil Cibles'!F$8,IF($A64=('Outil Cibles'!F$7+20),'Outil Cibles'!F$12*'Outil Cibles'!F$8,IF($A64=('Outil Cibles'!F$7+30),'Outil Cibles'!F$13*'Outil Cibles'!F$8,IF($A64=('Outil Cibles'!F$7+40),'Outil Cibles'!F$14*'Outil Cibles'!F$8,0))))</f>
        <v>0</v>
      </c>
      <c r="E64">
        <f>IF($A64='Outil Cibles'!G$7,'Outil Cibles'!G$11*'Outil Cibles'!G$8,IF($A64=('Outil Cibles'!G$7+20),'Outil Cibles'!G$12*'Outil Cibles'!G$8,IF($A64=('Outil Cibles'!G$7+30),'Outil Cibles'!G$13*'Outil Cibles'!G$8,IF($A64=('Outil Cibles'!G$7+40),'Outil Cibles'!G$14*'Outil Cibles'!G$8,0))))</f>
        <v>0</v>
      </c>
      <c r="F64">
        <f>IF($A64='Outil Cibles'!H$7,'Outil Cibles'!H$11*'Outil Cibles'!H$8,IF($A64=('Outil Cibles'!H$7+20),'Outil Cibles'!H$12*'Outil Cibles'!H$8,IF($A64=('Outil Cibles'!H$7+30),'Outil Cibles'!H$13*'Outil Cibles'!H$8,IF($A64=('Outil Cibles'!H$7+40),'Outil Cibles'!H$14*'Outil Cibles'!H$8,0))))</f>
        <v>0</v>
      </c>
      <c r="G64">
        <f>IF($A64='Outil Cibles'!I$7,'Outil Cibles'!I$11*'Outil Cibles'!I$8,IF($A64=('Outil Cibles'!I$7+20),'Outil Cibles'!I$12*'Outil Cibles'!I$8,IF($A64=('Outil Cibles'!I$7+30),'Outil Cibles'!I$13*'Outil Cibles'!I$8,IF($A64=('Outil Cibles'!I$7+40),'Outil Cibles'!I$14*'Outil Cibles'!I$8,0))))</f>
        <v>0</v>
      </c>
      <c r="H64">
        <f>IF($A64='Outil Cibles'!J$7,'Outil Cibles'!J$11*'Outil Cibles'!J$8,IF($A64=('Outil Cibles'!J$7+20),'Outil Cibles'!J$12*'Outil Cibles'!J$8,IF($A64=('Outil Cibles'!J$7+30),'Outil Cibles'!J$13*'Outil Cibles'!J$8,IF($A64=('Outil Cibles'!J$7+40),'Outil Cibles'!J$14*'Outil Cibles'!J$8,0))))</f>
        <v>0</v>
      </c>
      <c r="I64">
        <f>IF($A64='Outil Cibles'!K$7,'Outil Cibles'!K$11*'Outil Cibles'!K$8,IF($A64=('Outil Cibles'!K$7+20),'Outil Cibles'!K$12*'Outil Cibles'!K$8,IF($A64=('Outil Cibles'!K$7+30),'Outil Cibles'!K$13*'Outil Cibles'!K$8,IF($A64=('Outil Cibles'!K$7+40),'Outil Cibles'!K$14*'Outil Cibles'!K$8,0))))</f>
        <v>0</v>
      </c>
      <c r="J64">
        <f>IF($A64='Outil Cibles'!L$7,'Outil Cibles'!L$11*'Outil Cibles'!L$8,IF($A64=('Outil Cibles'!L$7+20),'Outil Cibles'!L$12*'Outil Cibles'!L$8,IF($A64=('Outil Cibles'!L$7+30),'Outil Cibles'!L$13*'Outil Cibles'!L$8,IF($A64=('Outil Cibles'!L$7+40),'Outil Cibles'!L$14*'Outil Cibles'!L$8,0))))</f>
        <v>0</v>
      </c>
      <c r="K64">
        <f>IF($A64='Outil Cibles'!M$7,'Outil Cibles'!M$11*'Outil Cibles'!M$8,IF($A64=('Outil Cibles'!M$7+20),'Outil Cibles'!M$12*'Outil Cibles'!M$8,IF($A64=('Outil Cibles'!M$7+30),'Outil Cibles'!M$13*'Outil Cibles'!M$8,IF($A64=('Outil Cibles'!M$7+40),'Outil Cibles'!M$14*'Outil Cibles'!M$8,0))))</f>
        <v>0</v>
      </c>
      <c r="L64">
        <f t="shared" si="1"/>
        <v>0</v>
      </c>
      <c r="N64" s="10">
        <v>2081</v>
      </c>
      <c r="O64">
        <f>IF(N64='Outil Cibles'!$Q$7, 'Outil Cibles'!$Q$18, 0)</f>
        <v>0</v>
      </c>
      <c r="P64">
        <f>IF(N64='Outil Cibles'!$R$7, 'Outil Cibles'!$R$18, 0)</f>
        <v>0</v>
      </c>
      <c r="Q64">
        <f>IF(N64='Outil Cibles'!$S$7, 'Outil Cibles'!$S$18, 0)</f>
        <v>0</v>
      </c>
      <c r="R64">
        <f>IF(N64='Outil Cibles'!$T$7, 'Outil Cibles'!$T$18, 0)</f>
        <v>0</v>
      </c>
      <c r="S64">
        <f>IF(N64='Outil Cibles'!$U$7, 'Outil Cibles'!$U$18, 0)</f>
        <v>0</v>
      </c>
      <c r="T64">
        <f>IF(N64='Outil Cibles'!$V$7, 'Outil Cibles'!$V$18, 0)</f>
        <v>0</v>
      </c>
      <c r="U64">
        <f>IF(N64='Outil Cibles'!$W$7, 'Outil Cibles'!$W$18, 0)</f>
        <v>0</v>
      </c>
      <c r="V64">
        <f>IF(N64='Outil Cibles'!$X$7, 'Outil Cibles'!$X$18, 0)</f>
        <v>0</v>
      </c>
      <c r="W64">
        <f>IF(N64='Outil Cibles'!$Y$7, 'Outil Cibles'!$Y$18, 0)</f>
        <v>0</v>
      </c>
      <c r="X64">
        <f>IF(N64='Outil Cibles'!$Z$7, 'Outil Cibles'!$Z$18, 0)</f>
        <v>0</v>
      </c>
      <c r="Y64">
        <f t="shared" si="2"/>
        <v>0</v>
      </c>
      <c r="AA64">
        <f>IF($A64='Outil Cibles'!D$7,'Outil Cibles'!D$11*'Outil Cibles'!D$8,0)</f>
        <v>0</v>
      </c>
      <c r="AC64">
        <f>IF($A64=('Outil Cibles'!D$7+20),'Outil Cibles'!D$12*'Outil Cibles'!D$8,0)</f>
        <v>0</v>
      </c>
      <c r="AE64">
        <f>IF($A64=('Outil Cibles'!D$7+30),'Outil Cibles'!D$13*'Outil Cibles'!D$8,0)</f>
        <v>0</v>
      </c>
      <c r="AG64">
        <f>IF($A64=('Outil Cibles'!D$7+40),'Outil Cibles'!D$14*'Outil Cibles'!D$8,0)</f>
        <v>0</v>
      </c>
    </row>
    <row r="65" spans="1:33" x14ac:dyDescent="0.3">
      <c r="A65">
        <v>2082</v>
      </c>
      <c r="B65">
        <f>IF($A65='Outil Cibles'!D$7,'Outil Cibles'!D$11*'Outil Cibles'!D$8,IF($A65=('Outil Cibles'!D$7+20),'Outil Cibles'!D$12*'Outil Cibles'!D$8,IF($A65=('Outil Cibles'!D$7+30),'Outil Cibles'!D$13*'Outil Cibles'!D$8,IF($A65=('Outil Cibles'!D$7+40),'Outil Cibles'!D$14*'Outil Cibles'!D$8,0))))</f>
        <v>0</v>
      </c>
      <c r="C65">
        <f>IF($A65='Outil Cibles'!E$7,'Outil Cibles'!E$11*'Outil Cibles'!E$8,IF($A65=('Outil Cibles'!E$7+20),'Outil Cibles'!E$12*'Outil Cibles'!E$8,IF($A65=('Outil Cibles'!E$7+30),'Outil Cibles'!E$13*'Outil Cibles'!E$8,IF($A65=('Outil Cibles'!E$7+40),'Outil Cibles'!E$14*'Outil Cibles'!E$8,0))))</f>
        <v>0</v>
      </c>
      <c r="D65">
        <f>IF($A65='Outil Cibles'!F$7,'Outil Cibles'!F$11*'Outil Cibles'!F$8,IF($A65=('Outil Cibles'!F$7+20),'Outil Cibles'!F$12*'Outil Cibles'!F$8,IF($A65=('Outil Cibles'!F$7+30),'Outil Cibles'!F$13*'Outil Cibles'!F$8,IF($A65=('Outil Cibles'!F$7+40),'Outil Cibles'!F$14*'Outil Cibles'!F$8,0))))</f>
        <v>0</v>
      </c>
      <c r="E65">
        <f>IF($A65='Outil Cibles'!G$7,'Outil Cibles'!G$11*'Outil Cibles'!G$8,IF($A65=('Outil Cibles'!G$7+20),'Outil Cibles'!G$12*'Outil Cibles'!G$8,IF($A65=('Outil Cibles'!G$7+30),'Outil Cibles'!G$13*'Outil Cibles'!G$8,IF($A65=('Outil Cibles'!G$7+40),'Outil Cibles'!G$14*'Outil Cibles'!G$8,0))))</f>
        <v>0</v>
      </c>
      <c r="F65">
        <f>IF($A65='Outil Cibles'!H$7,'Outil Cibles'!H$11*'Outil Cibles'!H$8,IF($A65=('Outil Cibles'!H$7+20),'Outil Cibles'!H$12*'Outil Cibles'!H$8,IF($A65=('Outil Cibles'!H$7+30),'Outil Cibles'!H$13*'Outil Cibles'!H$8,IF($A65=('Outil Cibles'!H$7+40),'Outil Cibles'!H$14*'Outil Cibles'!H$8,0))))</f>
        <v>0</v>
      </c>
      <c r="G65">
        <f>IF($A65='Outil Cibles'!I$7,'Outil Cibles'!I$11*'Outil Cibles'!I$8,IF($A65=('Outil Cibles'!I$7+20),'Outil Cibles'!I$12*'Outil Cibles'!I$8,IF($A65=('Outil Cibles'!I$7+30),'Outil Cibles'!I$13*'Outil Cibles'!I$8,IF($A65=('Outil Cibles'!I$7+40),'Outil Cibles'!I$14*'Outil Cibles'!I$8,0))))</f>
        <v>0</v>
      </c>
      <c r="H65">
        <f>IF($A65='Outil Cibles'!J$7,'Outil Cibles'!J$11*'Outil Cibles'!J$8,IF($A65=('Outil Cibles'!J$7+20),'Outil Cibles'!J$12*'Outil Cibles'!J$8,IF($A65=('Outil Cibles'!J$7+30),'Outil Cibles'!J$13*'Outil Cibles'!J$8,IF($A65=('Outil Cibles'!J$7+40),'Outil Cibles'!J$14*'Outil Cibles'!J$8,0))))</f>
        <v>0</v>
      </c>
      <c r="I65">
        <f>IF($A65='Outil Cibles'!K$7,'Outil Cibles'!K$11*'Outil Cibles'!K$8,IF($A65=('Outil Cibles'!K$7+20),'Outil Cibles'!K$12*'Outil Cibles'!K$8,IF($A65=('Outil Cibles'!K$7+30),'Outil Cibles'!K$13*'Outil Cibles'!K$8,IF($A65=('Outil Cibles'!K$7+40),'Outil Cibles'!K$14*'Outil Cibles'!K$8,0))))</f>
        <v>0</v>
      </c>
      <c r="J65">
        <f>IF($A65='Outil Cibles'!L$7,'Outil Cibles'!L$11*'Outil Cibles'!L$8,IF($A65=('Outil Cibles'!L$7+20),'Outil Cibles'!L$12*'Outil Cibles'!L$8,IF($A65=('Outil Cibles'!L$7+30),'Outil Cibles'!L$13*'Outil Cibles'!L$8,IF($A65=('Outil Cibles'!L$7+40),'Outil Cibles'!L$14*'Outil Cibles'!L$8,0))))</f>
        <v>0</v>
      </c>
      <c r="K65">
        <f>IF($A65='Outil Cibles'!M$7,'Outil Cibles'!M$11*'Outil Cibles'!M$8,IF($A65=('Outil Cibles'!M$7+20),'Outil Cibles'!M$12*'Outil Cibles'!M$8,IF($A65=('Outil Cibles'!M$7+30),'Outil Cibles'!M$13*'Outil Cibles'!M$8,IF($A65=('Outil Cibles'!M$7+40),'Outil Cibles'!M$14*'Outil Cibles'!M$8,0))))</f>
        <v>0</v>
      </c>
      <c r="L65">
        <f t="shared" si="1"/>
        <v>0</v>
      </c>
      <c r="N65">
        <v>2082</v>
      </c>
      <c r="O65">
        <f>IF(N65='Outil Cibles'!$Q$7, 'Outil Cibles'!$Q$18, 0)</f>
        <v>0</v>
      </c>
      <c r="P65">
        <f>IF(N65='Outil Cibles'!$R$7, 'Outil Cibles'!$R$18, 0)</f>
        <v>0</v>
      </c>
      <c r="Q65">
        <f>IF(N65='Outil Cibles'!$S$7, 'Outil Cibles'!$S$18, 0)</f>
        <v>0</v>
      </c>
      <c r="R65">
        <f>IF(N65='Outil Cibles'!$T$7, 'Outil Cibles'!$T$18, 0)</f>
        <v>0</v>
      </c>
      <c r="S65">
        <f>IF(N65='Outil Cibles'!$U$7, 'Outil Cibles'!$U$18, 0)</f>
        <v>0</v>
      </c>
      <c r="T65">
        <f>IF(N65='Outil Cibles'!$V$7, 'Outil Cibles'!$V$18, 0)</f>
        <v>0</v>
      </c>
      <c r="U65">
        <f>IF(N65='Outil Cibles'!$W$7, 'Outil Cibles'!$W$18, 0)</f>
        <v>0</v>
      </c>
      <c r="V65">
        <f>IF(N65='Outil Cibles'!$X$7, 'Outil Cibles'!$X$18, 0)</f>
        <v>0</v>
      </c>
      <c r="W65">
        <f>IF(N65='Outil Cibles'!$Y$7, 'Outil Cibles'!$Y$18, 0)</f>
        <v>0</v>
      </c>
      <c r="X65">
        <f>IF(N65='Outil Cibles'!$Z$7, 'Outil Cibles'!$Z$18, 0)</f>
        <v>0</v>
      </c>
      <c r="Y65">
        <f t="shared" si="2"/>
        <v>0</v>
      </c>
      <c r="AA65">
        <f>IF($A65='Outil Cibles'!D$7,'Outil Cibles'!D$11*'Outil Cibles'!D$8,0)</f>
        <v>0</v>
      </c>
      <c r="AC65">
        <f>IF($A65=('Outil Cibles'!D$7+20),'Outil Cibles'!D$12*'Outil Cibles'!D$8,0)</f>
        <v>0</v>
      </c>
      <c r="AE65">
        <f>IF($A65=('Outil Cibles'!D$7+30),'Outil Cibles'!D$13*'Outil Cibles'!D$8,0)</f>
        <v>0</v>
      </c>
      <c r="AG65">
        <f>IF($A65=('Outil Cibles'!D$7+40),'Outil Cibles'!D$14*'Outil Cibles'!D$8,0)</f>
        <v>0</v>
      </c>
    </row>
    <row r="66" spans="1:33" x14ac:dyDescent="0.3">
      <c r="A66">
        <v>2083</v>
      </c>
      <c r="B66">
        <f>IF($A66='Outil Cibles'!D$7,'Outil Cibles'!D$11*'Outil Cibles'!D$8,IF($A66=('Outil Cibles'!D$7+20),'Outil Cibles'!D$12*'Outil Cibles'!D$8,IF($A66=('Outil Cibles'!D$7+30),'Outil Cibles'!D$13*'Outil Cibles'!D$8,IF($A66=('Outil Cibles'!D$7+40),'Outil Cibles'!D$14*'Outil Cibles'!D$8,0))))</f>
        <v>0</v>
      </c>
      <c r="C66">
        <f>IF($A66='Outil Cibles'!E$7,'Outil Cibles'!E$11*'Outil Cibles'!E$8,IF($A66=('Outil Cibles'!E$7+20),'Outil Cibles'!E$12*'Outil Cibles'!E$8,IF($A66=('Outil Cibles'!E$7+30),'Outil Cibles'!E$13*'Outil Cibles'!E$8,IF($A66=('Outil Cibles'!E$7+40),'Outil Cibles'!E$14*'Outil Cibles'!E$8,0))))</f>
        <v>0</v>
      </c>
      <c r="D66">
        <f>IF($A66='Outil Cibles'!F$7,'Outil Cibles'!F$11*'Outil Cibles'!F$8,IF($A66=('Outil Cibles'!F$7+20),'Outil Cibles'!F$12*'Outil Cibles'!F$8,IF($A66=('Outil Cibles'!F$7+30),'Outil Cibles'!F$13*'Outil Cibles'!F$8,IF($A66=('Outil Cibles'!F$7+40),'Outil Cibles'!F$14*'Outil Cibles'!F$8,0))))</f>
        <v>0</v>
      </c>
      <c r="E66">
        <f>IF($A66='Outil Cibles'!G$7,'Outil Cibles'!G$11*'Outil Cibles'!G$8,IF($A66=('Outil Cibles'!G$7+20),'Outil Cibles'!G$12*'Outil Cibles'!G$8,IF($A66=('Outil Cibles'!G$7+30),'Outil Cibles'!G$13*'Outil Cibles'!G$8,IF($A66=('Outil Cibles'!G$7+40),'Outil Cibles'!G$14*'Outil Cibles'!G$8,0))))</f>
        <v>0</v>
      </c>
      <c r="F66">
        <f>IF($A66='Outil Cibles'!H$7,'Outil Cibles'!H$11*'Outil Cibles'!H$8,IF($A66=('Outil Cibles'!H$7+20),'Outil Cibles'!H$12*'Outil Cibles'!H$8,IF($A66=('Outil Cibles'!H$7+30),'Outil Cibles'!H$13*'Outil Cibles'!H$8,IF($A66=('Outil Cibles'!H$7+40),'Outil Cibles'!H$14*'Outil Cibles'!H$8,0))))</f>
        <v>0</v>
      </c>
      <c r="G66">
        <f>IF($A66='Outil Cibles'!I$7,'Outil Cibles'!I$11*'Outil Cibles'!I$8,IF($A66=('Outil Cibles'!I$7+20),'Outil Cibles'!I$12*'Outil Cibles'!I$8,IF($A66=('Outil Cibles'!I$7+30),'Outil Cibles'!I$13*'Outil Cibles'!I$8,IF($A66=('Outil Cibles'!I$7+40),'Outil Cibles'!I$14*'Outil Cibles'!I$8,0))))</f>
        <v>0</v>
      </c>
      <c r="H66">
        <f>IF($A66='Outil Cibles'!J$7,'Outil Cibles'!J$11*'Outil Cibles'!J$8,IF($A66=('Outil Cibles'!J$7+20),'Outil Cibles'!J$12*'Outil Cibles'!J$8,IF($A66=('Outil Cibles'!J$7+30),'Outil Cibles'!J$13*'Outil Cibles'!J$8,IF($A66=('Outil Cibles'!J$7+40),'Outil Cibles'!J$14*'Outil Cibles'!J$8,0))))</f>
        <v>0</v>
      </c>
      <c r="I66">
        <f>IF($A66='Outil Cibles'!K$7,'Outil Cibles'!K$11*'Outil Cibles'!K$8,IF($A66=('Outil Cibles'!K$7+20),'Outil Cibles'!K$12*'Outil Cibles'!K$8,IF($A66=('Outil Cibles'!K$7+30),'Outil Cibles'!K$13*'Outil Cibles'!K$8,IF($A66=('Outil Cibles'!K$7+40),'Outil Cibles'!K$14*'Outil Cibles'!K$8,0))))</f>
        <v>0</v>
      </c>
      <c r="J66">
        <f>IF($A66='Outil Cibles'!L$7,'Outil Cibles'!L$11*'Outil Cibles'!L$8,IF($A66=('Outil Cibles'!L$7+20),'Outil Cibles'!L$12*'Outil Cibles'!L$8,IF($A66=('Outil Cibles'!L$7+30),'Outil Cibles'!L$13*'Outil Cibles'!L$8,IF($A66=('Outil Cibles'!L$7+40),'Outil Cibles'!L$14*'Outil Cibles'!L$8,0))))</f>
        <v>0</v>
      </c>
      <c r="K66">
        <f>IF($A66='Outil Cibles'!M$7,'Outil Cibles'!M$11*'Outil Cibles'!M$8,IF($A66=('Outil Cibles'!M$7+20),'Outil Cibles'!M$12*'Outil Cibles'!M$8,IF($A66=('Outil Cibles'!M$7+30),'Outil Cibles'!M$13*'Outil Cibles'!M$8,IF($A66=('Outil Cibles'!M$7+40),'Outil Cibles'!M$14*'Outil Cibles'!M$8,0))))</f>
        <v>0</v>
      </c>
      <c r="L66">
        <f t="shared" si="1"/>
        <v>0</v>
      </c>
      <c r="N66">
        <v>2083</v>
      </c>
      <c r="O66">
        <f>IF(N66='Outil Cibles'!$Q$7, 'Outil Cibles'!$Q$18, 0)</f>
        <v>0</v>
      </c>
      <c r="P66">
        <f>IF(N66='Outil Cibles'!$R$7, 'Outil Cibles'!$R$18, 0)</f>
        <v>0</v>
      </c>
      <c r="Q66">
        <f>IF(N66='Outil Cibles'!$S$7, 'Outil Cibles'!$S$18, 0)</f>
        <v>0</v>
      </c>
      <c r="R66">
        <f>IF(N66='Outil Cibles'!$T$7, 'Outil Cibles'!$T$18, 0)</f>
        <v>0</v>
      </c>
      <c r="S66">
        <f>IF(N66='Outil Cibles'!$U$7, 'Outil Cibles'!$U$18, 0)</f>
        <v>0</v>
      </c>
      <c r="T66">
        <f>IF(N66='Outil Cibles'!$V$7, 'Outil Cibles'!$V$18, 0)</f>
        <v>0</v>
      </c>
      <c r="U66">
        <f>IF(N66='Outil Cibles'!$W$7, 'Outil Cibles'!$W$18, 0)</f>
        <v>0</v>
      </c>
      <c r="V66">
        <f>IF(N66='Outil Cibles'!$X$7, 'Outil Cibles'!$X$18, 0)</f>
        <v>0</v>
      </c>
      <c r="W66">
        <f>IF(N66='Outil Cibles'!$Y$7, 'Outil Cibles'!$Y$18, 0)</f>
        <v>0</v>
      </c>
      <c r="X66">
        <f>IF(N66='Outil Cibles'!$Z$7, 'Outil Cibles'!$Z$18, 0)</f>
        <v>0</v>
      </c>
      <c r="Y66">
        <f t="shared" si="2"/>
        <v>0</v>
      </c>
      <c r="AA66">
        <f>IF($A66='Outil Cibles'!D$7,'Outil Cibles'!D$11*'Outil Cibles'!D$8,0)</f>
        <v>0</v>
      </c>
      <c r="AC66">
        <f>IF($A66=('Outil Cibles'!D$7+20),'Outil Cibles'!D$12*'Outil Cibles'!D$8,0)</f>
        <v>0</v>
      </c>
      <c r="AE66">
        <f>IF($A66=('Outil Cibles'!D$7+30),'Outil Cibles'!D$13*'Outil Cibles'!D$8,0)</f>
        <v>0</v>
      </c>
      <c r="AG66">
        <f>IF($A66=('Outil Cibles'!D$7+40),'Outil Cibles'!D$14*'Outil Cibles'!D$8,0)</f>
        <v>0</v>
      </c>
    </row>
    <row r="67" spans="1:33" x14ac:dyDescent="0.3">
      <c r="A67">
        <v>2084</v>
      </c>
      <c r="B67">
        <f>IF($A67='Outil Cibles'!D$7,'Outil Cibles'!D$11*'Outil Cibles'!D$8,IF($A67=('Outil Cibles'!D$7+20),'Outil Cibles'!D$12*'Outil Cibles'!D$8,IF($A67=('Outil Cibles'!D$7+30),'Outil Cibles'!D$13*'Outil Cibles'!D$8,IF($A67=('Outil Cibles'!D$7+40),'Outil Cibles'!D$14*'Outil Cibles'!D$8,0))))</f>
        <v>0</v>
      </c>
      <c r="C67">
        <f>IF($A67='Outil Cibles'!E$7,'Outil Cibles'!E$11*'Outil Cibles'!E$8,IF($A67=('Outil Cibles'!E$7+20),'Outil Cibles'!E$12*'Outil Cibles'!E$8,IF($A67=('Outil Cibles'!E$7+30),'Outil Cibles'!E$13*'Outil Cibles'!E$8,IF($A67=('Outil Cibles'!E$7+40),'Outil Cibles'!E$14*'Outil Cibles'!E$8,0))))</f>
        <v>0</v>
      </c>
      <c r="D67">
        <f>IF($A67='Outil Cibles'!F$7,'Outil Cibles'!F$11*'Outil Cibles'!F$8,IF($A67=('Outil Cibles'!F$7+20),'Outil Cibles'!F$12*'Outil Cibles'!F$8,IF($A67=('Outil Cibles'!F$7+30),'Outil Cibles'!F$13*'Outil Cibles'!F$8,IF($A67=('Outil Cibles'!F$7+40),'Outil Cibles'!F$14*'Outil Cibles'!F$8,0))))</f>
        <v>0</v>
      </c>
      <c r="E67">
        <f>IF($A67='Outil Cibles'!G$7,'Outil Cibles'!G$11*'Outil Cibles'!G$8,IF($A67=('Outil Cibles'!G$7+20),'Outil Cibles'!G$12*'Outil Cibles'!G$8,IF($A67=('Outil Cibles'!G$7+30),'Outil Cibles'!G$13*'Outil Cibles'!G$8,IF($A67=('Outil Cibles'!G$7+40),'Outil Cibles'!G$14*'Outil Cibles'!G$8,0))))</f>
        <v>0</v>
      </c>
      <c r="F67">
        <f>IF($A67='Outil Cibles'!H$7,'Outil Cibles'!H$11*'Outil Cibles'!H$8,IF($A67=('Outil Cibles'!H$7+20),'Outil Cibles'!H$12*'Outil Cibles'!H$8,IF($A67=('Outil Cibles'!H$7+30),'Outil Cibles'!H$13*'Outil Cibles'!H$8,IF($A67=('Outil Cibles'!H$7+40),'Outil Cibles'!H$14*'Outil Cibles'!H$8,0))))</f>
        <v>0</v>
      </c>
      <c r="G67">
        <f>IF($A67='Outil Cibles'!I$7,'Outil Cibles'!I$11*'Outil Cibles'!I$8,IF($A67=('Outil Cibles'!I$7+20),'Outil Cibles'!I$12*'Outil Cibles'!I$8,IF($A67=('Outil Cibles'!I$7+30),'Outil Cibles'!I$13*'Outil Cibles'!I$8,IF($A67=('Outil Cibles'!I$7+40),'Outil Cibles'!I$14*'Outil Cibles'!I$8,0))))</f>
        <v>0</v>
      </c>
      <c r="H67">
        <f>IF($A67='Outil Cibles'!J$7,'Outil Cibles'!J$11*'Outil Cibles'!J$8,IF($A67=('Outil Cibles'!J$7+20),'Outil Cibles'!J$12*'Outil Cibles'!J$8,IF($A67=('Outil Cibles'!J$7+30),'Outil Cibles'!J$13*'Outil Cibles'!J$8,IF($A67=('Outil Cibles'!J$7+40),'Outil Cibles'!J$14*'Outil Cibles'!J$8,0))))</f>
        <v>0</v>
      </c>
      <c r="I67">
        <f>IF($A67='Outil Cibles'!K$7,'Outil Cibles'!K$11*'Outil Cibles'!K$8,IF($A67=('Outil Cibles'!K$7+20),'Outil Cibles'!K$12*'Outil Cibles'!K$8,IF($A67=('Outil Cibles'!K$7+30),'Outil Cibles'!K$13*'Outil Cibles'!K$8,IF($A67=('Outil Cibles'!K$7+40),'Outil Cibles'!K$14*'Outil Cibles'!K$8,0))))</f>
        <v>0</v>
      </c>
      <c r="J67">
        <f>IF($A67='Outil Cibles'!L$7,'Outil Cibles'!L$11*'Outil Cibles'!L$8,IF($A67=('Outil Cibles'!L$7+20),'Outil Cibles'!L$12*'Outil Cibles'!L$8,IF($A67=('Outil Cibles'!L$7+30),'Outil Cibles'!L$13*'Outil Cibles'!L$8,IF($A67=('Outil Cibles'!L$7+40),'Outil Cibles'!L$14*'Outil Cibles'!L$8,0))))</f>
        <v>0</v>
      </c>
      <c r="K67">
        <f>IF($A67='Outil Cibles'!M$7,'Outil Cibles'!M$11*'Outil Cibles'!M$8,IF($A67=('Outil Cibles'!M$7+20),'Outil Cibles'!M$12*'Outil Cibles'!M$8,IF($A67=('Outil Cibles'!M$7+30),'Outil Cibles'!M$13*'Outil Cibles'!M$8,IF($A67=('Outil Cibles'!M$7+40),'Outil Cibles'!M$14*'Outil Cibles'!M$8,0))))</f>
        <v>0</v>
      </c>
      <c r="L67">
        <f t="shared" si="1"/>
        <v>0</v>
      </c>
      <c r="N67">
        <v>2084</v>
      </c>
      <c r="O67">
        <f>IF(N67='Outil Cibles'!$Q$7, 'Outil Cibles'!$Q$18, 0)</f>
        <v>0</v>
      </c>
      <c r="P67">
        <f>IF(N67='Outil Cibles'!$R$7, 'Outil Cibles'!$R$18, 0)</f>
        <v>0</v>
      </c>
      <c r="Q67">
        <f>IF(N67='Outil Cibles'!$S$7, 'Outil Cibles'!$S$18, 0)</f>
        <v>0</v>
      </c>
      <c r="R67">
        <f>IF(N67='Outil Cibles'!$T$7, 'Outil Cibles'!$T$18, 0)</f>
        <v>0</v>
      </c>
      <c r="S67">
        <f>IF(N67='Outil Cibles'!$U$7, 'Outil Cibles'!$U$18, 0)</f>
        <v>0</v>
      </c>
      <c r="T67">
        <f>IF(N67='Outil Cibles'!$V$7, 'Outil Cibles'!$V$18, 0)</f>
        <v>0</v>
      </c>
      <c r="U67">
        <f>IF(N67='Outil Cibles'!$W$7, 'Outil Cibles'!$W$18, 0)</f>
        <v>0</v>
      </c>
      <c r="V67">
        <f>IF(N67='Outil Cibles'!$X$7, 'Outil Cibles'!$X$18, 0)</f>
        <v>0</v>
      </c>
      <c r="W67">
        <f>IF(N67='Outil Cibles'!$Y$7, 'Outil Cibles'!$Y$18, 0)</f>
        <v>0</v>
      </c>
      <c r="X67">
        <f>IF(N67='Outil Cibles'!$Z$7, 'Outil Cibles'!$Z$18, 0)</f>
        <v>0</v>
      </c>
      <c r="Y67">
        <f t="shared" si="2"/>
        <v>0</v>
      </c>
      <c r="AA67">
        <f>IF($A67='Outil Cibles'!D$7,'Outil Cibles'!D$11*'Outil Cibles'!D$8,0)</f>
        <v>0</v>
      </c>
      <c r="AC67">
        <f>IF($A67=('Outil Cibles'!D$7+20),'Outil Cibles'!D$12*'Outil Cibles'!D$8,0)</f>
        <v>0</v>
      </c>
      <c r="AE67">
        <f>IF($A67=('Outil Cibles'!D$7+30),'Outil Cibles'!D$13*'Outil Cibles'!D$8,0)</f>
        <v>0</v>
      </c>
      <c r="AG67">
        <f>IF($A67=('Outil Cibles'!D$7+40),'Outil Cibles'!D$14*'Outil Cibles'!D$8,0)</f>
        <v>0</v>
      </c>
    </row>
    <row r="68" spans="1:33" x14ac:dyDescent="0.3">
      <c r="A68" s="10">
        <v>2085</v>
      </c>
      <c r="B68">
        <f>IF($A68='Outil Cibles'!D$7,'Outil Cibles'!D$11*'Outil Cibles'!D$8,IF($A68=('Outil Cibles'!D$7+20),'Outil Cibles'!D$12*'Outil Cibles'!D$8,IF($A68=('Outil Cibles'!D$7+30),'Outil Cibles'!D$13*'Outil Cibles'!D$8,IF($A68=('Outil Cibles'!D$7+40),'Outil Cibles'!D$14*'Outil Cibles'!D$8,0))))</f>
        <v>0</v>
      </c>
      <c r="C68">
        <f>IF($A68='Outil Cibles'!E$7,'Outil Cibles'!E$11*'Outil Cibles'!E$8,IF($A68=('Outil Cibles'!E$7+20),'Outil Cibles'!E$12*'Outil Cibles'!E$8,IF($A68=('Outil Cibles'!E$7+30),'Outil Cibles'!E$13*'Outil Cibles'!E$8,IF($A68=('Outil Cibles'!E$7+40),'Outil Cibles'!E$14*'Outil Cibles'!E$8,0))))</f>
        <v>0</v>
      </c>
      <c r="D68">
        <f>IF($A68='Outil Cibles'!F$7,'Outil Cibles'!F$11*'Outil Cibles'!F$8,IF($A68=('Outil Cibles'!F$7+20),'Outil Cibles'!F$12*'Outil Cibles'!F$8,IF($A68=('Outil Cibles'!F$7+30),'Outil Cibles'!F$13*'Outil Cibles'!F$8,IF($A68=('Outil Cibles'!F$7+40),'Outil Cibles'!F$14*'Outil Cibles'!F$8,0))))</f>
        <v>0</v>
      </c>
      <c r="E68">
        <f>IF($A68='Outil Cibles'!G$7,'Outil Cibles'!G$11*'Outil Cibles'!G$8,IF($A68=('Outil Cibles'!G$7+20),'Outil Cibles'!G$12*'Outil Cibles'!G$8,IF($A68=('Outil Cibles'!G$7+30),'Outil Cibles'!G$13*'Outil Cibles'!G$8,IF($A68=('Outil Cibles'!G$7+40),'Outil Cibles'!G$14*'Outil Cibles'!G$8,0))))</f>
        <v>0</v>
      </c>
      <c r="F68">
        <f>IF($A68='Outil Cibles'!H$7,'Outil Cibles'!H$11*'Outil Cibles'!H$8,IF($A68=('Outil Cibles'!H$7+20),'Outil Cibles'!H$12*'Outil Cibles'!H$8,IF($A68=('Outil Cibles'!H$7+30),'Outil Cibles'!H$13*'Outil Cibles'!H$8,IF($A68=('Outil Cibles'!H$7+40),'Outil Cibles'!H$14*'Outil Cibles'!H$8,0))))</f>
        <v>0</v>
      </c>
      <c r="G68">
        <f>IF($A68='Outil Cibles'!I$7,'Outil Cibles'!I$11*'Outil Cibles'!I$8,IF($A68=('Outil Cibles'!I$7+20),'Outil Cibles'!I$12*'Outil Cibles'!I$8,IF($A68=('Outil Cibles'!I$7+30),'Outil Cibles'!I$13*'Outil Cibles'!I$8,IF($A68=('Outil Cibles'!I$7+40),'Outil Cibles'!I$14*'Outil Cibles'!I$8,0))))</f>
        <v>0</v>
      </c>
      <c r="H68">
        <f>IF($A68='Outil Cibles'!J$7,'Outil Cibles'!J$11*'Outil Cibles'!J$8,IF($A68=('Outil Cibles'!J$7+20),'Outil Cibles'!J$12*'Outil Cibles'!J$8,IF($A68=('Outil Cibles'!J$7+30),'Outil Cibles'!J$13*'Outil Cibles'!J$8,IF($A68=('Outil Cibles'!J$7+40),'Outil Cibles'!J$14*'Outil Cibles'!J$8,0))))</f>
        <v>0</v>
      </c>
      <c r="I68">
        <f>IF($A68='Outil Cibles'!K$7,'Outil Cibles'!K$11*'Outil Cibles'!K$8,IF($A68=('Outil Cibles'!K$7+20),'Outil Cibles'!K$12*'Outil Cibles'!K$8,IF($A68=('Outil Cibles'!K$7+30),'Outil Cibles'!K$13*'Outil Cibles'!K$8,IF($A68=('Outil Cibles'!K$7+40),'Outil Cibles'!K$14*'Outil Cibles'!K$8,0))))</f>
        <v>0</v>
      </c>
      <c r="J68">
        <f>IF($A68='Outil Cibles'!L$7,'Outil Cibles'!L$11*'Outil Cibles'!L$8,IF($A68=('Outil Cibles'!L$7+20),'Outil Cibles'!L$12*'Outil Cibles'!L$8,IF($A68=('Outil Cibles'!L$7+30),'Outil Cibles'!L$13*'Outil Cibles'!L$8,IF($A68=('Outil Cibles'!L$7+40),'Outil Cibles'!L$14*'Outil Cibles'!L$8,0))))</f>
        <v>0</v>
      </c>
      <c r="K68">
        <f>IF($A68='Outil Cibles'!M$7,'Outil Cibles'!M$11*'Outil Cibles'!M$8,IF($A68=('Outil Cibles'!M$7+20),'Outil Cibles'!M$12*'Outil Cibles'!M$8,IF($A68=('Outil Cibles'!M$7+30),'Outil Cibles'!M$13*'Outil Cibles'!M$8,IF($A68=('Outil Cibles'!M$7+40),'Outil Cibles'!M$14*'Outil Cibles'!M$8,0))))</f>
        <v>0</v>
      </c>
      <c r="L68">
        <f t="shared" si="1"/>
        <v>0</v>
      </c>
      <c r="N68" s="10">
        <v>2085</v>
      </c>
      <c r="O68">
        <f>IF(N68='Outil Cibles'!$Q$7, 'Outil Cibles'!$Q$18, 0)</f>
        <v>0</v>
      </c>
      <c r="P68">
        <f>IF(N68='Outil Cibles'!$R$7, 'Outil Cibles'!$R$18, 0)</f>
        <v>0</v>
      </c>
      <c r="Q68">
        <f>IF(N68='Outil Cibles'!$S$7, 'Outil Cibles'!$S$18, 0)</f>
        <v>0</v>
      </c>
      <c r="R68">
        <f>IF(N68='Outil Cibles'!$T$7, 'Outil Cibles'!$T$18, 0)</f>
        <v>0</v>
      </c>
      <c r="S68">
        <f>IF(N68='Outil Cibles'!$U$7, 'Outil Cibles'!$U$18, 0)</f>
        <v>0</v>
      </c>
      <c r="T68">
        <f>IF(N68='Outil Cibles'!$V$7, 'Outil Cibles'!$V$18, 0)</f>
        <v>0</v>
      </c>
      <c r="U68">
        <f>IF(N68='Outil Cibles'!$W$7, 'Outil Cibles'!$W$18, 0)</f>
        <v>0</v>
      </c>
      <c r="V68">
        <f>IF(N68='Outil Cibles'!$X$7, 'Outil Cibles'!$X$18, 0)</f>
        <v>0</v>
      </c>
      <c r="W68">
        <f>IF(N68='Outil Cibles'!$Y$7, 'Outil Cibles'!$Y$18, 0)</f>
        <v>0</v>
      </c>
      <c r="X68">
        <f>IF(N68='Outil Cibles'!$Z$7, 'Outil Cibles'!$Z$18, 0)</f>
        <v>0</v>
      </c>
      <c r="Y68">
        <f t="shared" si="2"/>
        <v>0</v>
      </c>
      <c r="AA68">
        <f>IF($A68='Outil Cibles'!D$7,'Outil Cibles'!D$11*'Outil Cibles'!D$8,0)</f>
        <v>0</v>
      </c>
      <c r="AC68">
        <f>IF($A68=('Outil Cibles'!D$7+20),'Outil Cibles'!D$12*'Outil Cibles'!D$8,0)</f>
        <v>0</v>
      </c>
      <c r="AE68">
        <f>IF($A68=('Outil Cibles'!D$7+30),'Outil Cibles'!D$13*'Outil Cibles'!D$8,0)</f>
        <v>0</v>
      </c>
      <c r="AG68">
        <f>IF($A68=('Outil Cibles'!D$7+40),'Outil Cibles'!D$14*'Outil Cibles'!D$8,0)</f>
        <v>0</v>
      </c>
    </row>
    <row r="69" spans="1:33" x14ac:dyDescent="0.3">
      <c r="A69">
        <v>2086</v>
      </c>
      <c r="B69">
        <f>IF($A69='Outil Cibles'!D$7,'Outil Cibles'!D$11*'Outil Cibles'!D$8,IF($A69=('Outil Cibles'!D$7+20),'Outil Cibles'!D$12*'Outil Cibles'!D$8,IF($A69=('Outil Cibles'!D$7+30),'Outil Cibles'!D$13*'Outil Cibles'!D$8,IF($A69=('Outil Cibles'!D$7+40),'Outil Cibles'!D$14*'Outil Cibles'!D$8,0))))</f>
        <v>0</v>
      </c>
      <c r="C69">
        <f>IF($A69='Outil Cibles'!E$7,'Outil Cibles'!E$11*'Outil Cibles'!E$8,IF($A69=('Outil Cibles'!E$7+20),'Outil Cibles'!E$12*'Outil Cibles'!E$8,IF($A69=('Outil Cibles'!E$7+30),'Outil Cibles'!E$13*'Outil Cibles'!E$8,IF($A69=('Outil Cibles'!E$7+40),'Outil Cibles'!E$14*'Outil Cibles'!E$8,0))))</f>
        <v>0</v>
      </c>
      <c r="D69">
        <f>IF($A69='Outil Cibles'!F$7,'Outil Cibles'!F$11*'Outil Cibles'!F$8,IF($A69=('Outil Cibles'!F$7+20),'Outil Cibles'!F$12*'Outil Cibles'!F$8,IF($A69=('Outil Cibles'!F$7+30),'Outil Cibles'!F$13*'Outil Cibles'!F$8,IF($A69=('Outil Cibles'!F$7+40),'Outil Cibles'!F$14*'Outil Cibles'!F$8,0))))</f>
        <v>0</v>
      </c>
      <c r="E69">
        <f>IF($A69='Outil Cibles'!G$7,'Outil Cibles'!G$11*'Outil Cibles'!G$8,IF($A69=('Outil Cibles'!G$7+20),'Outil Cibles'!G$12*'Outil Cibles'!G$8,IF($A69=('Outil Cibles'!G$7+30),'Outil Cibles'!G$13*'Outil Cibles'!G$8,IF($A69=('Outil Cibles'!G$7+40),'Outil Cibles'!G$14*'Outil Cibles'!G$8,0))))</f>
        <v>0</v>
      </c>
      <c r="F69">
        <f>IF($A69='Outil Cibles'!H$7,'Outil Cibles'!H$11*'Outil Cibles'!H$8,IF($A69=('Outil Cibles'!H$7+20),'Outil Cibles'!H$12*'Outil Cibles'!H$8,IF($A69=('Outil Cibles'!H$7+30),'Outil Cibles'!H$13*'Outil Cibles'!H$8,IF($A69=('Outil Cibles'!H$7+40),'Outil Cibles'!H$14*'Outil Cibles'!H$8,0))))</f>
        <v>0</v>
      </c>
      <c r="G69">
        <f>IF($A69='Outil Cibles'!I$7,'Outil Cibles'!I$11*'Outil Cibles'!I$8,IF($A69=('Outil Cibles'!I$7+20),'Outil Cibles'!I$12*'Outil Cibles'!I$8,IF($A69=('Outil Cibles'!I$7+30),'Outil Cibles'!I$13*'Outil Cibles'!I$8,IF($A69=('Outil Cibles'!I$7+40),'Outil Cibles'!I$14*'Outil Cibles'!I$8,0))))</f>
        <v>0</v>
      </c>
      <c r="H69">
        <f>IF($A69='Outil Cibles'!J$7,'Outil Cibles'!J$11*'Outil Cibles'!J$8,IF($A69=('Outil Cibles'!J$7+20),'Outil Cibles'!J$12*'Outil Cibles'!J$8,IF($A69=('Outil Cibles'!J$7+30),'Outil Cibles'!J$13*'Outil Cibles'!J$8,IF($A69=('Outil Cibles'!J$7+40),'Outil Cibles'!J$14*'Outil Cibles'!J$8,0))))</f>
        <v>0</v>
      </c>
      <c r="I69">
        <f>IF($A69='Outil Cibles'!K$7,'Outil Cibles'!K$11*'Outil Cibles'!K$8,IF($A69=('Outil Cibles'!K$7+20),'Outil Cibles'!K$12*'Outil Cibles'!K$8,IF($A69=('Outil Cibles'!K$7+30),'Outil Cibles'!K$13*'Outil Cibles'!K$8,IF($A69=('Outil Cibles'!K$7+40),'Outil Cibles'!K$14*'Outil Cibles'!K$8,0))))</f>
        <v>0</v>
      </c>
      <c r="J69">
        <f>IF($A69='Outil Cibles'!L$7,'Outil Cibles'!L$11*'Outil Cibles'!L$8,IF($A69=('Outil Cibles'!L$7+20),'Outil Cibles'!L$12*'Outil Cibles'!L$8,IF($A69=('Outil Cibles'!L$7+30),'Outil Cibles'!L$13*'Outil Cibles'!L$8,IF($A69=('Outil Cibles'!L$7+40),'Outil Cibles'!L$14*'Outil Cibles'!L$8,0))))</f>
        <v>0</v>
      </c>
      <c r="K69">
        <f>IF($A69='Outil Cibles'!M$7,'Outil Cibles'!M$11*'Outil Cibles'!M$8,IF($A69=('Outil Cibles'!M$7+20),'Outil Cibles'!M$12*'Outil Cibles'!M$8,IF($A69=('Outil Cibles'!M$7+30),'Outil Cibles'!M$13*'Outil Cibles'!M$8,IF($A69=('Outil Cibles'!M$7+40),'Outil Cibles'!M$14*'Outil Cibles'!M$8,0))))</f>
        <v>0</v>
      </c>
      <c r="L69">
        <f t="shared" si="1"/>
        <v>0</v>
      </c>
      <c r="N69">
        <v>2086</v>
      </c>
      <c r="O69">
        <f>IF(N69='Outil Cibles'!$Q$7, 'Outil Cibles'!$Q$18, 0)</f>
        <v>0</v>
      </c>
      <c r="P69">
        <f>IF(N69='Outil Cibles'!$R$7, 'Outil Cibles'!$R$18, 0)</f>
        <v>0</v>
      </c>
      <c r="Q69">
        <f>IF(N69='Outil Cibles'!$S$7, 'Outil Cibles'!$S$18, 0)</f>
        <v>0</v>
      </c>
      <c r="R69">
        <f>IF(N69='Outil Cibles'!$T$7, 'Outil Cibles'!$T$18, 0)</f>
        <v>0</v>
      </c>
      <c r="S69">
        <f>IF(N69='Outil Cibles'!$U$7, 'Outil Cibles'!$U$18, 0)</f>
        <v>0</v>
      </c>
      <c r="T69">
        <f>IF(N69='Outil Cibles'!$V$7, 'Outil Cibles'!$V$18, 0)</f>
        <v>0</v>
      </c>
      <c r="U69">
        <f>IF(N69='Outil Cibles'!$W$7, 'Outil Cibles'!$W$18, 0)</f>
        <v>0</v>
      </c>
      <c r="V69">
        <f>IF(N69='Outil Cibles'!$X$7, 'Outil Cibles'!$X$18, 0)</f>
        <v>0</v>
      </c>
      <c r="W69">
        <f>IF(N69='Outil Cibles'!$Y$7, 'Outil Cibles'!$Y$18, 0)</f>
        <v>0</v>
      </c>
      <c r="X69">
        <f>IF(N69='Outil Cibles'!$Z$7, 'Outil Cibles'!$Z$18, 0)</f>
        <v>0</v>
      </c>
      <c r="Y69">
        <f t="shared" si="2"/>
        <v>0</v>
      </c>
      <c r="AA69">
        <f>IF($A69='Outil Cibles'!D$7,'Outil Cibles'!D$11*'Outil Cibles'!D$8,0)</f>
        <v>0</v>
      </c>
      <c r="AC69">
        <f>IF($A69=('Outil Cibles'!D$7+20),'Outil Cibles'!D$12*'Outil Cibles'!D$8,0)</f>
        <v>0</v>
      </c>
      <c r="AE69">
        <f>IF($A69=('Outil Cibles'!D$7+30),'Outil Cibles'!D$13*'Outil Cibles'!D$8,0)</f>
        <v>0</v>
      </c>
      <c r="AG69">
        <f>IF($A69=('Outil Cibles'!D$7+40),'Outil Cibles'!D$14*'Outil Cibles'!D$8,0)</f>
        <v>0</v>
      </c>
    </row>
    <row r="70" spans="1:33" x14ac:dyDescent="0.3">
      <c r="A70">
        <v>2087</v>
      </c>
      <c r="B70">
        <f>IF($A70='Outil Cibles'!D$7,'Outil Cibles'!D$11*'Outil Cibles'!D$8,IF($A70=('Outil Cibles'!D$7+20),'Outil Cibles'!D$12*'Outil Cibles'!D$8,IF($A70=('Outil Cibles'!D$7+30),'Outil Cibles'!D$13*'Outil Cibles'!D$8,IF($A70=('Outil Cibles'!D$7+40),'Outil Cibles'!D$14*'Outil Cibles'!D$8,0))))</f>
        <v>0</v>
      </c>
      <c r="C70">
        <f>IF($A70='Outil Cibles'!E$7,'Outil Cibles'!E$11*'Outil Cibles'!E$8,IF($A70=('Outil Cibles'!E$7+20),'Outil Cibles'!E$12*'Outil Cibles'!E$8,IF($A70=('Outil Cibles'!E$7+30),'Outil Cibles'!E$13*'Outil Cibles'!E$8,IF($A70=('Outil Cibles'!E$7+40),'Outil Cibles'!E$14*'Outil Cibles'!E$8,0))))</f>
        <v>0</v>
      </c>
      <c r="D70">
        <f>IF($A70='Outil Cibles'!F$7,'Outil Cibles'!F$11*'Outil Cibles'!F$8,IF($A70=('Outil Cibles'!F$7+20),'Outil Cibles'!F$12*'Outil Cibles'!F$8,IF($A70=('Outil Cibles'!F$7+30),'Outil Cibles'!F$13*'Outil Cibles'!F$8,IF($A70=('Outil Cibles'!F$7+40),'Outil Cibles'!F$14*'Outil Cibles'!F$8,0))))</f>
        <v>0</v>
      </c>
      <c r="E70">
        <f>IF($A70='Outil Cibles'!G$7,'Outil Cibles'!G$11*'Outil Cibles'!G$8,IF($A70=('Outil Cibles'!G$7+20),'Outil Cibles'!G$12*'Outil Cibles'!G$8,IF($A70=('Outil Cibles'!G$7+30),'Outil Cibles'!G$13*'Outil Cibles'!G$8,IF($A70=('Outil Cibles'!G$7+40),'Outil Cibles'!G$14*'Outil Cibles'!G$8,0))))</f>
        <v>0</v>
      </c>
      <c r="F70">
        <f>IF($A70='Outil Cibles'!H$7,'Outil Cibles'!H$11*'Outil Cibles'!H$8,IF($A70=('Outil Cibles'!H$7+20),'Outil Cibles'!H$12*'Outil Cibles'!H$8,IF($A70=('Outil Cibles'!H$7+30),'Outil Cibles'!H$13*'Outil Cibles'!H$8,IF($A70=('Outil Cibles'!H$7+40),'Outil Cibles'!H$14*'Outil Cibles'!H$8,0))))</f>
        <v>0</v>
      </c>
      <c r="G70">
        <f>IF($A70='Outil Cibles'!I$7,'Outil Cibles'!I$11*'Outil Cibles'!I$8,IF($A70=('Outil Cibles'!I$7+20),'Outil Cibles'!I$12*'Outil Cibles'!I$8,IF($A70=('Outil Cibles'!I$7+30),'Outil Cibles'!I$13*'Outil Cibles'!I$8,IF($A70=('Outil Cibles'!I$7+40),'Outil Cibles'!I$14*'Outil Cibles'!I$8,0))))</f>
        <v>0</v>
      </c>
      <c r="H70">
        <f>IF($A70='Outil Cibles'!J$7,'Outil Cibles'!J$11*'Outil Cibles'!J$8,IF($A70=('Outil Cibles'!J$7+20),'Outil Cibles'!J$12*'Outil Cibles'!J$8,IF($A70=('Outil Cibles'!J$7+30),'Outil Cibles'!J$13*'Outil Cibles'!J$8,IF($A70=('Outil Cibles'!J$7+40),'Outil Cibles'!J$14*'Outil Cibles'!J$8,0))))</f>
        <v>0</v>
      </c>
      <c r="I70">
        <f>IF($A70='Outil Cibles'!K$7,'Outil Cibles'!K$11*'Outil Cibles'!K$8,IF($A70=('Outil Cibles'!K$7+20),'Outil Cibles'!K$12*'Outil Cibles'!K$8,IF($A70=('Outil Cibles'!K$7+30),'Outil Cibles'!K$13*'Outil Cibles'!K$8,IF($A70=('Outil Cibles'!K$7+40),'Outil Cibles'!K$14*'Outil Cibles'!K$8,0))))</f>
        <v>0</v>
      </c>
      <c r="J70">
        <f>IF($A70='Outil Cibles'!L$7,'Outil Cibles'!L$11*'Outil Cibles'!L$8,IF($A70=('Outil Cibles'!L$7+20),'Outil Cibles'!L$12*'Outil Cibles'!L$8,IF($A70=('Outil Cibles'!L$7+30),'Outil Cibles'!L$13*'Outil Cibles'!L$8,IF($A70=('Outil Cibles'!L$7+40),'Outil Cibles'!L$14*'Outil Cibles'!L$8,0))))</f>
        <v>0</v>
      </c>
      <c r="K70">
        <f>IF($A70='Outil Cibles'!M$7,'Outil Cibles'!M$11*'Outil Cibles'!M$8,IF($A70=('Outil Cibles'!M$7+20),'Outil Cibles'!M$12*'Outil Cibles'!M$8,IF($A70=('Outil Cibles'!M$7+30),'Outil Cibles'!M$13*'Outil Cibles'!M$8,IF($A70=('Outil Cibles'!M$7+40),'Outil Cibles'!M$14*'Outil Cibles'!M$8,0))))</f>
        <v>0</v>
      </c>
      <c r="L70">
        <f t="shared" ref="L70:L83" si="3">SUM(B70:K70)</f>
        <v>0</v>
      </c>
      <c r="N70">
        <v>2087</v>
      </c>
      <c r="O70">
        <f>IF(N70='Outil Cibles'!$Q$7, 'Outil Cibles'!$Q$18, 0)</f>
        <v>0</v>
      </c>
      <c r="P70">
        <f>IF(N70='Outil Cibles'!$R$7, 'Outil Cibles'!$R$18, 0)</f>
        <v>0</v>
      </c>
      <c r="Q70">
        <f>IF(N70='Outil Cibles'!$S$7, 'Outil Cibles'!$S$18, 0)</f>
        <v>0</v>
      </c>
      <c r="R70">
        <f>IF(N70='Outil Cibles'!$T$7, 'Outil Cibles'!$T$18, 0)</f>
        <v>0</v>
      </c>
      <c r="S70">
        <f>IF(N70='Outil Cibles'!$U$7, 'Outil Cibles'!$U$18, 0)</f>
        <v>0</v>
      </c>
      <c r="T70">
        <f>IF(N70='Outil Cibles'!$V$7, 'Outil Cibles'!$V$18, 0)</f>
        <v>0</v>
      </c>
      <c r="U70">
        <f>IF(N70='Outil Cibles'!$W$7, 'Outil Cibles'!$W$18, 0)</f>
        <v>0</v>
      </c>
      <c r="V70">
        <f>IF(N70='Outil Cibles'!$X$7, 'Outil Cibles'!$X$18, 0)</f>
        <v>0</v>
      </c>
      <c r="W70">
        <f>IF(N70='Outil Cibles'!$Y$7, 'Outil Cibles'!$Y$18, 0)</f>
        <v>0</v>
      </c>
      <c r="X70">
        <f>IF(N70='Outil Cibles'!$Z$7, 'Outil Cibles'!$Z$18, 0)</f>
        <v>0</v>
      </c>
      <c r="Y70">
        <f t="shared" ref="Y70:Y83" si="4">SUM(O70:X70)</f>
        <v>0</v>
      </c>
      <c r="AA70">
        <f>IF($A70='Outil Cibles'!D$7,'Outil Cibles'!D$11*'Outil Cibles'!D$8,0)</f>
        <v>0</v>
      </c>
      <c r="AC70">
        <f>IF($A70=('Outil Cibles'!D$7+20),'Outil Cibles'!D$12*'Outil Cibles'!D$8,0)</f>
        <v>0</v>
      </c>
      <c r="AE70">
        <f>IF($A70=('Outil Cibles'!D$7+30),'Outil Cibles'!D$13*'Outil Cibles'!D$8,0)</f>
        <v>0</v>
      </c>
      <c r="AG70">
        <f>IF($A70=('Outil Cibles'!D$7+40),'Outil Cibles'!D$14*'Outil Cibles'!D$8,0)</f>
        <v>0</v>
      </c>
    </row>
    <row r="71" spans="1:33" x14ac:dyDescent="0.3">
      <c r="A71">
        <v>2088</v>
      </c>
      <c r="B71">
        <f>IF($A71='Outil Cibles'!D$7,'Outil Cibles'!D$11*'Outil Cibles'!D$8,IF($A71=('Outil Cibles'!D$7+20),'Outil Cibles'!D$12*'Outil Cibles'!D$8,IF($A71=('Outil Cibles'!D$7+30),'Outil Cibles'!D$13*'Outil Cibles'!D$8,IF($A71=('Outil Cibles'!D$7+40),'Outil Cibles'!D$14*'Outil Cibles'!D$8,0))))</f>
        <v>0</v>
      </c>
      <c r="C71">
        <f>IF($A71='Outil Cibles'!E$7,'Outil Cibles'!E$11*'Outil Cibles'!E$8,IF($A71=('Outil Cibles'!E$7+20),'Outil Cibles'!E$12*'Outil Cibles'!E$8,IF($A71=('Outil Cibles'!E$7+30),'Outil Cibles'!E$13*'Outil Cibles'!E$8,IF($A71=('Outil Cibles'!E$7+40),'Outil Cibles'!E$14*'Outil Cibles'!E$8,0))))</f>
        <v>0</v>
      </c>
      <c r="D71">
        <f>IF($A71='Outil Cibles'!F$7,'Outil Cibles'!F$11*'Outil Cibles'!F$8,IF($A71=('Outil Cibles'!F$7+20),'Outil Cibles'!F$12*'Outil Cibles'!F$8,IF($A71=('Outil Cibles'!F$7+30),'Outil Cibles'!F$13*'Outil Cibles'!F$8,IF($A71=('Outil Cibles'!F$7+40),'Outil Cibles'!F$14*'Outil Cibles'!F$8,0))))</f>
        <v>0</v>
      </c>
      <c r="E71">
        <f>IF($A71='Outil Cibles'!G$7,'Outil Cibles'!G$11*'Outil Cibles'!G$8,IF($A71=('Outil Cibles'!G$7+20),'Outil Cibles'!G$12*'Outil Cibles'!G$8,IF($A71=('Outil Cibles'!G$7+30),'Outil Cibles'!G$13*'Outil Cibles'!G$8,IF($A71=('Outil Cibles'!G$7+40),'Outil Cibles'!G$14*'Outil Cibles'!G$8,0))))</f>
        <v>0</v>
      </c>
      <c r="F71">
        <f>IF($A71='Outil Cibles'!H$7,'Outil Cibles'!H$11*'Outil Cibles'!H$8,IF($A71=('Outil Cibles'!H$7+20),'Outil Cibles'!H$12*'Outil Cibles'!H$8,IF($A71=('Outil Cibles'!H$7+30),'Outil Cibles'!H$13*'Outil Cibles'!H$8,IF($A71=('Outil Cibles'!H$7+40),'Outil Cibles'!H$14*'Outil Cibles'!H$8,0))))</f>
        <v>0</v>
      </c>
      <c r="G71">
        <f>IF($A71='Outil Cibles'!I$7,'Outil Cibles'!I$11*'Outil Cibles'!I$8,IF($A71=('Outil Cibles'!I$7+20),'Outil Cibles'!I$12*'Outil Cibles'!I$8,IF($A71=('Outil Cibles'!I$7+30),'Outil Cibles'!I$13*'Outil Cibles'!I$8,IF($A71=('Outil Cibles'!I$7+40),'Outil Cibles'!I$14*'Outil Cibles'!I$8,0))))</f>
        <v>0</v>
      </c>
      <c r="H71">
        <f>IF($A71='Outil Cibles'!J$7,'Outil Cibles'!J$11*'Outil Cibles'!J$8,IF($A71=('Outil Cibles'!J$7+20),'Outil Cibles'!J$12*'Outil Cibles'!J$8,IF($A71=('Outil Cibles'!J$7+30),'Outil Cibles'!J$13*'Outil Cibles'!J$8,IF($A71=('Outil Cibles'!J$7+40),'Outil Cibles'!J$14*'Outil Cibles'!J$8,0))))</f>
        <v>0</v>
      </c>
      <c r="I71">
        <f>IF($A71='Outil Cibles'!K$7,'Outil Cibles'!K$11*'Outil Cibles'!K$8,IF($A71=('Outil Cibles'!K$7+20),'Outil Cibles'!K$12*'Outil Cibles'!K$8,IF($A71=('Outil Cibles'!K$7+30),'Outil Cibles'!K$13*'Outil Cibles'!K$8,IF($A71=('Outil Cibles'!K$7+40),'Outil Cibles'!K$14*'Outil Cibles'!K$8,0))))</f>
        <v>0</v>
      </c>
      <c r="J71">
        <f>IF($A71='Outil Cibles'!L$7,'Outil Cibles'!L$11*'Outil Cibles'!L$8,IF($A71=('Outil Cibles'!L$7+20),'Outil Cibles'!L$12*'Outil Cibles'!L$8,IF($A71=('Outil Cibles'!L$7+30),'Outil Cibles'!L$13*'Outil Cibles'!L$8,IF($A71=('Outil Cibles'!L$7+40),'Outil Cibles'!L$14*'Outil Cibles'!L$8,0))))</f>
        <v>0</v>
      </c>
      <c r="K71">
        <f>IF($A71='Outil Cibles'!M$7,'Outil Cibles'!M$11*'Outil Cibles'!M$8,IF($A71=('Outil Cibles'!M$7+20),'Outil Cibles'!M$12*'Outil Cibles'!M$8,IF($A71=('Outil Cibles'!M$7+30),'Outil Cibles'!M$13*'Outil Cibles'!M$8,IF($A71=('Outil Cibles'!M$7+40),'Outil Cibles'!M$14*'Outil Cibles'!M$8,0))))</f>
        <v>0</v>
      </c>
      <c r="L71">
        <f t="shared" si="3"/>
        <v>0</v>
      </c>
      <c r="N71">
        <v>2088</v>
      </c>
      <c r="O71">
        <f>IF(N71='Outil Cibles'!$Q$7, 'Outil Cibles'!$Q$18, 0)</f>
        <v>0</v>
      </c>
      <c r="P71">
        <f>IF(N71='Outil Cibles'!$R$7, 'Outil Cibles'!$R$18, 0)</f>
        <v>0</v>
      </c>
      <c r="Q71">
        <f>IF(N71='Outil Cibles'!$S$7, 'Outil Cibles'!$S$18, 0)</f>
        <v>0</v>
      </c>
      <c r="R71">
        <f>IF(N71='Outil Cibles'!$T$7, 'Outil Cibles'!$T$18, 0)</f>
        <v>0</v>
      </c>
      <c r="S71">
        <f>IF(N71='Outil Cibles'!$U$7, 'Outil Cibles'!$U$18, 0)</f>
        <v>0</v>
      </c>
      <c r="T71">
        <f>IF(N71='Outil Cibles'!$V$7, 'Outil Cibles'!$V$18, 0)</f>
        <v>0</v>
      </c>
      <c r="U71">
        <f>IF(N71='Outil Cibles'!$W$7, 'Outil Cibles'!$W$18, 0)</f>
        <v>0</v>
      </c>
      <c r="V71">
        <f>IF(N71='Outil Cibles'!$X$7, 'Outil Cibles'!$X$18, 0)</f>
        <v>0</v>
      </c>
      <c r="W71">
        <f>IF(N71='Outil Cibles'!$Y$7, 'Outil Cibles'!$Y$18, 0)</f>
        <v>0</v>
      </c>
      <c r="X71">
        <f>IF(N71='Outil Cibles'!$Z$7, 'Outil Cibles'!$Z$18, 0)</f>
        <v>0</v>
      </c>
      <c r="Y71">
        <f t="shared" si="4"/>
        <v>0</v>
      </c>
      <c r="AA71">
        <f>IF($A71='Outil Cibles'!D$7,'Outil Cibles'!D$11*'Outil Cibles'!D$8,0)</f>
        <v>0</v>
      </c>
      <c r="AC71">
        <f>IF($A71=('Outil Cibles'!D$7+20),'Outil Cibles'!D$12*'Outil Cibles'!D$8,0)</f>
        <v>0</v>
      </c>
      <c r="AE71">
        <f>IF($A71=('Outil Cibles'!D$7+30),'Outil Cibles'!D$13*'Outil Cibles'!D$8,0)</f>
        <v>0</v>
      </c>
      <c r="AG71">
        <f>IF($A71=('Outil Cibles'!D$7+40),'Outil Cibles'!D$14*'Outil Cibles'!D$8,0)</f>
        <v>0</v>
      </c>
    </row>
    <row r="72" spans="1:33" x14ac:dyDescent="0.3">
      <c r="A72" s="10">
        <v>2089</v>
      </c>
      <c r="B72">
        <f>IF($A72='Outil Cibles'!D$7,'Outil Cibles'!D$11*'Outil Cibles'!D$8,IF($A72=('Outil Cibles'!D$7+20),'Outil Cibles'!D$12*'Outil Cibles'!D$8,IF($A72=('Outil Cibles'!D$7+30),'Outil Cibles'!D$13*'Outil Cibles'!D$8,IF($A72=('Outil Cibles'!D$7+40),'Outil Cibles'!D$14*'Outil Cibles'!D$8,0))))</f>
        <v>0</v>
      </c>
      <c r="C72">
        <f>IF($A72='Outil Cibles'!E$7,'Outil Cibles'!E$11*'Outil Cibles'!E$8,IF($A72=('Outil Cibles'!E$7+20),'Outil Cibles'!E$12*'Outil Cibles'!E$8,IF($A72=('Outil Cibles'!E$7+30),'Outil Cibles'!E$13*'Outil Cibles'!E$8,IF($A72=('Outil Cibles'!E$7+40),'Outil Cibles'!E$14*'Outil Cibles'!E$8,0))))</f>
        <v>0</v>
      </c>
      <c r="D72">
        <f>IF($A72='Outil Cibles'!F$7,'Outil Cibles'!F$11*'Outil Cibles'!F$8,IF($A72=('Outil Cibles'!F$7+20),'Outil Cibles'!F$12*'Outil Cibles'!F$8,IF($A72=('Outil Cibles'!F$7+30),'Outil Cibles'!F$13*'Outil Cibles'!F$8,IF($A72=('Outil Cibles'!F$7+40),'Outil Cibles'!F$14*'Outil Cibles'!F$8,0))))</f>
        <v>0</v>
      </c>
      <c r="E72">
        <f>IF($A72='Outil Cibles'!G$7,'Outil Cibles'!G$11*'Outil Cibles'!G$8,IF($A72=('Outil Cibles'!G$7+20),'Outil Cibles'!G$12*'Outil Cibles'!G$8,IF($A72=('Outil Cibles'!G$7+30),'Outil Cibles'!G$13*'Outil Cibles'!G$8,IF($A72=('Outil Cibles'!G$7+40),'Outil Cibles'!G$14*'Outil Cibles'!G$8,0))))</f>
        <v>0</v>
      </c>
      <c r="F72">
        <f>IF($A72='Outil Cibles'!H$7,'Outil Cibles'!H$11*'Outil Cibles'!H$8,IF($A72=('Outil Cibles'!H$7+20),'Outil Cibles'!H$12*'Outil Cibles'!H$8,IF($A72=('Outil Cibles'!H$7+30),'Outil Cibles'!H$13*'Outil Cibles'!H$8,IF($A72=('Outil Cibles'!H$7+40),'Outil Cibles'!H$14*'Outil Cibles'!H$8,0))))</f>
        <v>0</v>
      </c>
      <c r="G72">
        <f>IF($A72='Outil Cibles'!I$7,'Outil Cibles'!I$11*'Outil Cibles'!I$8,IF($A72=('Outil Cibles'!I$7+20),'Outil Cibles'!I$12*'Outil Cibles'!I$8,IF($A72=('Outil Cibles'!I$7+30),'Outil Cibles'!I$13*'Outil Cibles'!I$8,IF($A72=('Outil Cibles'!I$7+40),'Outil Cibles'!I$14*'Outil Cibles'!I$8,0))))</f>
        <v>0</v>
      </c>
      <c r="H72">
        <f>IF($A72='Outil Cibles'!J$7,'Outil Cibles'!J$11*'Outil Cibles'!J$8,IF($A72=('Outil Cibles'!J$7+20),'Outil Cibles'!J$12*'Outil Cibles'!J$8,IF($A72=('Outil Cibles'!J$7+30),'Outil Cibles'!J$13*'Outil Cibles'!J$8,IF($A72=('Outil Cibles'!J$7+40),'Outil Cibles'!J$14*'Outil Cibles'!J$8,0))))</f>
        <v>0</v>
      </c>
      <c r="I72">
        <f>IF($A72='Outil Cibles'!K$7,'Outil Cibles'!K$11*'Outil Cibles'!K$8,IF($A72=('Outil Cibles'!K$7+20),'Outil Cibles'!K$12*'Outil Cibles'!K$8,IF($A72=('Outil Cibles'!K$7+30),'Outil Cibles'!K$13*'Outil Cibles'!K$8,IF($A72=('Outil Cibles'!K$7+40),'Outil Cibles'!K$14*'Outil Cibles'!K$8,0))))</f>
        <v>0</v>
      </c>
      <c r="J72">
        <f>IF($A72='Outil Cibles'!L$7,'Outil Cibles'!L$11*'Outil Cibles'!L$8,IF($A72=('Outil Cibles'!L$7+20),'Outil Cibles'!L$12*'Outil Cibles'!L$8,IF($A72=('Outil Cibles'!L$7+30),'Outil Cibles'!L$13*'Outil Cibles'!L$8,IF($A72=('Outil Cibles'!L$7+40),'Outil Cibles'!L$14*'Outil Cibles'!L$8,0))))</f>
        <v>0</v>
      </c>
      <c r="K72">
        <f>IF($A72='Outil Cibles'!M$7,'Outil Cibles'!M$11*'Outil Cibles'!M$8,IF($A72=('Outil Cibles'!M$7+20),'Outil Cibles'!M$12*'Outil Cibles'!M$8,IF($A72=('Outil Cibles'!M$7+30),'Outil Cibles'!M$13*'Outil Cibles'!M$8,IF($A72=('Outil Cibles'!M$7+40),'Outil Cibles'!M$14*'Outil Cibles'!M$8,0))))</f>
        <v>0</v>
      </c>
      <c r="L72">
        <f t="shared" si="3"/>
        <v>0</v>
      </c>
      <c r="N72" s="10">
        <v>2089</v>
      </c>
      <c r="O72">
        <f>IF(N72='Outil Cibles'!$Q$7, 'Outil Cibles'!$Q$18, 0)</f>
        <v>0</v>
      </c>
      <c r="P72">
        <f>IF(N72='Outil Cibles'!$R$7, 'Outil Cibles'!$R$18, 0)</f>
        <v>0</v>
      </c>
      <c r="Q72">
        <f>IF(N72='Outil Cibles'!$S$7, 'Outil Cibles'!$S$18, 0)</f>
        <v>0</v>
      </c>
      <c r="R72">
        <f>IF(N72='Outil Cibles'!$T$7, 'Outil Cibles'!$T$18, 0)</f>
        <v>0</v>
      </c>
      <c r="S72">
        <f>IF(N72='Outil Cibles'!$U$7, 'Outil Cibles'!$U$18, 0)</f>
        <v>0</v>
      </c>
      <c r="T72">
        <f>IF(N72='Outil Cibles'!$V$7, 'Outil Cibles'!$V$18, 0)</f>
        <v>0</v>
      </c>
      <c r="U72">
        <f>IF(N72='Outil Cibles'!$W$7, 'Outil Cibles'!$W$18, 0)</f>
        <v>0</v>
      </c>
      <c r="V72">
        <f>IF(N72='Outil Cibles'!$X$7, 'Outil Cibles'!$X$18, 0)</f>
        <v>0</v>
      </c>
      <c r="W72">
        <f>IF(N72='Outil Cibles'!$Y$7, 'Outil Cibles'!$Y$18, 0)</f>
        <v>0</v>
      </c>
      <c r="X72">
        <f>IF(N72='Outil Cibles'!$Z$7, 'Outil Cibles'!$Z$18, 0)</f>
        <v>0</v>
      </c>
      <c r="Y72">
        <f t="shared" si="4"/>
        <v>0</v>
      </c>
      <c r="AA72">
        <f>IF($A72='Outil Cibles'!D$7,'Outil Cibles'!D$11*'Outil Cibles'!D$8,0)</f>
        <v>0</v>
      </c>
      <c r="AC72">
        <f>IF($A72=('Outil Cibles'!D$7+20),'Outil Cibles'!D$12*'Outil Cibles'!D$8,0)</f>
        <v>0</v>
      </c>
      <c r="AE72">
        <f>IF($A72=('Outil Cibles'!D$7+30),'Outil Cibles'!D$13*'Outil Cibles'!D$8,0)</f>
        <v>0</v>
      </c>
      <c r="AG72">
        <f>IF($A72=('Outil Cibles'!D$7+40),'Outil Cibles'!D$14*'Outil Cibles'!D$8,0)</f>
        <v>0</v>
      </c>
    </row>
    <row r="73" spans="1:33" x14ac:dyDescent="0.3">
      <c r="A73">
        <v>2090</v>
      </c>
      <c r="B73">
        <f>IF($A73='Outil Cibles'!D$7,'Outil Cibles'!D$11*'Outil Cibles'!D$8,IF($A73=('Outil Cibles'!D$7+20),'Outil Cibles'!D$12*'Outil Cibles'!D$8,IF($A73=('Outil Cibles'!D$7+30),'Outil Cibles'!D$13*'Outil Cibles'!D$8,IF($A73=('Outil Cibles'!D$7+40),'Outil Cibles'!D$14*'Outil Cibles'!D$8,0))))</f>
        <v>0</v>
      </c>
      <c r="C73">
        <f>IF($A73='Outil Cibles'!E$7,'Outil Cibles'!E$11*'Outil Cibles'!E$8,IF($A73=('Outil Cibles'!E$7+20),'Outil Cibles'!E$12*'Outil Cibles'!E$8,IF($A73=('Outil Cibles'!E$7+30),'Outil Cibles'!E$13*'Outil Cibles'!E$8,IF($A73=('Outil Cibles'!E$7+40),'Outil Cibles'!E$14*'Outil Cibles'!E$8,0))))</f>
        <v>0</v>
      </c>
      <c r="D73">
        <f>IF($A73='Outil Cibles'!F$7,'Outil Cibles'!F$11*'Outil Cibles'!F$8,IF($A73=('Outil Cibles'!F$7+20),'Outil Cibles'!F$12*'Outil Cibles'!F$8,IF($A73=('Outil Cibles'!F$7+30),'Outil Cibles'!F$13*'Outil Cibles'!F$8,IF($A73=('Outil Cibles'!F$7+40),'Outil Cibles'!F$14*'Outil Cibles'!F$8,0))))</f>
        <v>0</v>
      </c>
      <c r="E73">
        <f>IF($A73='Outil Cibles'!G$7,'Outil Cibles'!G$11*'Outil Cibles'!G$8,IF($A73=('Outil Cibles'!G$7+20),'Outil Cibles'!G$12*'Outil Cibles'!G$8,IF($A73=('Outil Cibles'!G$7+30),'Outil Cibles'!G$13*'Outil Cibles'!G$8,IF($A73=('Outil Cibles'!G$7+40),'Outil Cibles'!G$14*'Outil Cibles'!G$8,0))))</f>
        <v>0</v>
      </c>
      <c r="F73">
        <f>IF($A73='Outil Cibles'!H$7,'Outil Cibles'!H$11*'Outil Cibles'!H$8,IF($A73=('Outil Cibles'!H$7+20),'Outil Cibles'!H$12*'Outil Cibles'!H$8,IF($A73=('Outil Cibles'!H$7+30),'Outil Cibles'!H$13*'Outil Cibles'!H$8,IF($A73=('Outil Cibles'!H$7+40),'Outil Cibles'!H$14*'Outil Cibles'!H$8,0))))</f>
        <v>0</v>
      </c>
      <c r="G73">
        <f>IF($A73='Outil Cibles'!I$7,'Outil Cibles'!I$11*'Outil Cibles'!I$8,IF($A73=('Outil Cibles'!I$7+20),'Outil Cibles'!I$12*'Outil Cibles'!I$8,IF($A73=('Outil Cibles'!I$7+30),'Outil Cibles'!I$13*'Outil Cibles'!I$8,IF($A73=('Outil Cibles'!I$7+40),'Outil Cibles'!I$14*'Outil Cibles'!I$8,0))))</f>
        <v>0</v>
      </c>
      <c r="H73">
        <f>IF($A73='Outil Cibles'!J$7,'Outil Cibles'!J$11*'Outil Cibles'!J$8,IF($A73=('Outil Cibles'!J$7+20),'Outil Cibles'!J$12*'Outil Cibles'!J$8,IF($A73=('Outil Cibles'!J$7+30),'Outil Cibles'!J$13*'Outil Cibles'!J$8,IF($A73=('Outil Cibles'!J$7+40),'Outil Cibles'!J$14*'Outil Cibles'!J$8,0))))</f>
        <v>0</v>
      </c>
      <c r="I73">
        <f>IF($A73='Outil Cibles'!K$7,'Outil Cibles'!K$11*'Outil Cibles'!K$8,IF($A73=('Outil Cibles'!K$7+20),'Outil Cibles'!K$12*'Outil Cibles'!K$8,IF($A73=('Outil Cibles'!K$7+30),'Outil Cibles'!K$13*'Outil Cibles'!K$8,IF($A73=('Outil Cibles'!K$7+40),'Outil Cibles'!K$14*'Outil Cibles'!K$8,0))))</f>
        <v>0</v>
      </c>
      <c r="J73">
        <f>IF($A73='Outil Cibles'!L$7,'Outil Cibles'!L$11*'Outil Cibles'!L$8,IF($A73=('Outil Cibles'!L$7+20),'Outil Cibles'!L$12*'Outil Cibles'!L$8,IF($A73=('Outil Cibles'!L$7+30),'Outil Cibles'!L$13*'Outil Cibles'!L$8,IF($A73=('Outil Cibles'!L$7+40),'Outil Cibles'!L$14*'Outil Cibles'!L$8,0))))</f>
        <v>0</v>
      </c>
      <c r="K73">
        <f>IF($A73='Outil Cibles'!M$7,'Outil Cibles'!M$11*'Outil Cibles'!M$8,IF($A73=('Outil Cibles'!M$7+20),'Outil Cibles'!M$12*'Outil Cibles'!M$8,IF($A73=('Outil Cibles'!M$7+30),'Outil Cibles'!M$13*'Outil Cibles'!M$8,IF($A73=('Outil Cibles'!M$7+40),'Outil Cibles'!M$14*'Outil Cibles'!M$8,0))))</f>
        <v>0</v>
      </c>
      <c r="L73">
        <f t="shared" si="3"/>
        <v>0</v>
      </c>
      <c r="N73">
        <v>2090</v>
      </c>
      <c r="O73">
        <f>IF(N73='Outil Cibles'!$Q$7, 'Outil Cibles'!$Q$18, 0)</f>
        <v>0</v>
      </c>
      <c r="P73">
        <f>IF(N73='Outil Cibles'!$R$7, 'Outil Cibles'!$R$18, 0)</f>
        <v>0</v>
      </c>
      <c r="Q73">
        <f>IF(N73='Outil Cibles'!$S$7, 'Outil Cibles'!$S$18, 0)</f>
        <v>0</v>
      </c>
      <c r="R73">
        <f>IF(N73='Outil Cibles'!$T$7, 'Outil Cibles'!$T$18, 0)</f>
        <v>0</v>
      </c>
      <c r="S73">
        <f>IF(N73='Outil Cibles'!$U$7, 'Outil Cibles'!$U$18, 0)</f>
        <v>0</v>
      </c>
      <c r="T73">
        <f>IF(N73='Outil Cibles'!$V$7, 'Outil Cibles'!$V$18, 0)</f>
        <v>0</v>
      </c>
      <c r="U73">
        <f>IF(N73='Outil Cibles'!$W$7, 'Outil Cibles'!$W$18, 0)</f>
        <v>0</v>
      </c>
      <c r="V73">
        <f>IF(N73='Outil Cibles'!$X$7, 'Outil Cibles'!$X$18, 0)</f>
        <v>0</v>
      </c>
      <c r="W73">
        <f>IF(N73='Outil Cibles'!$Y$7, 'Outil Cibles'!$Y$18, 0)</f>
        <v>0</v>
      </c>
      <c r="X73">
        <f>IF(N73='Outil Cibles'!$Z$7, 'Outil Cibles'!$Z$18, 0)</f>
        <v>0</v>
      </c>
      <c r="Y73">
        <f t="shared" si="4"/>
        <v>0</v>
      </c>
      <c r="AA73">
        <f>IF($A73='Outil Cibles'!D$7,'Outil Cibles'!D$11*'Outil Cibles'!D$8,0)</f>
        <v>0</v>
      </c>
      <c r="AC73">
        <f>IF($A73=('Outil Cibles'!D$7+20),'Outil Cibles'!D$12*'Outil Cibles'!D$8,0)</f>
        <v>0</v>
      </c>
      <c r="AE73">
        <f>IF($A73=('Outil Cibles'!D$7+30),'Outil Cibles'!D$13*'Outil Cibles'!D$8,0)</f>
        <v>0</v>
      </c>
      <c r="AG73">
        <f>IF($A73=('Outil Cibles'!D$7+40),'Outil Cibles'!D$14*'Outil Cibles'!D$8,0)</f>
        <v>0</v>
      </c>
    </row>
    <row r="74" spans="1:33" x14ac:dyDescent="0.3">
      <c r="A74">
        <v>2091</v>
      </c>
      <c r="B74">
        <f>IF($A74='Outil Cibles'!D$7,'Outil Cibles'!D$11*'Outil Cibles'!D$8,IF($A74=('Outil Cibles'!D$7+20),'Outil Cibles'!D$12*'Outil Cibles'!D$8,IF($A74=('Outil Cibles'!D$7+30),'Outil Cibles'!D$13*'Outil Cibles'!D$8,IF($A74=('Outil Cibles'!D$7+40),'Outil Cibles'!D$14*'Outil Cibles'!D$8,0))))</f>
        <v>0</v>
      </c>
      <c r="C74">
        <f>IF($A74='Outil Cibles'!E$7,'Outil Cibles'!E$11*'Outil Cibles'!E$8,IF($A74=('Outil Cibles'!E$7+20),'Outil Cibles'!E$12*'Outil Cibles'!E$8,IF($A74=('Outil Cibles'!E$7+30),'Outil Cibles'!E$13*'Outil Cibles'!E$8,IF($A74=('Outil Cibles'!E$7+40),'Outil Cibles'!E$14*'Outil Cibles'!E$8,0))))</f>
        <v>0</v>
      </c>
      <c r="D74">
        <f>IF($A74='Outil Cibles'!F$7,'Outil Cibles'!F$11*'Outil Cibles'!F$8,IF($A74=('Outil Cibles'!F$7+20),'Outil Cibles'!F$12*'Outil Cibles'!F$8,IF($A74=('Outil Cibles'!F$7+30),'Outil Cibles'!F$13*'Outil Cibles'!F$8,IF($A74=('Outil Cibles'!F$7+40),'Outil Cibles'!F$14*'Outil Cibles'!F$8,0))))</f>
        <v>0</v>
      </c>
      <c r="E74">
        <f>IF($A74='Outil Cibles'!G$7,'Outil Cibles'!G$11*'Outil Cibles'!G$8,IF($A74=('Outil Cibles'!G$7+20),'Outil Cibles'!G$12*'Outil Cibles'!G$8,IF($A74=('Outil Cibles'!G$7+30),'Outil Cibles'!G$13*'Outil Cibles'!G$8,IF($A74=('Outil Cibles'!G$7+40),'Outil Cibles'!G$14*'Outil Cibles'!G$8,0))))</f>
        <v>0</v>
      </c>
      <c r="F74">
        <f>IF($A74='Outil Cibles'!H$7,'Outil Cibles'!H$11*'Outil Cibles'!H$8,IF($A74=('Outil Cibles'!H$7+20),'Outil Cibles'!H$12*'Outil Cibles'!H$8,IF($A74=('Outil Cibles'!H$7+30),'Outil Cibles'!H$13*'Outil Cibles'!H$8,IF($A74=('Outil Cibles'!H$7+40),'Outil Cibles'!H$14*'Outil Cibles'!H$8,0))))</f>
        <v>0</v>
      </c>
      <c r="G74">
        <f>IF($A74='Outil Cibles'!I$7,'Outil Cibles'!I$11*'Outil Cibles'!I$8,IF($A74=('Outil Cibles'!I$7+20),'Outil Cibles'!I$12*'Outil Cibles'!I$8,IF($A74=('Outil Cibles'!I$7+30),'Outil Cibles'!I$13*'Outil Cibles'!I$8,IF($A74=('Outil Cibles'!I$7+40),'Outil Cibles'!I$14*'Outil Cibles'!I$8,0))))</f>
        <v>0</v>
      </c>
      <c r="H74">
        <f>IF($A74='Outil Cibles'!J$7,'Outil Cibles'!J$11*'Outil Cibles'!J$8,IF($A74=('Outil Cibles'!J$7+20),'Outil Cibles'!J$12*'Outil Cibles'!J$8,IF($A74=('Outil Cibles'!J$7+30),'Outil Cibles'!J$13*'Outil Cibles'!J$8,IF($A74=('Outil Cibles'!J$7+40),'Outil Cibles'!J$14*'Outil Cibles'!J$8,0))))</f>
        <v>0</v>
      </c>
      <c r="I74">
        <f>IF($A74='Outil Cibles'!K$7,'Outil Cibles'!K$11*'Outil Cibles'!K$8,IF($A74=('Outil Cibles'!K$7+20),'Outil Cibles'!K$12*'Outil Cibles'!K$8,IF($A74=('Outil Cibles'!K$7+30),'Outil Cibles'!K$13*'Outil Cibles'!K$8,IF($A74=('Outil Cibles'!K$7+40),'Outil Cibles'!K$14*'Outil Cibles'!K$8,0))))</f>
        <v>0</v>
      </c>
      <c r="J74">
        <f>IF($A74='Outil Cibles'!L$7,'Outil Cibles'!L$11*'Outil Cibles'!L$8,IF($A74=('Outil Cibles'!L$7+20),'Outil Cibles'!L$12*'Outil Cibles'!L$8,IF($A74=('Outil Cibles'!L$7+30),'Outil Cibles'!L$13*'Outil Cibles'!L$8,IF($A74=('Outil Cibles'!L$7+40),'Outil Cibles'!L$14*'Outil Cibles'!L$8,0))))</f>
        <v>0</v>
      </c>
      <c r="K74">
        <f>IF($A74='Outil Cibles'!M$7,'Outil Cibles'!M$11*'Outil Cibles'!M$8,IF($A74=('Outil Cibles'!M$7+20),'Outil Cibles'!M$12*'Outil Cibles'!M$8,IF($A74=('Outil Cibles'!M$7+30),'Outil Cibles'!M$13*'Outil Cibles'!M$8,IF($A74=('Outil Cibles'!M$7+40),'Outil Cibles'!M$14*'Outil Cibles'!M$8,0))))</f>
        <v>0</v>
      </c>
      <c r="L74">
        <f t="shared" si="3"/>
        <v>0</v>
      </c>
      <c r="N74">
        <v>2091</v>
      </c>
      <c r="O74">
        <f>IF(N74='Outil Cibles'!$Q$7, 'Outil Cibles'!$Q$18, 0)</f>
        <v>0</v>
      </c>
      <c r="P74">
        <f>IF(N74='Outil Cibles'!$R$7, 'Outil Cibles'!$R$18, 0)</f>
        <v>0</v>
      </c>
      <c r="Q74">
        <f>IF(N74='Outil Cibles'!$S$7, 'Outil Cibles'!$S$18, 0)</f>
        <v>0</v>
      </c>
      <c r="R74">
        <f>IF(N74='Outil Cibles'!$T$7, 'Outil Cibles'!$T$18, 0)</f>
        <v>0</v>
      </c>
      <c r="S74">
        <f>IF(N74='Outil Cibles'!$U$7, 'Outil Cibles'!$U$18, 0)</f>
        <v>0</v>
      </c>
      <c r="T74">
        <f>IF(N74='Outil Cibles'!$V$7, 'Outil Cibles'!$V$18, 0)</f>
        <v>0</v>
      </c>
      <c r="U74">
        <f>IF(N74='Outil Cibles'!$W$7, 'Outil Cibles'!$W$18, 0)</f>
        <v>0</v>
      </c>
      <c r="V74">
        <f>IF(N74='Outil Cibles'!$X$7, 'Outil Cibles'!$X$18, 0)</f>
        <v>0</v>
      </c>
      <c r="W74">
        <f>IF(N74='Outil Cibles'!$Y$7, 'Outil Cibles'!$Y$18, 0)</f>
        <v>0</v>
      </c>
      <c r="X74">
        <f>IF(N74='Outil Cibles'!$Z$7, 'Outil Cibles'!$Z$18, 0)</f>
        <v>0</v>
      </c>
      <c r="Y74">
        <f t="shared" si="4"/>
        <v>0</v>
      </c>
      <c r="AA74">
        <f>IF($A74='Outil Cibles'!D$7,'Outil Cibles'!D$11*'Outil Cibles'!D$8,0)</f>
        <v>0</v>
      </c>
      <c r="AC74">
        <f>IF($A74=('Outil Cibles'!D$7+20),'Outil Cibles'!D$12*'Outil Cibles'!D$8,0)</f>
        <v>0</v>
      </c>
      <c r="AE74">
        <f>IF($A74=('Outil Cibles'!D$7+30),'Outil Cibles'!D$13*'Outil Cibles'!D$8,0)</f>
        <v>0</v>
      </c>
      <c r="AG74">
        <f>IF($A74=('Outil Cibles'!D$7+40),'Outil Cibles'!D$14*'Outil Cibles'!D$8,0)</f>
        <v>0</v>
      </c>
    </row>
    <row r="75" spans="1:33" x14ac:dyDescent="0.3">
      <c r="A75">
        <v>2092</v>
      </c>
      <c r="B75">
        <f>IF($A75='Outil Cibles'!D$7,'Outil Cibles'!D$11*'Outil Cibles'!D$8,IF($A75=('Outil Cibles'!D$7+20),'Outil Cibles'!D$12*'Outil Cibles'!D$8,IF($A75=('Outil Cibles'!D$7+30),'Outil Cibles'!D$13*'Outil Cibles'!D$8,IF($A75=('Outil Cibles'!D$7+40),'Outil Cibles'!D$14*'Outil Cibles'!D$8,0))))</f>
        <v>0</v>
      </c>
      <c r="C75">
        <f>IF($A75='Outil Cibles'!E$7,'Outil Cibles'!E$11*'Outil Cibles'!E$8,IF($A75=('Outil Cibles'!E$7+20),'Outil Cibles'!E$12*'Outil Cibles'!E$8,IF($A75=('Outil Cibles'!E$7+30),'Outil Cibles'!E$13*'Outil Cibles'!E$8,IF($A75=('Outil Cibles'!E$7+40),'Outil Cibles'!E$14*'Outil Cibles'!E$8,0))))</f>
        <v>0</v>
      </c>
      <c r="D75">
        <f>IF($A75='Outil Cibles'!F$7,'Outil Cibles'!F$11*'Outil Cibles'!F$8,IF($A75=('Outil Cibles'!F$7+20),'Outil Cibles'!F$12*'Outil Cibles'!F$8,IF($A75=('Outil Cibles'!F$7+30),'Outil Cibles'!F$13*'Outil Cibles'!F$8,IF($A75=('Outil Cibles'!F$7+40),'Outil Cibles'!F$14*'Outil Cibles'!F$8,0))))</f>
        <v>0</v>
      </c>
      <c r="E75">
        <f>IF($A75='Outil Cibles'!G$7,'Outil Cibles'!G$11*'Outil Cibles'!G$8,IF($A75=('Outil Cibles'!G$7+20),'Outil Cibles'!G$12*'Outil Cibles'!G$8,IF($A75=('Outil Cibles'!G$7+30),'Outil Cibles'!G$13*'Outil Cibles'!G$8,IF($A75=('Outil Cibles'!G$7+40),'Outil Cibles'!G$14*'Outil Cibles'!G$8,0))))</f>
        <v>0</v>
      </c>
      <c r="F75">
        <f>IF($A75='Outil Cibles'!H$7,'Outil Cibles'!H$11*'Outil Cibles'!H$8,IF($A75=('Outil Cibles'!H$7+20),'Outil Cibles'!H$12*'Outil Cibles'!H$8,IF($A75=('Outil Cibles'!H$7+30),'Outil Cibles'!H$13*'Outil Cibles'!H$8,IF($A75=('Outil Cibles'!H$7+40),'Outil Cibles'!H$14*'Outil Cibles'!H$8,0))))</f>
        <v>0</v>
      </c>
      <c r="G75">
        <f>IF($A75='Outil Cibles'!I$7,'Outil Cibles'!I$11*'Outil Cibles'!I$8,IF($A75=('Outil Cibles'!I$7+20),'Outil Cibles'!I$12*'Outil Cibles'!I$8,IF($A75=('Outil Cibles'!I$7+30),'Outil Cibles'!I$13*'Outil Cibles'!I$8,IF($A75=('Outil Cibles'!I$7+40),'Outil Cibles'!I$14*'Outil Cibles'!I$8,0))))</f>
        <v>0</v>
      </c>
      <c r="H75">
        <f>IF($A75='Outil Cibles'!J$7,'Outil Cibles'!J$11*'Outil Cibles'!J$8,IF($A75=('Outil Cibles'!J$7+20),'Outil Cibles'!J$12*'Outil Cibles'!J$8,IF($A75=('Outil Cibles'!J$7+30),'Outil Cibles'!J$13*'Outil Cibles'!J$8,IF($A75=('Outil Cibles'!J$7+40),'Outil Cibles'!J$14*'Outil Cibles'!J$8,0))))</f>
        <v>0</v>
      </c>
      <c r="I75">
        <f>IF($A75='Outil Cibles'!K$7,'Outil Cibles'!K$11*'Outil Cibles'!K$8,IF($A75=('Outil Cibles'!K$7+20),'Outil Cibles'!K$12*'Outil Cibles'!K$8,IF($A75=('Outil Cibles'!K$7+30),'Outil Cibles'!K$13*'Outil Cibles'!K$8,IF($A75=('Outil Cibles'!K$7+40),'Outil Cibles'!K$14*'Outil Cibles'!K$8,0))))</f>
        <v>0</v>
      </c>
      <c r="J75">
        <f>IF($A75='Outil Cibles'!L$7,'Outil Cibles'!L$11*'Outil Cibles'!L$8,IF($A75=('Outil Cibles'!L$7+20),'Outil Cibles'!L$12*'Outil Cibles'!L$8,IF($A75=('Outil Cibles'!L$7+30),'Outil Cibles'!L$13*'Outil Cibles'!L$8,IF($A75=('Outil Cibles'!L$7+40),'Outil Cibles'!L$14*'Outil Cibles'!L$8,0))))</f>
        <v>0</v>
      </c>
      <c r="K75">
        <f>IF($A75='Outil Cibles'!M$7,'Outil Cibles'!M$11*'Outil Cibles'!M$8,IF($A75=('Outil Cibles'!M$7+20),'Outil Cibles'!M$12*'Outil Cibles'!M$8,IF($A75=('Outil Cibles'!M$7+30),'Outil Cibles'!M$13*'Outil Cibles'!M$8,IF($A75=('Outil Cibles'!M$7+40),'Outil Cibles'!M$14*'Outil Cibles'!M$8,0))))</f>
        <v>0</v>
      </c>
      <c r="L75">
        <f t="shared" si="3"/>
        <v>0</v>
      </c>
      <c r="N75">
        <v>2092</v>
      </c>
      <c r="O75">
        <f>IF(N75='Outil Cibles'!$Q$7, 'Outil Cibles'!$Q$18, 0)</f>
        <v>0</v>
      </c>
      <c r="P75">
        <f>IF(N75='Outil Cibles'!$R$7, 'Outil Cibles'!$R$18, 0)</f>
        <v>0</v>
      </c>
      <c r="Q75">
        <f>IF(N75='Outil Cibles'!$S$7, 'Outil Cibles'!$S$18, 0)</f>
        <v>0</v>
      </c>
      <c r="R75">
        <f>IF(N75='Outil Cibles'!$T$7, 'Outil Cibles'!$T$18, 0)</f>
        <v>0</v>
      </c>
      <c r="S75">
        <f>IF(N75='Outil Cibles'!$U$7, 'Outil Cibles'!$U$18, 0)</f>
        <v>0</v>
      </c>
      <c r="T75">
        <f>IF(N75='Outil Cibles'!$V$7, 'Outil Cibles'!$V$18, 0)</f>
        <v>0</v>
      </c>
      <c r="U75">
        <f>IF(N75='Outil Cibles'!$W$7, 'Outil Cibles'!$W$18, 0)</f>
        <v>0</v>
      </c>
      <c r="V75">
        <f>IF(N75='Outil Cibles'!$X$7, 'Outil Cibles'!$X$18, 0)</f>
        <v>0</v>
      </c>
      <c r="W75">
        <f>IF(N75='Outil Cibles'!$Y$7, 'Outil Cibles'!$Y$18, 0)</f>
        <v>0</v>
      </c>
      <c r="X75">
        <f>IF(N75='Outil Cibles'!$Z$7, 'Outil Cibles'!$Z$18, 0)</f>
        <v>0</v>
      </c>
      <c r="Y75">
        <f t="shared" si="4"/>
        <v>0</v>
      </c>
      <c r="AA75">
        <f>IF($A75='Outil Cibles'!D$7,'Outil Cibles'!D$11*'Outil Cibles'!D$8,0)</f>
        <v>0</v>
      </c>
      <c r="AC75">
        <f>IF($A75=('Outil Cibles'!D$7+20),'Outil Cibles'!D$12*'Outil Cibles'!D$8,0)</f>
        <v>0</v>
      </c>
      <c r="AE75">
        <f>IF($A75=('Outil Cibles'!D$7+30),'Outil Cibles'!D$13*'Outil Cibles'!D$8,0)</f>
        <v>0</v>
      </c>
      <c r="AG75">
        <f>IF($A75=('Outil Cibles'!D$7+40),'Outil Cibles'!D$14*'Outil Cibles'!D$8,0)</f>
        <v>0</v>
      </c>
    </row>
    <row r="76" spans="1:33" x14ac:dyDescent="0.3">
      <c r="A76">
        <v>2093</v>
      </c>
      <c r="B76">
        <f>IF($A76='Outil Cibles'!D$7,'Outil Cibles'!D$11*'Outil Cibles'!D$8,IF($A76=('Outil Cibles'!D$7+20),'Outil Cibles'!D$12*'Outil Cibles'!D$8,IF($A76=('Outil Cibles'!D$7+30),'Outil Cibles'!D$13*'Outil Cibles'!D$8,IF($A76=('Outil Cibles'!D$7+40),'Outil Cibles'!D$14*'Outil Cibles'!D$8,0))))</f>
        <v>0</v>
      </c>
      <c r="C76">
        <f>IF($A76='Outil Cibles'!E$7,'Outil Cibles'!E$11*'Outil Cibles'!E$8,IF($A76=('Outil Cibles'!E$7+20),'Outil Cibles'!E$12*'Outil Cibles'!E$8,IF($A76=('Outil Cibles'!E$7+30),'Outil Cibles'!E$13*'Outil Cibles'!E$8,IF($A76=('Outil Cibles'!E$7+40),'Outil Cibles'!E$14*'Outil Cibles'!E$8,0))))</f>
        <v>0</v>
      </c>
      <c r="D76">
        <f>IF($A76='Outil Cibles'!F$7,'Outil Cibles'!F$11*'Outil Cibles'!F$8,IF($A76=('Outil Cibles'!F$7+20),'Outil Cibles'!F$12*'Outil Cibles'!F$8,IF($A76=('Outil Cibles'!F$7+30),'Outil Cibles'!F$13*'Outil Cibles'!F$8,IF($A76=('Outil Cibles'!F$7+40),'Outil Cibles'!F$14*'Outil Cibles'!F$8,0))))</f>
        <v>0</v>
      </c>
      <c r="E76">
        <f>IF($A76='Outil Cibles'!G$7,'Outil Cibles'!G$11*'Outil Cibles'!G$8,IF($A76=('Outil Cibles'!G$7+20),'Outil Cibles'!G$12*'Outil Cibles'!G$8,IF($A76=('Outil Cibles'!G$7+30),'Outil Cibles'!G$13*'Outil Cibles'!G$8,IF($A76=('Outil Cibles'!G$7+40),'Outil Cibles'!G$14*'Outil Cibles'!G$8,0))))</f>
        <v>0</v>
      </c>
      <c r="F76">
        <f>IF($A76='Outil Cibles'!H$7,'Outil Cibles'!H$11*'Outil Cibles'!H$8,IF($A76=('Outil Cibles'!H$7+20),'Outil Cibles'!H$12*'Outil Cibles'!H$8,IF($A76=('Outil Cibles'!H$7+30),'Outil Cibles'!H$13*'Outil Cibles'!H$8,IF($A76=('Outil Cibles'!H$7+40),'Outil Cibles'!H$14*'Outil Cibles'!H$8,0))))</f>
        <v>0</v>
      </c>
      <c r="G76">
        <f>IF($A76='Outil Cibles'!I$7,'Outil Cibles'!I$11*'Outil Cibles'!I$8,IF($A76=('Outil Cibles'!I$7+20),'Outil Cibles'!I$12*'Outil Cibles'!I$8,IF($A76=('Outil Cibles'!I$7+30),'Outil Cibles'!I$13*'Outil Cibles'!I$8,IF($A76=('Outil Cibles'!I$7+40),'Outil Cibles'!I$14*'Outil Cibles'!I$8,0))))</f>
        <v>0</v>
      </c>
      <c r="H76">
        <f>IF($A76='Outil Cibles'!J$7,'Outil Cibles'!J$11*'Outil Cibles'!J$8,IF($A76=('Outil Cibles'!J$7+20),'Outil Cibles'!J$12*'Outil Cibles'!J$8,IF($A76=('Outil Cibles'!J$7+30),'Outil Cibles'!J$13*'Outil Cibles'!J$8,IF($A76=('Outil Cibles'!J$7+40),'Outil Cibles'!J$14*'Outil Cibles'!J$8,0))))</f>
        <v>0</v>
      </c>
      <c r="I76">
        <f>IF($A76='Outil Cibles'!K$7,'Outil Cibles'!K$11*'Outil Cibles'!K$8,IF($A76=('Outil Cibles'!K$7+20),'Outil Cibles'!K$12*'Outil Cibles'!K$8,IF($A76=('Outil Cibles'!K$7+30),'Outil Cibles'!K$13*'Outil Cibles'!K$8,IF($A76=('Outil Cibles'!K$7+40),'Outil Cibles'!K$14*'Outil Cibles'!K$8,0))))</f>
        <v>0</v>
      </c>
      <c r="J76">
        <f>IF($A76='Outil Cibles'!L$7,'Outil Cibles'!L$11*'Outil Cibles'!L$8,IF($A76=('Outil Cibles'!L$7+20),'Outil Cibles'!L$12*'Outil Cibles'!L$8,IF($A76=('Outil Cibles'!L$7+30),'Outil Cibles'!L$13*'Outil Cibles'!L$8,IF($A76=('Outil Cibles'!L$7+40),'Outil Cibles'!L$14*'Outil Cibles'!L$8,0))))</f>
        <v>0</v>
      </c>
      <c r="K76">
        <f>IF($A76='Outil Cibles'!M$7,'Outil Cibles'!M$11*'Outil Cibles'!M$8,IF($A76=('Outil Cibles'!M$7+20),'Outil Cibles'!M$12*'Outil Cibles'!M$8,IF($A76=('Outil Cibles'!M$7+30),'Outil Cibles'!M$13*'Outil Cibles'!M$8,IF($A76=('Outil Cibles'!M$7+40),'Outil Cibles'!M$14*'Outil Cibles'!M$8,0))))</f>
        <v>0</v>
      </c>
      <c r="L76">
        <f t="shared" si="3"/>
        <v>0</v>
      </c>
      <c r="N76">
        <v>2093</v>
      </c>
      <c r="O76">
        <f>IF(N76='Outil Cibles'!$Q$7, 'Outil Cibles'!$Q$18, 0)</f>
        <v>0</v>
      </c>
      <c r="P76">
        <f>IF(N76='Outil Cibles'!$R$7, 'Outil Cibles'!$R$18, 0)</f>
        <v>0</v>
      </c>
      <c r="Q76">
        <f>IF(N76='Outil Cibles'!$S$7, 'Outil Cibles'!$S$18, 0)</f>
        <v>0</v>
      </c>
      <c r="R76">
        <f>IF(N76='Outil Cibles'!$T$7, 'Outil Cibles'!$T$18, 0)</f>
        <v>0</v>
      </c>
      <c r="S76">
        <f>IF(N76='Outil Cibles'!$U$7, 'Outil Cibles'!$U$18, 0)</f>
        <v>0</v>
      </c>
      <c r="T76">
        <f>IF(N76='Outil Cibles'!$V$7, 'Outil Cibles'!$V$18, 0)</f>
        <v>0</v>
      </c>
      <c r="U76">
        <f>IF(N76='Outil Cibles'!$W$7, 'Outil Cibles'!$W$18, 0)</f>
        <v>0</v>
      </c>
      <c r="V76">
        <f>IF(N76='Outil Cibles'!$X$7, 'Outil Cibles'!$X$18, 0)</f>
        <v>0</v>
      </c>
      <c r="W76">
        <f>IF(N76='Outil Cibles'!$Y$7, 'Outil Cibles'!$Y$18, 0)</f>
        <v>0</v>
      </c>
      <c r="X76">
        <f>IF(N76='Outil Cibles'!$Z$7, 'Outil Cibles'!$Z$18, 0)</f>
        <v>0</v>
      </c>
      <c r="Y76">
        <f t="shared" si="4"/>
        <v>0</v>
      </c>
      <c r="AA76">
        <f>IF($A76='Outil Cibles'!D$7,'Outil Cibles'!D$11*'Outil Cibles'!D$8,0)</f>
        <v>0</v>
      </c>
      <c r="AC76">
        <f>IF($A76=('Outil Cibles'!D$7+20),'Outil Cibles'!D$12*'Outil Cibles'!D$8,0)</f>
        <v>0</v>
      </c>
      <c r="AE76">
        <f>IF($A76=('Outil Cibles'!D$7+30),'Outil Cibles'!D$13*'Outil Cibles'!D$8,0)</f>
        <v>0</v>
      </c>
      <c r="AG76">
        <f>IF($A76=('Outil Cibles'!D$7+40),'Outil Cibles'!D$14*'Outil Cibles'!D$8,0)</f>
        <v>0</v>
      </c>
    </row>
    <row r="77" spans="1:33" x14ac:dyDescent="0.3">
      <c r="A77">
        <v>2094</v>
      </c>
      <c r="B77">
        <f>IF($A77='Outil Cibles'!D$7,'Outil Cibles'!D$11*'Outil Cibles'!D$8,IF($A77=('Outil Cibles'!D$7+20),'Outil Cibles'!D$12*'Outil Cibles'!D$8,IF($A77=('Outil Cibles'!D$7+30),'Outil Cibles'!D$13*'Outil Cibles'!D$8,IF($A77=('Outil Cibles'!D$7+40),'Outil Cibles'!D$14*'Outil Cibles'!D$8,0))))</f>
        <v>0</v>
      </c>
      <c r="C77">
        <f>IF($A77='Outil Cibles'!E$7,'Outil Cibles'!E$11*'Outil Cibles'!E$8,IF($A77=('Outil Cibles'!E$7+20),'Outil Cibles'!E$12*'Outil Cibles'!E$8,IF($A77=('Outil Cibles'!E$7+30),'Outil Cibles'!E$13*'Outil Cibles'!E$8,IF($A77=('Outil Cibles'!E$7+40),'Outil Cibles'!E$14*'Outil Cibles'!E$8,0))))</f>
        <v>0</v>
      </c>
      <c r="D77">
        <f>IF($A77='Outil Cibles'!F$7,'Outil Cibles'!F$11*'Outil Cibles'!F$8,IF($A77=('Outil Cibles'!F$7+20),'Outil Cibles'!F$12*'Outil Cibles'!F$8,IF($A77=('Outil Cibles'!F$7+30),'Outil Cibles'!F$13*'Outil Cibles'!F$8,IF($A77=('Outil Cibles'!F$7+40),'Outil Cibles'!F$14*'Outil Cibles'!F$8,0))))</f>
        <v>0</v>
      </c>
      <c r="E77">
        <f>IF($A77='Outil Cibles'!G$7,'Outil Cibles'!G$11*'Outil Cibles'!G$8,IF($A77=('Outil Cibles'!G$7+20),'Outil Cibles'!G$12*'Outil Cibles'!G$8,IF($A77=('Outil Cibles'!G$7+30),'Outil Cibles'!G$13*'Outil Cibles'!G$8,IF($A77=('Outil Cibles'!G$7+40),'Outil Cibles'!G$14*'Outil Cibles'!G$8,0))))</f>
        <v>0</v>
      </c>
      <c r="F77">
        <f>IF($A77='Outil Cibles'!H$7,'Outil Cibles'!H$11*'Outil Cibles'!H$8,IF($A77=('Outil Cibles'!H$7+20),'Outil Cibles'!H$12*'Outil Cibles'!H$8,IF($A77=('Outil Cibles'!H$7+30),'Outil Cibles'!H$13*'Outil Cibles'!H$8,IF($A77=('Outil Cibles'!H$7+40),'Outil Cibles'!H$14*'Outil Cibles'!H$8,0))))</f>
        <v>0</v>
      </c>
      <c r="G77">
        <f>IF($A77='Outil Cibles'!I$7,'Outil Cibles'!I$11*'Outil Cibles'!I$8,IF($A77=('Outil Cibles'!I$7+20),'Outil Cibles'!I$12*'Outil Cibles'!I$8,IF($A77=('Outil Cibles'!I$7+30),'Outil Cibles'!I$13*'Outil Cibles'!I$8,IF($A77=('Outil Cibles'!I$7+40),'Outil Cibles'!I$14*'Outil Cibles'!I$8,0))))</f>
        <v>0</v>
      </c>
      <c r="H77">
        <f>IF($A77='Outil Cibles'!J$7,'Outil Cibles'!J$11*'Outil Cibles'!J$8,IF($A77=('Outil Cibles'!J$7+20),'Outil Cibles'!J$12*'Outil Cibles'!J$8,IF($A77=('Outil Cibles'!J$7+30),'Outil Cibles'!J$13*'Outil Cibles'!J$8,IF($A77=('Outil Cibles'!J$7+40),'Outil Cibles'!J$14*'Outil Cibles'!J$8,0))))</f>
        <v>0</v>
      </c>
      <c r="I77">
        <f>IF($A77='Outil Cibles'!K$7,'Outil Cibles'!K$11*'Outil Cibles'!K$8,IF($A77=('Outil Cibles'!K$7+20),'Outil Cibles'!K$12*'Outil Cibles'!K$8,IF($A77=('Outil Cibles'!K$7+30),'Outil Cibles'!K$13*'Outil Cibles'!K$8,IF($A77=('Outil Cibles'!K$7+40),'Outil Cibles'!K$14*'Outil Cibles'!K$8,0))))</f>
        <v>0</v>
      </c>
      <c r="J77">
        <f>IF($A77='Outil Cibles'!L$7,'Outil Cibles'!L$11*'Outil Cibles'!L$8,IF($A77=('Outil Cibles'!L$7+20),'Outil Cibles'!L$12*'Outil Cibles'!L$8,IF($A77=('Outil Cibles'!L$7+30),'Outil Cibles'!L$13*'Outil Cibles'!L$8,IF($A77=('Outil Cibles'!L$7+40),'Outil Cibles'!L$14*'Outil Cibles'!L$8,0))))</f>
        <v>0</v>
      </c>
      <c r="K77">
        <f>IF($A77='Outil Cibles'!M$7,'Outil Cibles'!M$11*'Outil Cibles'!M$8,IF($A77=('Outil Cibles'!M$7+20),'Outil Cibles'!M$12*'Outil Cibles'!M$8,IF($A77=('Outil Cibles'!M$7+30),'Outil Cibles'!M$13*'Outil Cibles'!M$8,IF($A77=('Outil Cibles'!M$7+40),'Outil Cibles'!M$14*'Outil Cibles'!M$8,0))))</f>
        <v>0</v>
      </c>
      <c r="L77">
        <f t="shared" si="3"/>
        <v>0</v>
      </c>
      <c r="N77">
        <v>2094</v>
      </c>
      <c r="O77">
        <f>IF(N77='Outil Cibles'!$Q$7, 'Outil Cibles'!$Q$18, 0)</f>
        <v>0</v>
      </c>
      <c r="P77">
        <f>IF(N77='Outil Cibles'!$R$7, 'Outil Cibles'!$R$18, 0)</f>
        <v>0</v>
      </c>
      <c r="Q77">
        <f>IF(N77='Outil Cibles'!$S$7, 'Outil Cibles'!$S$18, 0)</f>
        <v>0</v>
      </c>
      <c r="R77">
        <f>IF(N77='Outil Cibles'!$T$7, 'Outil Cibles'!$T$18, 0)</f>
        <v>0</v>
      </c>
      <c r="S77">
        <f>IF(N77='Outil Cibles'!$U$7, 'Outil Cibles'!$U$18, 0)</f>
        <v>0</v>
      </c>
      <c r="T77">
        <f>IF(N77='Outil Cibles'!$V$7, 'Outil Cibles'!$V$18, 0)</f>
        <v>0</v>
      </c>
      <c r="U77">
        <f>IF(N77='Outil Cibles'!$W$7, 'Outil Cibles'!$W$18, 0)</f>
        <v>0</v>
      </c>
      <c r="V77">
        <f>IF(N77='Outil Cibles'!$X$7, 'Outil Cibles'!$X$18, 0)</f>
        <v>0</v>
      </c>
      <c r="W77">
        <f>IF(N77='Outil Cibles'!$Y$7, 'Outil Cibles'!$Y$18, 0)</f>
        <v>0</v>
      </c>
      <c r="X77">
        <f>IF(N77='Outil Cibles'!$Z$7, 'Outil Cibles'!$Z$18, 0)</f>
        <v>0</v>
      </c>
      <c r="Y77">
        <f t="shared" si="4"/>
        <v>0</v>
      </c>
      <c r="AA77">
        <f>IF($A77='Outil Cibles'!D$7,'Outil Cibles'!D$11*'Outil Cibles'!D$8,0)</f>
        <v>0</v>
      </c>
      <c r="AC77">
        <f>IF($A77=('Outil Cibles'!D$7+20),'Outil Cibles'!D$12*'Outil Cibles'!D$8,0)</f>
        <v>0</v>
      </c>
      <c r="AE77">
        <f>IF($A77=('Outil Cibles'!D$7+30),'Outil Cibles'!D$13*'Outil Cibles'!D$8,0)</f>
        <v>0</v>
      </c>
      <c r="AG77">
        <f>IF($A77=('Outil Cibles'!D$7+40),'Outil Cibles'!D$14*'Outil Cibles'!D$8,0)</f>
        <v>0</v>
      </c>
    </row>
    <row r="78" spans="1:33" x14ac:dyDescent="0.3">
      <c r="A78">
        <v>2095</v>
      </c>
      <c r="B78">
        <f>IF($A78='Outil Cibles'!D$7,'Outil Cibles'!D$11*'Outil Cibles'!D$8,IF($A78=('Outil Cibles'!D$7+20),'Outil Cibles'!D$12*'Outil Cibles'!D$8,IF($A78=('Outil Cibles'!D$7+30),'Outil Cibles'!D$13*'Outil Cibles'!D$8,IF($A78=('Outil Cibles'!D$7+40),'Outil Cibles'!D$14*'Outil Cibles'!D$8,0))))</f>
        <v>0</v>
      </c>
      <c r="C78">
        <f>IF($A78='Outil Cibles'!E$7,'Outil Cibles'!E$11*'Outil Cibles'!E$8,IF($A78=('Outil Cibles'!E$7+20),'Outil Cibles'!E$12*'Outil Cibles'!E$8,IF($A78=('Outil Cibles'!E$7+30),'Outil Cibles'!E$13*'Outil Cibles'!E$8,IF($A78=('Outil Cibles'!E$7+40),'Outil Cibles'!E$14*'Outil Cibles'!E$8,0))))</f>
        <v>0</v>
      </c>
      <c r="D78">
        <f>IF($A78='Outil Cibles'!F$7,'Outil Cibles'!F$11*'Outil Cibles'!F$8,IF($A78=('Outil Cibles'!F$7+20),'Outil Cibles'!F$12*'Outil Cibles'!F$8,IF($A78=('Outil Cibles'!F$7+30),'Outil Cibles'!F$13*'Outil Cibles'!F$8,IF($A78=('Outil Cibles'!F$7+40),'Outil Cibles'!F$14*'Outil Cibles'!F$8,0))))</f>
        <v>0</v>
      </c>
      <c r="E78">
        <f>IF($A78='Outil Cibles'!G$7,'Outil Cibles'!G$11*'Outil Cibles'!G$8,IF($A78=('Outil Cibles'!G$7+20),'Outil Cibles'!G$12*'Outil Cibles'!G$8,IF($A78=('Outil Cibles'!G$7+30),'Outil Cibles'!G$13*'Outil Cibles'!G$8,IF($A78=('Outil Cibles'!G$7+40),'Outil Cibles'!G$14*'Outil Cibles'!G$8,0))))</f>
        <v>0</v>
      </c>
      <c r="F78">
        <f>IF($A78='Outil Cibles'!H$7,'Outil Cibles'!H$11*'Outil Cibles'!H$8,IF($A78=('Outil Cibles'!H$7+20),'Outil Cibles'!H$12*'Outil Cibles'!H$8,IF($A78=('Outil Cibles'!H$7+30),'Outil Cibles'!H$13*'Outil Cibles'!H$8,IF($A78=('Outil Cibles'!H$7+40),'Outil Cibles'!H$14*'Outil Cibles'!H$8,0))))</f>
        <v>0</v>
      </c>
      <c r="G78">
        <f>IF($A78='Outil Cibles'!I$7,'Outil Cibles'!I$11*'Outil Cibles'!I$8,IF($A78=('Outil Cibles'!I$7+20),'Outil Cibles'!I$12*'Outil Cibles'!I$8,IF($A78=('Outil Cibles'!I$7+30),'Outil Cibles'!I$13*'Outil Cibles'!I$8,IF($A78=('Outil Cibles'!I$7+40),'Outil Cibles'!I$14*'Outil Cibles'!I$8,0))))</f>
        <v>0</v>
      </c>
      <c r="H78">
        <f>IF($A78='Outil Cibles'!J$7,'Outil Cibles'!J$11*'Outil Cibles'!J$8,IF($A78=('Outil Cibles'!J$7+20),'Outil Cibles'!J$12*'Outil Cibles'!J$8,IF($A78=('Outil Cibles'!J$7+30),'Outil Cibles'!J$13*'Outil Cibles'!J$8,IF($A78=('Outil Cibles'!J$7+40),'Outil Cibles'!J$14*'Outil Cibles'!J$8,0))))</f>
        <v>0</v>
      </c>
      <c r="I78">
        <f>IF($A78='Outil Cibles'!K$7,'Outil Cibles'!K$11*'Outil Cibles'!K$8,IF($A78=('Outil Cibles'!K$7+20),'Outil Cibles'!K$12*'Outil Cibles'!K$8,IF($A78=('Outil Cibles'!K$7+30),'Outil Cibles'!K$13*'Outil Cibles'!K$8,IF($A78=('Outil Cibles'!K$7+40),'Outil Cibles'!K$14*'Outil Cibles'!K$8,0))))</f>
        <v>0</v>
      </c>
      <c r="J78">
        <f>IF($A78='Outil Cibles'!L$7,'Outil Cibles'!L$11*'Outil Cibles'!L$8,IF($A78=('Outil Cibles'!L$7+20),'Outil Cibles'!L$12*'Outil Cibles'!L$8,IF($A78=('Outil Cibles'!L$7+30),'Outil Cibles'!L$13*'Outil Cibles'!L$8,IF($A78=('Outil Cibles'!L$7+40),'Outil Cibles'!L$14*'Outil Cibles'!L$8,0))))</f>
        <v>0</v>
      </c>
      <c r="K78">
        <f>IF($A78='Outil Cibles'!M$7,'Outil Cibles'!M$11*'Outil Cibles'!M$8,IF($A78=('Outil Cibles'!M$7+20),'Outil Cibles'!M$12*'Outil Cibles'!M$8,IF($A78=('Outil Cibles'!M$7+30),'Outil Cibles'!M$13*'Outil Cibles'!M$8,IF($A78=('Outil Cibles'!M$7+40),'Outil Cibles'!M$14*'Outil Cibles'!M$8,0))))</f>
        <v>0</v>
      </c>
      <c r="L78">
        <f t="shared" si="3"/>
        <v>0</v>
      </c>
      <c r="N78">
        <v>2095</v>
      </c>
      <c r="O78">
        <f>IF(N78='Outil Cibles'!$Q$7, 'Outil Cibles'!$Q$18, 0)</f>
        <v>0</v>
      </c>
      <c r="P78">
        <f>IF(N78='Outil Cibles'!$R$7, 'Outil Cibles'!$R$18, 0)</f>
        <v>0</v>
      </c>
      <c r="Q78">
        <f>IF(N78='Outil Cibles'!$S$7, 'Outil Cibles'!$S$18, 0)</f>
        <v>0</v>
      </c>
      <c r="R78">
        <f>IF(N78='Outil Cibles'!$T$7, 'Outil Cibles'!$T$18, 0)</f>
        <v>0</v>
      </c>
      <c r="S78">
        <f>IF(N78='Outil Cibles'!$U$7, 'Outil Cibles'!$U$18, 0)</f>
        <v>0</v>
      </c>
      <c r="T78">
        <f>IF(N78='Outil Cibles'!$V$7, 'Outil Cibles'!$V$18, 0)</f>
        <v>0</v>
      </c>
      <c r="U78">
        <f>IF(N78='Outil Cibles'!$W$7, 'Outil Cibles'!$W$18, 0)</f>
        <v>0</v>
      </c>
      <c r="V78">
        <f>IF(N78='Outil Cibles'!$X$7, 'Outil Cibles'!$X$18, 0)</f>
        <v>0</v>
      </c>
      <c r="W78">
        <f>IF(N78='Outil Cibles'!$Y$7, 'Outil Cibles'!$Y$18, 0)</f>
        <v>0</v>
      </c>
      <c r="X78">
        <f>IF(N78='Outil Cibles'!$Z$7, 'Outil Cibles'!$Z$18, 0)</f>
        <v>0</v>
      </c>
      <c r="Y78">
        <f t="shared" si="4"/>
        <v>0</v>
      </c>
      <c r="AA78">
        <f>IF($A78='Outil Cibles'!D$7,'Outil Cibles'!D$11*'Outil Cibles'!D$8,0)</f>
        <v>0</v>
      </c>
      <c r="AC78">
        <f>IF($A78=('Outil Cibles'!D$7+20),'Outil Cibles'!D$12*'Outil Cibles'!D$8,0)</f>
        <v>0</v>
      </c>
      <c r="AE78">
        <f>IF($A78=('Outil Cibles'!D$7+30),'Outil Cibles'!D$13*'Outil Cibles'!D$8,0)</f>
        <v>0</v>
      </c>
      <c r="AG78">
        <f>IF($A78=('Outil Cibles'!D$7+40),'Outil Cibles'!D$14*'Outil Cibles'!D$8,0)</f>
        <v>0</v>
      </c>
    </row>
    <row r="79" spans="1:33" x14ac:dyDescent="0.3">
      <c r="A79">
        <v>2096</v>
      </c>
      <c r="B79">
        <f>IF($A79='Outil Cibles'!D$7,'Outil Cibles'!D$11*'Outil Cibles'!D$8,IF($A79=('Outil Cibles'!D$7+20),'Outil Cibles'!D$12*'Outil Cibles'!D$8,IF($A79=('Outil Cibles'!D$7+30),'Outil Cibles'!D$13*'Outil Cibles'!D$8,IF($A79=('Outil Cibles'!D$7+40),'Outil Cibles'!D$14*'Outil Cibles'!D$8,0))))</f>
        <v>0</v>
      </c>
      <c r="C79">
        <f>IF($A79='Outil Cibles'!E$7,'Outil Cibles'!E$11*'Outil Cibles'!E$8,IF($A79=('Outil Cibles'!E$7+20),'Outil Cibles'!E$12*'Outil Cibles'!E$8,IF($A79=('Outil Cibles'!E$7+30),'Outil Cibles'!E$13*'Outil Cibles'!E$8,IF($A79=('Outil Cibles'!E$7+40),'Outil Cibles'!E$14*'Outil Cibles'!E$8,0))))</f>
        <v>0</v>
      </c>
      <c r="D79">
        <f>IF($A79='Outil Cibles'!F$7,'Outil Cibles'!F$11*'Outil Cibles'!F$8,IF($A79=('Outil Cibles'!F$7+20),'Outil Cibles'!F$12*'Outil Cibles'!F$8,IF($A79=('Outil Cibles'!F$7+30),'Outil Cibles'!F$13*'Outil Cibles'!F$8,IF($A79=('Outil Cibles'!F$7+40),'Outil Cibles'!F$14*'Outil Cibles'!F$8,0))))</f>
        <v>0</v>
      </c>
      <c r="E79">
        <f>IF($A79='Outil Cibles'!G$7,'Outil Cibles'!G$11*'Outil Cibles'!G$8,IF($A79=('Outil Cibles'!G$7+20),'Outil Cibles'!G$12*'Outil Cibles'!G$8,IF($A79=('Outil Cibles'!G$7+30),'Outil Cibles'!G$13*'Outil Cibles'!G$8,IF($A79=('Outil Cibles'!G$7+40),'Outil Cibles'!G$14*'Outil Cibles'!G$8,0))))</f>
        <v>0</v>
      </c>
      <c r="F79">
        <f>IF($A79='Outil Cibles'!H$7,'Outil Cibles'!H$11*'Outil Cibles'!H$8,IF($A79=('Outil Cibles'!H$7+20),'Outil Cibles'!H$12*'Outil Cibles'!H$8,IF($A79=('Outil Cibles'!H$7+30),'Outil Cibles'!H$13*'Outil Cibles'!H$8,IF($A79=('Outil Cibles'!H$7+40),'Outil Cibles'!H$14*'Outil Cibles'!H$8,0))))</f>
        <v>0</v>
      </c>
      <c r="G79">
        <f>IF($A79='Outil Cibles'!I$7,'Outil Cibles'!I$11*'Outil Cibles'!I$8,IF($A79=('Outil Cibles'!I$7+20),'Outil Cibles'!I$12*'Outil Cibles'!I$8,IF($A79=('Outil Cibles'!I$7+30),'Outil Cibles'!I$13*'Outil Cibles'!I$8,IF($A79=('Outil Cibles'!I$7+40),'Outil Cibles'!I$14*'Outil Cibles'!I$8,0))))</f>
        <v>0</v>
      </c>
      <c r="H79">
        <f>IF($A79='Outil Cibles'!J$7,'Outil Cibles'!J$11*'Outil Cibles'!J$8,IF($A79=('Outil Cibles'!J$7+20),'Outil Cibles'!J$12*'Outil Cibles'!J$8,IF($A79=('Outil Cibles'!J$7+30),'Outil Cibles'!J$13*'Outil Cibles'!J$8,IF($A79=('Outil Cibles'!J$7+40),'Outil Cibles'!J$14*'Outil Cibles'!J$8,0))))</f>
        <v>0</v>
      </c>
      <c r="I79">
        <f>IF($A79='Outil Cibles'!K$7,'Outil Cibles'!K$11*'Outil Cibles'!K$8,IF($A79=('Outil Cibles'!K$7+20),'Outil Cibles'!K$12*'Outil Cibles'!K$8,IF($A79=('Outil Cibles'!K$7+30),'Outil Cibles'!K$13*'Outil Cibles'!K$8,IF($A79=('Outil Cibles'!K$7+40),'Outil Cibles'!K$14*'Outil Cibles'!K$8,0))))</f>
        <v>0</v>
      </c>
      <c r="J79">
        <f>IF($A79='Outil Cibles'!L$7,'Outil Cibles'!L$11*'Outil Cibles'!L$8,IF($A79=('Outil Cibles'!L$7+20),'Outil Cibles'!L$12*'Outil Cibles'!L$8,IF($A79=('Outil Cibles'!L$7+30),'Outil Cibles'!L$13*'Outil Cibles'!L$8,IF($A79=('Outil Cibles'!L$7+40),'Outil Cibles'!L$14*'Outil Cibles'!L$8,0))))</f>
        <v>0</v>
      </c>
      <c r="K79">
        <f>IF($A79='Outil Cibles'!M$7,'Outil Cibles'!M$11*'Outil Cibles'!M$8,IF($A79=('Outil Cibles'!M$7+20),'Outil Cibles'!M$12*'Outil Cibles'!M$8,IF($A79=('Outil Cibles'!M$7+30),'Outil Cibles'!M$13*'Outil Cibles'!M$8,IF($A79=('Outil Cibles'!M$7+40),'Outil Cibles'!M$14*'Outil Cibles'!M$8,0))))</f>
        <v>0</v>
      </c>
      <c r="L79">
        <f t="shared" si="3"/>
        <v>0</v>
      </c>
      <c r="N79">
        <v>2096</v>
      </c>
      <c r="O79">
        <f>IF(N79='Outil Cibles'!$Q$7, 'Outil Cibles'!$Q$18, 0)</f>
        <v>0</v>
      </c>
      <c r="P79">
        <f>IF(N79='Outil Cibles'!$R$7, 'Outil Cibles'!$R$18, 0)</f>
        <v>0</v>
      </c>
      <c r="Q79">
        <f>IF(N79='Outil Cibles'!$S$7, 'Outil Cibles'!$S$18, 0)</f>
        <v>0</v>
      </c>
      <c r="R79">
        <f>IF(N79='Outil Cibles'!$T$7, 'Outil Cibles'!$T$18, 0)</f>
        <v>0</v>
      </c>
      <c r="S79">
        <f>IF(N79='Outil Cibles'!$U$7, 'Outil Cibles'!$U$18, 0)</f>
        <v>0</v>
      </c>
      <c r="T79">
        <f>IF(N79='Outil Cibles'!$V$7, 'Outil Cibles'!$V$18, 0)</f>
        <v>0</v>
      </c>
      <c r="U79">
        <f>IF(N79='Outil Cibles'!$W$7, 'Outil Cibles'!$W$18, 0)</f>
        <v>0</v>
      </c>
      <c r="V79">
        <f>IF(N79='Outil Cibles'!$X$7, 'Outil Cibles'!$X$18, 0)</f>
        <v>0</v>
      </c>
      <c r="W79">
        <f>IF(N79='Outil Cibles'!$Y$7, 'Outil Cibles'!$Y$18, 0)</f>
        <v>0</v>
      </c>
      <c r="X79">
        <f>IF(N79='Outil Cibles'!$Z$7, 'Outil Cibles'!$Z$18, 0)</f>
        <v>0</v>
      </c>
      <c r="Y79">
        <f t="shared" si="4"/>
        <v>0</v>
      </c>
      <c r="AA79">
        <f>IF($A79='Outil Cibles'!D$7,'Outil Cibles'!D$11*'Outil Cibles'!D$8,0)</f>
        <v>0</v>
      </c>
      <c r="AC79">
        <f>IF($A79=('Outil Cibles'!D$7+20),'Outil Cibles'!D$12*'Outil Cibles'!D$8,0)</f>
        <v>0</v>
      </c>
      <c r="AE79">
        <f>IF($A79=('Outil Cibles'!D$7+30),'Outil Cibles'!D$13*'Outil Cibles'!D$8,0)</f>
        <v>0</v>
      </c>
      <c r="AG79">
        <f>IF($A79=('Outil Cibles'!D$7+40),'Outil Cibles'!D$14*'Outil Cibles'!D$8,0)</f>
        <v>0</v>
      </c>
    </row>
    <row r="80" spans="1:33" x14ac:dyDescent="0.3">
      <c r="A80">
        <v>2097</v>
      </c>
      <c r="B80">
        <f>IF($A80='Outil Cibles'!D$7,'Outil Cibles'!D$11*'Outil Cibles'!D$8,IF($A80=('Outil Cibles'!D$7+20),'Outil Cibles'!D$12*'Outil Cibles'!D$8,IF($A80=('Outil Cibles'!D$7+30),'Outil Cibles'!D$13*'Outil Cibles'!D$8,IF($A80=('Outil Cibles'!D$7+40),'Outil Cibles'!D$14*'Outil Cibles'!D$8,0))))</f>
        <v>0</v>
      </c>
      <c r="C80">
        <f>IF($A80='Outil Cibles'!E$7,'Outil Cibles'!E$11*'Outil Cibles'!E$8,IF($A80=('Outil Cibles'!E$7+20),'Outil Cibles'!E$12*'Outil Cibles'!E$8,IF($A80=('Outil Cibles'!E$7+30),'Outil Cibles'!E$13*'Outil Cibles'!E$8,IF($A80=('Outil Cibles'!E$7+40),'Outil Cibles'!E$14*'Outil Cibles'!E$8,0))))</f>
        <v>0</v>
      </c>
      <c r="D80">
        <f>IF($A80='Outil Cibles'!F$7,'Outil Cibles'!F$11*'Outil Cibles'!F$8,IF($A80=('Outil Cibles'!F$7+20),'Outil Cibles'!F$12*'Outil Cibles'!F$8,IF($A80=('Outil Cibles'!F$7+30),'Outil Cibles'!F$13*'Outil Cibles'!F$8,IF($A80=('Outil Cibles'!F$7+40),'Outil Cibles'!F$14*'Outil Cibles'!F$8,0))))</f>
        <v>0</v>
      </c>
      <c r="E80">
        <f>IF($A80='Outil Cibles'!G$7,'Outil Cibles'!G$11*'Outil Cibles'!G$8,IF($A80=('Outil Cibles'!G$7+20),'Outil Cibles'!G$12*'Outil Cibles'!G$8,IF($A80=('Outil Cibles'!G$7+30),'Outil Cibles'!G$13*'Outil Cibles'!G$8,IF($A80=('Outil Cibles'!G$7+40),'Outil Cibles'!G$14*'Outil Cibles'!G$8,0))))</f>
        <v>0</v>
      </c>
      <c r="F80">
        <f>IF($A80='Outil Cibles'!H$7,'Outil Cibles'!H$11*'Outil Cibles'!H$8,IF($A80=('Outil Cibles'!H$7+20),'Outil Cibles'!H$12*'Outil Cibles'!H$8,IF($A80=('Outil Cibles'!H$7+30),'Outil Cibles'!H$13*'Outil Cibles'!H$8,IF($A80=('Outil Cibles'!H$7+40),'Outil Cibles'!H$14*'Outil Cibles'!H$8,0))))</f>
        <v>0</v>
      </c>
      <c r="G80">
        <f>IF($A80='Outil Cibles'!I$7,'Outil Cibles'!I$11*'Outil Cibles'!I$8,IF($A80=('Outil Cibles'!I$7+20),'Outil Cibles'!I$12*'Outil Cibles'!I$8,IF($A80=('Outil Cibles'!I$7+30),'Outil Cibles'!I$13*'Outil Cibles'!I$8,IF($A80=('Outil Cibles'!I$7+40),'Outil Cibles'!I$14*'Outil Cibles'!I$8,0))))</f>
        <v>0</v>
      </c>
      <c r="H80">
        <f>IF($A80='Outil Cibles'!J$7,'Outil Cibles'!J$11*'Outil Cibles'!J$8,IF($A80=('Outil Cibles'!J$7+20),'Outil Cibles'!J$12*'Outil Cibles'!J$8,IF($A80=('Outil Cibles'!J$7+30),'Outil Cibles'!J$13*'Outil Cibles'!J$8,IF($A80=('Outil Cibles'!J$7+40),'Outil Cibles'!J$14*'Outil Cibles'!J$8,0))))</f>
        <v>0</v>
      </c>
      <c r="I80">
        <f>IF($A80='Outil Cibles'!K$7,'Outil Cibles'!K$11*'Outil Cibles'!K$8,IF($A80=('Outil Cibles'!K$7+20),'Outil Cibles'!K$12*'Outil Cibles'!K$8,IF($A80=('Outil Cibles'!K$7+30),'Outil Cibles'!K$13*'Outil Cibles'!K$8,IF($A80=('Outil Cibles'!K$7+40),'Outil Cibles'!K$14*'Outil Cibles'!K$8,0))))</f>
        <v>0</v>
      </c>
      <c r="J80">
        <f>IF($A80='Outil Cibles'!L$7,'Outil Cibles'!L$11*'Outil Cibles'!L$8,IF($A80=('Outil Cibles'!L$7+20),'Outil Cibles'!L$12*'Outil Cibles'!L$8,IF($A80=('Outil Cibles'!L$7+30),'Outil Cibles'!L$13*'Outil Cibles'!L$8,IF($A80=('Outil Cibles'!L$7+40),'Outil Cibles'!L$14*'Outil Cibles'!L$8,0))))</f>
        <v>0</v>
      </c>
      <c r="K80">
        <f>IF($A80='Outil Cibles'!M$7,'Outil Cibles'!M$11*'Outil Cibles'!M$8,IF($A80=('Outil Cibles'!M$7+20),'Outil Cibles'!M$12*'Outil Cibles'!M$8,IF($A80=('Outil Cibles'!M$7+30),'Outil Cibles'!M$13*'Outil Cibles'!M$8,IF($A80=('Outil Cibles'!M$7+40),'Outil Cibles'!M$14*'Outil Cibles'!M$8,0))))</f>
        <v>0</v>
      </c>
      <c r="L80">
        <f t="shared" si="3"/>
        <v>0</v>
      </c>
      <c r="N80">
        <v>2097</v>
      </c>
      <c r="O80">
        <f>IF(N80='Outil Cibles'!$Q$7, 'Outil Cibles'!$Q$18, 0)</f>
        <v>0</v>
      </c>
      <c r="P80">
        <f>IF(N80='Outil Cibles'!$R$7, 'Outil Cibles'!$R$18, 0)</f>
        <v>0</v>
      </c>
      <c r="Q80">
        <f>IF(N80='Outil Cibles'!$S$7, 'Outil Cibles'!$S$18, 0)</f>
        <v>0</v>
      </c>
      <c r="R80">
        <f>IF(N80='Outil Cibles'!$T$7, 'Outil Cibles'!$T$18, 0)</f>
        <v>0</v>
      </c>
      <c r="S80">
        <f>IF(N80='Outil Cibles'!$U$7, 'Outil Cibles'!$U$18, 0)</f>
        <v>0</v>
      </c>
      <c r="T80">
        <f>IF(N80='Outil Cibles'!$V$7, 'Outil Cibles'!$V$18, 0)</f>
        <v>0</v>
      </c>
      <c r="U80">
        <f>IF(N80='Outil Cibles'!$W$7, 'Outil Cibles'!$W$18, 0)</f>
        <v>0</v>
      </c>
      <c r="V80">
        <f>IF(N80='Outil Cibles'!$X$7, 'Outil Cibles'!$X$18, 0)</f>
        <v>0</v>
      </c>
      <c r="W80">
        <f>IF(N80='Outil Cibles'!$Y$7, 'Outil Cibles'!$Y$18, 0)</f>
        <v>0</v>
      </c>
      <c r="X80">
        <f>IF(N80='Outil Cibles'!$Z$7, 'Outil Cibles'!$Z$18, 0)</f>
        <v>0</v>
      </c>
      <c r="Y80">
        <f t="shared" si="4"/>
        <v>0</v>
      </c>
      <c r="AA80">
        <f>IF($A80='Outil Cibles'!D$7,'Outil Cibles'!D$11*'Outil Cibles'!D$8,0)</f>
        <v>0</v>
      </c>
      <c r="AC80">
        <f>IF($A80=('Outil Cibles'!D$7+20),'Outil Cibles'!D$12*'Outil Cibles'!D$8,0)</f>
        <v>0</v>
      </c>
      <c r="AE80">
        <f>IF($A80=('Outil Cibles'!D$7+30),'Outil Cibles'!D$13*'Outil Cibles'!D$8,0)</f>
        <v>0</v>
      </c>
      <c r="AG80">
        <f>IF($A80=('Outil Cibles'!D$7+40),'Outil Cibles'!D$14*'Outil Cibles'!D$8,0)</f>
        <v>0</v>
      </c>
    </row>
    <row r="81" spans="1:33" x14ac:dyDescent="0.3">
      <c r="A81" s="10">
        <v>2098</v>
      </c>
      <c r="B81">
        <f>IF($A81='Outil Cibles'!D$7,'Outil Cibles'!D$11*'Outil Cibles'!D$8,IF($A81=('Outil Cibles'!D$7+20),'Outil Cibles'!D$12*'Outil Cibles'!D$8,IF($A81=('Outil Cibles'!D$7+30),'Outil Cibles'!D$13*'Outil Cibles'!D$8,IF($A81=('Outil Cibles'!D$7+40),'Outil Cibles'!D$14*'Outil Cibles'!D$8,0))))</f>
        <v>0</v>
      </c>
      <c r="C81">
        <f>IF($A81='Outil Cibles'!E$7,'Outil Cibles'!E$11*'Outil Cibles'!E$8,IF($A81=('Outil Cibles'!E$7+20),'Outil Cibles'!E$12*'Outil Cibles'!E$8,IF($A81=('Outil Cibles'!E$7+30),'Outil Cibles'!E$13*'Outil Cibles'!E$8,IF($A81=('Outil Cibles'!E$7+40),'Outil Cibles'!E$14*'Outil Cibles'!E$8,0))))</f>
        <v>0</v>
      </c>
      <c r="D81">
        <f>IF($A81='Outil Cibles'!F$7,'Outil Cibles'!F$11*'Outil Cibles'!F$8,IF($A81=('Outil Cibles'!F$7+20),'Outil Cibles'!F$12*'Outil Cibles'!F$8,IF($A81=('Outil Cibles'!F$7+30),'Outil Cibles'!F$13*'Outil Cibles'!F$8,IF($A81=('Outil Cibles'!F$7+40),'Outil Cibles'!F$14*'Outil Cibles'!F$8,0))))</f>
        <v>0</v>
      </c>
      <c r="E81">
        <f>IF($A81='Outil Cibles'!G$7,'Outil Cibles'!G$11*'Outil Cibles'!G$8,IF($A81=('Outil Cibles'!G$7+20),'Outil Cibles'!G$12*'Outil Cibles'!G$8,IF($A81=('Outil Cibles'!G$7+30),'Outil Cibles'!G$13*'Outil Cibles'!G$8,IF($A81=('Outil Cibles'!G$7+40),'Outil Cibles'!G$14*'Outil Cibles'!G$8,0))))</f>
        <v>0</v>
      </c>
      <c r="F81">
        <f>IF($A81='Outil Cibles'!H$7,'Outil Cibles'!H$11*'Outil Cibles'!H$8,IF($A81=('Outil Cibles'!H$7+20),'Outil Cibles'!H$12*'Outil Cibles'!H$8,IF($A81=('Outil Cibles'!H$7+30),'Outil Cibles'!H$13*'Outil Cibles'!H$8,IF($A81=('Outil Cibles'!H$7+40),'Outil Cibles'!H$14*'Outil Cibles'!H$8,0))))</f>
        <v>0</v>
      </c>
      <c r="G81">
        <f>IF($A81='Outil Cibles'!I$7,'Outil Cibles'!I$11*'Outil Cibles'!I$8,IF($A81=('Outil Cibles'!I$7+20),'Outil Cibles'!I$12*'Outil Cibles'!I$8,IF($A81=('Outil Cibles'!I$7+30),'Outil Cibles'!I$13*'Outil Cibles'!I$8,IF($A81=('Outil Cibles'!I$7+40),'Outil Cibles'!I$14*'Outil Cibles'!I$8,0))))</f>
        <v>0</v>
      </c>
      <c r="H81">
        <f>IF($A81='Outil Cibles'!J$7,'Outil Cibles'!J$11*'Outil Cibles'!J$8,IF($A81=('Outil Cibles'!J$7+20),'Outil Cibles'!J$12*'Outil Cibles'!J$8,IF($A81=('Outil Cibles'!J$7+30),'Outil Cibles'!J$13*'Outil Cibles'!J$8,IF($A81=('Outil Cibles'!J$7+40),'Outil Cibles'!J$14*'Outil Cibles'!J$8,0))))</f>
        <v>0</v>
      </c>
      <c r="I81">
        <f>IF($A81='Outil Cibles'!K$7,'Outil Cibles'!K$11*'Outil Cibles'!K$8,IF($A81=('Outil Cibles'!K$7+20),'Outil Cibles'!K$12*'Outil Cibles'!K$8,IF($A81=('Outil Cibles'!K$7+30),'Outil Cibles'!K$13*'Outil Cibles'!K$8,IF($A81=('Outil Cibles'!K$7+40),'Outil Cibles'!K$14*'Outil Cibles'!K$8,0))))</f>
        <v>0</v>
      </c>
      <c r="J81">
        <f>IF($A81='Outil Cibles'!L$7,'Outil Cibles'!L$11*'Outil Cibles'!L$8,IF($A81=('Outil Cibles'!L$7+20),'Outil Cibles'!L$12*'Outil Cibles'!L$8,IF($A81=('Outil Cibles'!L$7+30),'Outil Cibles'!L$13*'Outil Cibles'!L$8,IF($A81=('Outil Cibles'!L$7+40),'Outil Cibles'!L$14*'Outil Cibles'!L$8,0))))</f>
        <v>0</v>
      </c>
      <c r="K81">
        <f>IF($A81='Outil Cibles'!M$7,'Outil Cibles'!M$11*'Outil Cibles'!M$8,IF($A81=('Outil Cibles'!M$7+20),'Outil Cibles'!M$12*'Outil Cibles'!M$8,IF($A81=('Outil Cibles'!M$7+30),'Outil Cibles'!M$13*'Outil Cibles'!M$8,IF($A81=('Outil Cibles'!M$7+40),'Outil Cibles'!M$14*'Outil Cibles'!M$8,0))))</f>
        <v>0</v>
      </c>
      <c r="L81">
        <f t="shared" si="3"/>
        <v>0</v>
      </c>
      <c r="N81" s="10">
        <v>2098</v>
      </c>
      <c r="O81">
        <f>IF(N81='Outil Cibles'!$Q$7, 'Outil Cibles'!$Q$18, 0)</f>
        <v>0</v>
      </c>
      <c r="P81">
        <f>IF(N81='Outil Cibles'!$R$7, 'Outil Cibles'!$R$18, 0)</f>
        <v>0</v>
      </c>
      <c r="Q81">
        <f>IF(N81='Outil Cibles'!$S$7, 'Outil Cibles'!$S$18, 0)</f>
        <v>0</v>
      </c>
      <c r="R81">
        <f>IF(N81='Outil Cibles'!$T$7, 'Outil Cibles'!$T$18, 0)</f>
        <v>0</v>
      </c>
      <c r="S81">
        <f>IF(N81='Outil Cibles'!$U$7, 'Outil Cibles'!$U$18, 0)</f>
        <v>0</v>
      </c>
      <c r="T81">
        <f>IF(N81='Outil Cibles'!$V$7, 'Outil Cibles'!$V$18, 0)</f>
        <v>0</v>
      </c>
      <c r="U81">
        <f>IF(N81='Outil Cibles'!$W$7, 'Outil Cibles'!$W$18, 0)</f>
        <v>0</v>
      </c>
      <c r="V81">
        <f>IF(N81='Outil Cibles'!$X$7, 'Outil Cibles'!$X$18, 0)</f>
        <v>0</v>
      </c>
      <c r="W81">
        <f>IF(N81='Outil Cibles'!$Y$7, 'Outil Cibles'!$Y$18, 0)</f>
        <v>0</v>
      </c>
      <c r="X81">
        <f>IF(N81='Outil Cibles'!$Z$7, 'Outil Cibles'!$Z$18, 0)</f>
        <v>0</v>
      </c>
      <c r="Y81">
        <f t="shared" si="4"/>
        <v>0</v>
      </c>
      <c r="AA81">
        <f>IF($A81='Outil Cibles'!D$7,'Outil Cibles'!D$11*'Outil Cibles'!D$8,0)</f>
        <v>0</v>
      </c>
      <c r="AC81">
        <f>IF($A81=('Outil Cibles'!D$7+20),'Outil Cibles'!D$12*'Outil Cibles'!D$8,0)</f>
        <v>0</v>
      </c>
      <c r="AE81">
        <f>IF($A81=('Outil Cibles'!D$7+30),'Outil Cibles'!D$13*'Outil Cibles'!D$8,0)</f>
        <v>0</v>
      </c>
      <c r="AG81">
        <f>IF($A81=('Outil Cibles'!D$7+40),'Outil Cibles'!D$14*'Outil Cibles'!D$8,0)</f>
        <v>0</v>
      </c>
    </row>
    <row r="82" spans="1:33" x14ac:dyDescent="0.3">
      <c r="A82">
        <v>2099</v>
      </c>
      <c r="B82">
        <f>IF($A82='Outil Cibles'!D$7,'Outil Cibles'!D$11*'Outil Cibles'!D$8,IF($A82=('Outil Cibles'!D$7+20),'Outil Cibles'!D$12*'Outil Cibles'!D$8,IF($A82=('Outil Cibles'!D$7+30),'Outil Cibles'!D$13*'Outil Cibles'!D$8,IF($A82=('Outil Cibles'!D$7+40),'Outil Cibles'!D$14*'Outil Cibles'!D$8,0))))</f>
        <v>0</v>
      </c>
      <c r="C82">
        <f>IF($A82='Outil Cibles'!E$7,'Outil Cibles'!E$11*'Outil Cibles'!E$8,IF($A82=('Outil Cibles'!E$7+20),'Outil Cibles'!E$12*'Outil Cibles'!E$8,IF($A82=('Outil Cibles'!E$7+30),'Outil Cibles'!E$13*'Outil Cibles'!E$8,IF($A82=('Outil Cibles'!E$7+40),'Outil Cibles'!E$14*'Outil Cibles'!E$8,0))))</f>
        <v>0</v>
      </c>
      <c r="D82">
        <f>IF($A82='Outil Cibles'!F$7,'Outil Cibles'!F$11*'Outil Cibles'!F$8,IF($A82=('Outil Cibles'!F$7+20),'Outil Cibles'!F$12*'Outil Cibles'!F$8,IF($A82=('Outil Cibles'!F$7+30),'Outil Cibles'!F$13*'Outil Cibles'!F$8,IF($A82=('Outil Cibles'!F$7+40),'Outil Cibles'!F$14*'Outil Cibles'!F$8,0))))</f>
        <v>0</v>
      </c>
      <c r="E82">
        <f>IF($A82='Outil Cibles'!G$7,'Outil Cibles'!G$11*'Outil Cibles'!G$8,IF($A82=('Outil Cibles'!G$7+20),'Outil Cibles'!G$12*'Outil Cibles'!G$8,IF($A82=('Outil Cibles'!G$7+30),'Outil Cibles'!G$13*'Outil Cibles'!G$8,IF($A82=('Outil Cibles'!G$7+40),'Outil Cibles'!G$14*'Outil Cibles'!G$8,0))))</f>
        <v>0</v>
      </c>
      <c r="F82">
        <f>IF($A82='Outil Cibles'!H$7,'Outil Cibles'!H$11*'Outil Cibles'!H$8,IF($A82=('Outil Cibles'!H$7+20),'Outil Cibles'!H$12*'Outil Cibles'!H$8,IF($A82=('Outil Cibles'!H$7+30),'Outil Cibles'!H$13*'Outil Cibles'!H$8,IF($A82=('Outil Cibles'!H$7+40),'Outil Cibles'!H$14*'Outil Cibles'!H$8,0))))</f>
        <v>0</v>
      </c>
      <c r="G82">
        <f>IF($A82='Outil Cibles'!I$7,'Outil Cibles'!I$11*'Outil Cibles'!I$8,IF($A82=('Outil Cibles'!I$7+20),'Outil Cibles'!I$12*'Outil Cibles'!I$8,IF($A82=('Outil Cibles'!I$7+30),'Outil Cibles'!I$13*'Outil Cibles'!I$8,IF($A82=('Outil Cibles'!I$7+40),'Outil Cibles'!I$14*'Outil Cibles'!I$8,0))))</f>
        <v>0</v>
      </c>
      <c r="H82">
        <f>IF($A82='Outil Cibles'!J$7,'Outil Cibles'!J$11*'Outil Cibles'!J$8,IF($A82=('Outil Cibles'!J$7+20),'Outil Cibles'!J$12*'Outil Cibles'!J$8,IF($A82=('Outil Cibles'!J$7+30),'Outil Cibles'!J$13*'Outil Cibles'!J$8,IF($A82=('Outil Cibles'!J$7+40),'Outil Cibles'!J$14*'Outil Cibles'!J$8,0))))</f>
        <v>0</v>
      </c>
      <c r="I82">
        <f>IF($A82='Outil Cibles'!K$7,'Outil Cibles'!K$11*'Outil Cibles'!K$8,IF($A82=('Outil Cibles'!K$7+20),'Outil Cibles'!K$12*'Outil Cibles'!K$8,IF($A82=('Outil Cibles'!K$7+30),'Outil Cibles'!K$13*'Outil Cibles'!K$8,IF($A82=('Outil Cibles'!K$7+40),'Outil Cibles'!K$14*'Outil Cibles'!K$8,0))))</f>
        <v>0</v>
      </c>
      <c r="J82">
        <f>IF($A82='Outil Cibles'!L$7,'Outil Cibles'!L$11*'Outil Cibles'!L$8,IF($A82=('Outil Cibles'!L$7+20),'Outil Cibles'!L$12*'Outil Cibles'!L$8,IF($A82=('Outil Cibles'!L$7+30),'Outil Cibles'!L$13*'Outil Cibles'!L$8,IF($A82=('Outil Cibles'!L$7+40),'Outil Cibles'!L$14*'Outil Cibles'!L$8,0))))</f>
        <v>0</v>
      </c>
      <c r="K82">
        <f>IF($A82='Outil Cibles'!M$7,'Outil Cibles'!M$11*'Outil Cibles'!M$8,IF($A82=('Outil Cibles'!M$7+20),'Outil Cibles'!M$12*'Outil Cibles'!M$8,IF($A82=('Outil Cibles'!M$7+30),'Outil Cibles'!M$13*'Outil Cibles'!M$8,IF($A82=('Outil Cibles'!M$7+40),'Outil Cibles'!M$14*'Outil Cibles'!M$8,0))))</f>
        <v>0</v>
      </c>
      <c r="L82">
        <f t="shared" si="3"/>
        <v>0</v>
      </c>
      <c r="N82">
        <v>2099</v>
      </c>
      <c r="O82">
        <f>IF(N82='Outil Cibles'!$Q$7, 'Outil Cibles'!$Q$18, 0)</f>
        <v>0</v>
      </c>
      <c r="P82">
        <f>IF(N82='Outil Cibles'!$R$7, 'Outil Cibles'!$R$18, 0)</f>
        <v>0</v>
      </c>
      <c r="Q82">
        <f>IF(N82='Outil Cibles'!$S$7, 'Outil Cibles'!$S$18, 0)</f>
        <v>0</v>
      </c>
      <c r="R82">
        <f>IF(N82='Outil Cibles'!$T$7, 'Outil Cibles'!$T$18, 0)</f>
        <v>0</v>
      </c>
      <c r="S82">
        <f>IF(N82='Outil Cibles'!$U$7, 'Outil Cibles'!$U$18, 0)</f>
        <v>0</v>
      </c>
      <c r="T82">
        <f>IF(N82='Outil Cibles'!$V$7, 'Outil Cibles'!$V$18, 0)</f>
        <v>0</v>
      </c>
      <c r="U82">
        <f>IF(N82='Outil Cibles'!$W$7, 'Outil Cibles'!$W$18, 0)</f>
        <v>0</v>
      </c>
      <c r="V82">
        <f>IF(N82='Outil Cibles'!$X$7, 'Outil Cibles'!$X$18, 0)</f>
        <v>0</v>
      </c>
      <c r="W82">
        <f>IF(N82='Outil Cibles'!$Y$7, 'Outil Cibles'!$Y$18, 0)</f>
        <v>0</v>
      </c>
      <c r="X82">
        <f>IF(N82='Outil Cibles'!$Z$7, 'Outil Cibles'!$Z$18, 0)</f>
        <v>0</v>
      </c>
      <c r="Y82">
        <f t="shared" si="4"/>
        <v>0</v>
      </c>
      <c r="AA82">
        <f>IF($A82='Outil Cibles'!D$7,'Outil Cibles'!D$11*'Outil Cibles'!D$8,0)</f>
        <v>0</v>
      </c>
      <c r="AC82">
        <f>IF($A82=('Outil Cibles'!D$7+20),'Outil Cibles'!D$12*'Outil Cibles'!D$8,0)</f>
        <v>0</v>
      </c>
      <c r="AE82">
        <f>IF($A82=('Outil Cibles'!D$7+30),'Outil Cibles'!D$13*'Outil Cibles'!D$8,0)</f>
        <v>0</v>
      </c>
      <c r="AG82">
        <f>IF($A82=('Outil Cibles'!D$7+40),'Outil Cibles'!D$14*'Outil Cibles'!D$8,0)</f>
        <v>0</v>
      </c>
    </row>
    <row r="83" spans="1:33" x14ac:dyDescent="0.3">
      <c r="A83">
        <v>2100</v>
      </c>
      <c r="B83">
        <f>IF($A83='Outil Cibles'!D$7,'Outil Cibles'!D$11*'Outil Cibles'!D$8,IF($A83=('Outil Cibles'!D$7+20),'Outil Cibles'!D$12*'Outil Cibles'!D$8,IF($A83=('Outil Cibles'!D$7+30),'Outil Cibles'!D$13*'Outil Cibles'!D$8,IF($A83=('Outil Cibles'!D$7+40),'Outil Cibles'!D$14*'Outil Cibles'!D$8,0))))</f>
        <v>0</v>
      </c>
      <c r="C83">
        <f>IF($A83='Outil Cibles'!E$7,'Outil Cibles'!E$11*'Outil Cibles'!E$8,IF($A83=('Outil Cibles'!E$7+20),'Outil Cibles'!E$12*'Outil Cibles'!E$8,IF($A83=('Outil Cibles'!E$7+30),'Outil Cibles'!E$13*'Outil Cibles'!E$8,IF($A83=('Outil Cibles'!E$7+40),'Outil Cibles'!E$14*'Outil Cibles'!E$8,0))))</f>
        <v>0</v>
      </c>
      <c r="D83">
        <f>IF($A83='Outil Cibles'!F$7,'Outil Cibles'!F$11*'Outil Cibles'!F$8,IF($A83=('Outil Cibles'!F$7+20),'Outil Cibles'!F$12*'Outil Cibles'!F$8,IF($A83=('Outil Cibles'!F$7+30),'Outil Cibles'!F$13*'Outil Cibles'!F$8,IF($A83=('Outil Cibles'!F$7+40),'Outil Cibles'!F$14*'Outil Cibles'!F$8,0))))</f>
        <v>0</v>
      </c>
      <c r="E83">
        <f>IF($A83='Outil Cibles'!G$7,'Outil Cibles'!G$11*'Outil Cibles'!G$8,IF($A83=('Outil Cibles'!G$7+20),'Outil Cibles'!G$12*'Outil Cibles'!G$8,IF($A83=('Outil Cibles'!G$7+30),'Outil Cibles'!G$13*'Outil Cibles'!G$8,IF($A83=('Outil Cibles'!G$7+40),'Outil Cibles'!G$14*'Outil Cibles'!G$8,0))))</f>
        <v>0</v>
      </c>
      <c r="F83">
        <f>IF($A83='Outil Cibles'!H$7,'Outil Cibles'!H$11*'Outil Cibles'!H$8,IF($A83=('Outil Cibles'!H$7+20),'Outil Cibles'!H$12*'Outil Cibles'!H$8,IF($A83=('Outil Cibles'!H$7+30),'Outil Cibles'!H$13*'Outil Cibles'!H$8,IF($A83=('Outil Cibles'!H$7+40),'Outil Cibles'!H$14*'Outil Cibles'!H$8,0))))</f>
        <v>0</v>
      </c>
      <c r="G83">
        <f>IF($A83='Outil Cibles'!I$7,'Outil Cibles'!I$11*'Outil Cibles'!I$8,IF($A83=('Outil Cibles'!I$7+20),'Outil Cibles'!I$12*'Outil Cibles'!I$8,IF($A83=('Outil Cibles'!I$7+30),'Outil Cibles'!I$13*'Outil Cibles'!I$8,IF($A83=('Outil Cibles'!I$7+40),'Outil Cibles'!I$14*'Outil Cibles'!I$8,0))))</f>
        <v>0</v>
      </c>
      <c r="H83">
        <f>IF($A83='Outil Cibles'!J$7,'Outil Cibles'!J$11*'Outil Cibles'!J$8,IF($A83=('Outil Cibles'!J$7+20),'Outil Cibles'!J$12*'Outil Cibles'!J$8,IF($A83=('Outil Cibles'!J$7+30),'Outil Cibles'!J$13*'Outil Cibles'!J$8,IF($A83=('Outil Cibles'!J$7+40),'Outil Cibles'!J$14*'Outil Cibles'!J$8,0))))</f>
        <v>0</v>
      </c>
      <c r="I83">
        <f>IF($A83='Outil Cibles'!K$7,'Outil Cibles'!K$11*'Outil Cibles'!K$8,IF($A83=('Outil Cibles'!K$7+20),'Outil Cibles'!K$12*'Outil Cibles'!K$8,IF($A83=('Outil Cibles'!K$7+30),'Outil Cibles'!K$13*'Outil Cibles'!K$8,IF($A83=('Outil Cibles'!K$7+40),'Outil Cibles'!K$14*'Outil Cibles'!K$8,0))))</f>
        <v>0</v>
      </c>
      <c r="J83">
        <f>IF($A83='Outil Cibles'!L$7,'Outil Cibles'!L$11*'Outil Cibles'!L$8,IF($A83=('Outil Cibles'!L$7+20),'Outil Cibles'!L$12*'Outil Cibles'!L$8,IF($A83=('Outil Cibles'!L$7+30),'Outil Cibles'!L$13*'Outil Cibles'!L$8,IF($A83=('Outil Cibles'!L$7+40),'Outil Cibles'!L$14*'Outil Cibles'!L$8,0))))</f>
        <v>0</v>
      </c>
      <c r="K83">
        <f>IF($A83='Outil Cibles'!M$7,'Outil Cibles'!M$11*'Outil Cibles'!M$8,IF($A83=('Outil Cibles'!M$7+20),'Outil Cibles'!M$12*'Outil Cibles'!M$8,IF($A83=('Outil Cibles'!M$7+30),'Outil Cibles'!M$13*'Outil Cibles'!M$8,IF($A83=('Outil Cibles'!M$7+40),'Outil Cibles'!M$14*'Outil Cibles'!M$8,0))))</f>
        <v>0</v>
      </c>
      <c r="L83">
        <f t="shared" si="3"/>
        <v>0</v>
      </c>
      <c r="N83">
        <v>2100</v>
      </c>
      <c r="O83">
        <f>IF(N83='Outil Cibles'!$Q$7, 'Outil Cibles'!$Q$18, 0)</f>
        <v>0</v>
      </c>
      <c r="P83">
        <f>IF(N83='Outil Cibles'!$R$7, 'Outil Cibles'!$R$18, 0)</f>
        <v>0</v>
      </c>
      <c r="Q83">
        <f>IF(N83='Outil Cibles'!$S$7, 'Outil Cibles'!$S$18, 0)</f>
        <v>0</v>
      </c>
      <c r="R83">
        <f>IF(N83='Outil Cibles'!$T$7, 'Outil Cibles'!$T$18, 0)</f>
        <v>0</v>
      </c>
      <c r="S83">
        <f>IF(N83='Outil Cibles'!$U$7, 'Outil Cibles'!$U$18, 0)</f>
        <v>0</v>
      </c>
      <c r="T83">
        <f>IF(N83='Outil Cibles'!$V$7, 'Outil Cibles'!$V$18, 0)</f>
        <v>0</v>
      </c>
      <c r="U83">
        <f>IF(N83='Outil Cibles'!$W$7, 'Outil Cibles'!$W$18, 0)</f>
        <v>0</v>
      </c>
      <c r="V83">
        <f>IF(N83='Outil Cibles'!$X$7, 'Outil Cibles'!$X$18, 0)</f>
        <v>0</v>
      </c>
      <c r="W83">
        <f>IF(N83='Outil Cibles'!$Y$7, 'Outil Cibles'!$Y$18, 0)</f>
        <v>0</v>
      </c>
      <c r="X83">
        <f>IF(N83='Outil Cibles'!$Z$7, 'Outil Cibles'!$Z$18, 0)</f>
        <v>0</v>
      </c>
      <c r="Y83">
        <f t="shared" si="4"/>
        <v>0</v>
      </c>
      <c r="AA83">
        <f>IF($A83='Outil Cibles'!D$7,'Outil Cibles'!D$11*'Outil Cibles'!D$8,0)</f>
        <v>0</v>
      </c>
      <c r="AC83">
        <f>IF($A83=('Outil Cibles'!D$7+20),'Outil Cibles'!D$12*'Outil Cibles'!D$8,0)</f>
        <v>0</v>
      </c>
      <c r="AE83">
        <f>IF($A83=('Outil Cibles'!D$7+30),'Outil Cibles'!D$13*'Outil Cibles'!D$8,0)</f>
        <v>0</v>
      </c>
      <c r="AG83">
        <f>IF($A83=('Outil Cibles'!D$7+40),'Outil Cibles'!D$14*'Outil Cibles'!D$8,0)</f>
        <v>0</v>
      </c>
    </row>
    <row r="86" spans="1:33" x14ac:dyDescent="0.3">
      <c r="B86">
        <v>1</v>
      </c>
      <c r="C86">
        <v>2</v>
      </c>
      <c r="D86">
        <v>3</v>
      </c>
      <c r="E86">
        <v>4</v>
      </c>
      <c r="F86">
        <v>5</v>
      </c>
      <c r="G86">
        <v>6</v>
      </c>
      <c r="H86">
        <v>7</v>
      </c>
      <c r="I86">
        <v>8</v>
      </c>
      <c r="J86">
        <v>9</v>
      </c>
      <c r="K86">
        <v>10</v>
      </c>
      <c r="L86" t="s">
        <v>39</v>
      </c>
      <c r="O86">
        <v>1</v>
      </c>
      <c r="P86">
        <v>2</v>
      </c>
      <c r="Q86">
        <v>3</v>
      </c>
      <c r="R86">
        <v>4</v>
      </c>
      <c r="S86">
        <v>5</v>
      </c>
      <c r="T86">
        <v>6</v>
      </c>
      <c r="U86">
        <v>7</v>
      </c>
      <c r="V86">
        <v>8</v>
      </c>
      <c r="W86">
        <v>9</v>
      </c>
      <c r="X86">
        <v>10</v>
      </c>
      <c r="Y86" t="s">
        <v>39</v>
      </c>
    </row>
    <row r="87" spans="1:33" x14ac:dyDescent="0.3">
      <c r="A87" t="s">
        <v>40</v>
      </c>
      <c r="B87" t="s">
        <v>42</v>
      </c>
      <c r="L87" t="s">
        <v>308</v>
      </c>
      <c r="N87" t="s">
        <v>40</v>
      </c>
      <c r="O87" t="s">
        <v>43</v>
      </c>
    </row>
    <row r="88" spans="1:33" x14ac:dyDescent="0.3">
      <c r="A88">
        <v>2022</v>
      </c>
      <c r="B88" s="11">
        <f>IF(AND($A88-'Outil Cibles'!D$7&lt;=60,$A88-'Outil Cibles'!D$7&gt;=0), B$3, 0)</f>
        <v>0</v>
      </c>
      <c r="C88" s="11">
        <f>IF(AND($A88-'Outil Cibles'!E$7&lt;=60,$A88-'Outil Cibles'!E$7&gt;=0), C$3, 0)</f>
        <v>0</v>
      </c>
      <c r="D88" s="11">
        <f>IF(AND($A88-'Outil Cibles'!F$7&lt;=60,$A88-'Outil Cibles'!F$7&gt;=0), D$3, 0)</f>
        <v>0</v>
      </c>
      <c r="E88" s="11">
        <f>IF(AND($A88-'Outil Cibles'!G$7&lt;=60,$A88-'Outil Cibles'!G$7&gt;=0), E$3, 0)</f>
        <v>0</v>
      </c>
      <c r="F88" s="11">
        <f>IF(AND($A88-'Outil Cibles'!H$7&lt;=60,$A88-'Outil Cibles'!H$7&gt;=0), F$3, 0)</f>
        <v>0</v>
      </c>
      <c r="G88" s="11">
        <f>IF(AND($A88-'Outil Cibles'!I$7&lt;=60,$A88-'Outil Cibles'!I$7&gt;=0), G$3, 0)</f>
        <v>0</v>
      </c>
      <c r="H88" s="11">
        <f>IF(AND($A88-'Outil Cibles'!J$7&lt;=60,$A88-'Outil Cibles'!J$7&gt;=0), H$3, 0)</f>
        <v>0</v>
      </c>
      <c r="I88" s="11">
        <f>IF(AND($A88-'Outil Cibles'!K$7&lt;=60,$A88-'Outil Cibles'!K$7&gt;=0), I$3, 0)</f>
        <v>0</v>
      </c>
      <c r="J88" s="11">
        <f>IF(AND($A88-'Outil Cibles'!L$7&lt;=60,$A88-'Outil Cibles'!L$7&gt;=0), J$3, 0)</f>
        <v>0</v>
      </c>
      <c r="K88" s="11">
        <f>IF(AND($A88-'Outil Cibles'!M$7&lt;=60,$A88-'Outil Cibles'!M$7&gt;=0), K$3, 0)</f>
        <v>0</v>
      </c>
      <c r="L88" s="11">
        <f>SUM(B88:K88)</f>
        <v>0</v>
      </c>
      <c r="N88">
        <v>2022</v>
      </c>
      <c r="O88" s="11">
        <f>IF(AND(N88-'Outil Cibles'!$Q$7&lt;=60,N88-'Outil Cibles'!$Q$7&gt;=0), 'Outil Cibles'!$Q$17, 0)</f>
        <v>0</v>
      </c>
      <c r="P88" s="11">
        <f>IF(AND(N88-'Outil Cibles'!$R$7&lt;=60,N88-'Outil Cibles'!$R$7&gt;=0), 'Outil Cibles'!$R$17, 0)</f>
        <v>0</v>
      </c>
      <c r="Q88" s="11">
        <f>IF(AND(N88-'Outil Cibles'!$S$7&lt;=60,N88-'Outil Cibles'!$S$7&gt;=0), 'Outil Cibles'!$S$17, 0)</f>
        <v>0</v>
      </c>
      <c r="R88" s="11">
        <f>IF(AND(N88-'Outil Cibles'!$T$7&lt;=60,N88-'Outil Cibles'!$T$7&gt;=0), 'Outil Cibles'!$T$17, 0)</f>
        <v>0</v>
      </c>
      <c r="S88" s="11">
        <f>IF(AND(N88-'Outil Cibles'!$U$7&lt;=60,N88-'Outil Cibles'!$U$7&gt;=0), 'Outil Cibles'!$U$17, 0)</f>
        <v>0</v>
      </c>
      <c r="T88" s="11">
        <f>IF(AND(N88-'Outil Cibles'!$V$7&lt;=60,N88-'Outil Cibles'!$V$7&gt;=0), 'Outil Cibles'!$V$17, 0)</f>
        <v>0</v>
      </c>
      <c r="U88" s="11">
        <f>IF(AND($N$88-'Outil Cibles'!W7&lt;=60,$N$88-'Outil Cibles'!W7&gt;=0), 'Outil Cibles'!W17, 0)</f>
        <v>0</v>
      </c>
      <c r="V88" s="11">
        <f>IF(AND(N88-'Outil Cibles'!$X$7&lt;=60,N88-'Outil Cibles'!$X$7&gt;=0), 'Outil Cibles'!$X$17, 0)</f>
        <v>0</v>
      </c>
      <c r="W88" s="11">
        <f>IF(AND(N88-'Outil Cibles'!$Y$7&lt;=60,N88-'Outil Cibles'!$Y$7&gt;=0), 'Outil Cibles'!$Y$17, 0)</f>
        <v>0</v>
      </c>
      <c r="X88" s="11">
        <f>IF(AND(N88-'Outil Cibles'!$Z$7&lt;=60,N88-'Outil Cibles'!$Z$7&gt;=0), 'Outil Cibles'!$Z$17, 0)</f>
        <v>0</v>
      </c>
      <c r="Y88" s="11">
        <f>SUM(O88:X88)</f>
        <v>0</v>
      </c>
    </row>
    <row r="89" spans="1:33" x14ac:dyDescent="0.3">
      <c r="A89">
        <v>2023</v>
      </c>
      <c r="B89" s="11">
        <f>IF(AND($A89-'Outil Cibles'!D$7&lt;=60,$A89-'Outil Cibles'!D$7&gt;=0), B$3, 0)</f>
        <v>0</v>
      </c>
      <c r="C89" s="11">
        <f>IF(AND($A89-'Outil Cibles'!E$7&lt;=60,$A89-'Outil Cibles'!E$7&gt;=0), C$3, 0)</f>
        <v>0</v>
      </c>
      <c r="D89" s="11">
        <f>IF(AND($A89-'Outil Cibles'!F$7&lt;=60,$A89-'Outil Cibles'!F$7&gt;=0), D$3, 0)</f>
        <v>0</v>
      </c>
      <c r="E89" s="11">
        <f>IF(AND($A89-'Outil Cibles'!G$7&lt;=60,$A89-'Outil Cibles'!G$7&gt;=0), E$3, 0)</f>
        <v>0</v>
      </c>
      <c r="F89" s="11">
        <f>IF(AND($A89-'Outil Cibles'!H$7&lt;=60,$A89-'Outil Cibles'!H$7&gt;=0), F$3, 0)</f>
        <v>0</v>
      </c>
      <c r="G89" s="11">
        <f>IF(AND($A89-'Outil Cibles'!I$7&lt;=60,$A89-'Outil Cibles'!I$7&gt;=0), G$3, 0)</f>
        <v>0</v>
      </c>
      <c r="H89" s="11">
        <f>IF(AND($A89-'Outil Cibles'!J$7&lt;=60,$A89-'Outil Cibles'!J$7&gt;=0), H$3, 0)</f>
        <v>0</v>
      </c>
      <c r="I89" s="11">
        <f>IF(AND($A89-'Outil Cibles'!K$7&lt;=60,$A89-'Outil Cibles'!K$7&gt;=0), I$3, 0)</f>
        <v>0</v>
      </c>
      <c r="J89" s="11">
        <f>IF(AND($A89-'Outil Cibles'!L$7&lt;=60,$A89-'Outil Cibles'!L$7&gt;=0), J$3, 0)</f>
        <v>0</v>
      </c>
      <c r="K89" s="11">
        <f>IF(AND($A89-'Outil Cibles'!M$7&lt;=60,$A89-'Outil Cibles'!M$7&gt;=0), K$3, 0)</f>
        <v>0</v>
      </c>
      <c r="L89" s="11">
        <f t="shared" ref="L89:L152" si="5">SUM(B89:K89)</f>
        <v>0</v>
      </c>
      <c r="N89">
        <v>2023</v>
      </c>
      <c r="O89" s="11">
        <f>IF(AND(N89-'Outil Cibles'!$Q$7&lt;=60,N89-'Outil Cibles'!$Q$7&gt;=0), 'Outil Cibles'!$Q$17, 0)</f>
        <v>0</v>
      </c>
      <c r="P89" s="11">
        <f>IF(AND(N89-'Outil Cibles'!$R$7&lt;=60,N89-'Outil Cibles'!$R$7&gt;=0), 'Outil Cibles'!$R$17, 0)</f>
        <v>0</v>
      </c>
      <c r="Q89" s="11">
        <f>IF(AND(N89-'Outil Cibles'!$S$7&lt;=60,N89-'Outil Cibles'!$S$7&gt;=0), 'Outil Cibles'!$S$17, 0)</f>
        <v>0</v>
      </c>
      <c r="R89" s="11">
        <f>IF(AND(N89-'Outil Cibles'!$T$7&lt;=60,N89-'Outil Cibles'!$T$7&gt;=0), 'Outil Cibles'!$T$17, 0)</f>
        <v>0</v>
      </c>
      <c r="S89" s="11">
        <f>IF(AND(N89-'Outil Cibles'!$U$7&lt;=60,N89-'Outil Cibles'!$U$7&gt;=0), 'Outil Cibles'!$U$17, 0)</f>
        <v>0</v>
      </c>
      <c r="T89" s="11">
        <f>IF(AND(N89-'Outil Cibles'!$V$7&lt;=60,N89-'Outil Cibles'!$V$7&gt;=0), 'Outil Cibles'!$V$17, 0)</f>
        <v>0</v>
      </c>
      <c r="U89" s="11">
        <f>IF(AND(N89-'Outil Cibles'!$W$7&lt;=60,N89-'Outil Cibles'!$W$7&gt;=0), 'Outil Cibles'!$W$17, 0)</f>
        <v>0</v>
      </c>
      <c r="V89" s="11">
        <f>IF(AND(N89-'Outil Cibles'!$X$7&lt;=60,N89-'Outil Cibles'!$X$7&gt;=0), 'Outil Cibles'!$X$17, 0)</f>
        <v>0</v>
      </c>
      <c r="W89" s="11">
        <f>IF(AND(N89-'Outil Cibles'!$Y$7&lt;=60,N89-'Outil Cibles'!$Y$7&gt;=0), 'Outil Cibles'!$Y$17, 0)</f>
        <v>0</v>
      </c>
      <c r="X89" s="11">
        <f>IF(AND(N89-'Outil Cibles'!$Z$7&lt;=60,N89-'Outil Cibles'!$Z$7&gt;=0), 'Outil Cibles'!$Z$17, 0)</f>
        <v>0</v>
      </c>
      <c r="Y89" s="11">
        <f t="shared" ref="Y89:Y152" si="6">SUM(O89:X89)</f>
        <v>0</v>
      </c>
    </row>
    <row r="90" spans="1:33" x14ac:dyDescent="0.3">
      <c r="A90">
        <v>2024</v>
      </c>
      <c r="B90" s="11">
        <f>IF(AND($A90-'Outil Cibles'!D$7&lt;=60,$A90-'Outil Cibles'!D$7&gt;=0), B$3, 0)</f>
        <v>8610.7328044003007</v>
      </c>
      <c r="C90" s="11">
        <f>IF(AND($A90-'Outil Cibles'!E$7&lt;=60,$A90-'Outil Cibles'!E$7&gt;=0), C$3, 0)</f>
        <v>0</v>
      </c>
      <c r="D90" s="11">
        <f>IF(AND($A90-'Outil Cibles'!F$7&lt;=60,$A90-'Outil Cibles'!F$7&gt;=0), D$3, 0)</f>
        <v>0</v>
      </c>
      <c r="E90" s="11">
        <f>IF(AND($A90-'Outil Cibles'!G$7&lt;=60,$A90-'Outil Cibles'!G$7&gt;=0), E$3, 0)</f>
        <v>0</v>
      </c>
      <c r="F90" s="11">
        <f>IF(AND($A90-'Outil Cibles'!H$7&lt;=60,$A90-'Outil Cibles'!H$7&gt;=0), F$3, 0)</f>
        <v>0</v>
      </c>
      <c r="G90" s="11">
        <f>IF(AND($A90-'Outil Cibles'!I$7&lt;=60,$A90-'Outil Cibles'!I$7&gt;=0), G$3, 0)</f>
        <v>0</v>
      </c>
      <c r="H90" s="11">
        <f>IF(AND($A90-'Outil Cibles'!J$7&lt;=60,$A90-'Outil Cibles'!J$7&gt;=0), H$3, 0)</f>
        <v>0</v>
      </c>
      <c r="I90" s="11">
        <f>IF(AND($A90-'Outil Cibles'!K$7&lt;=60,$A90-'Outil Cibles'!K$7&gt;=0), I$3, 0)</f>
        <v>0</v>
      </c>
      <c r="J90" s="11">
        <f>IF(AND($A90-'Outil Cibles'!L$7&lt;=60,$A90-'Outil Cibles'!L$7&gt;=0), J$3, 0)</f>
        <v>0</v>
      </c>
      <c r="K90" s="11">
        <f>IF(AND($A90-'Outil Cibles'!M$7&lt;=60,$A90-'Outil Cibles'!M$7&gt;=0), K$3, 0)</f>
        <v>0</v>
      </c>
      <c r="L90" s="11">
        <f t="shared" si="5"/>
        <v>8610.7328044003007</v>
      </c>
      <c r="N90">
        <v>2024</v>
      </c>
      <c r="O90" s="11">
        <f>IF(AND(N90-'Outil Cibles'!$Q$7&lt;=60,N90-'Outil Cibles'!$Q$7&gt;=0), 'Outil Cibles'!$Q$17, 0)</f>
        <v>9.2209307000221994</v>
      </c>
      <c r="P90" s="11">
        <f>IF(AND(N90-'Outil Cibles'!$R$7&lt;=60,N90-'Outil Cibles'!$R$7&gt;=0), 'Outil Cibles'!$R$17, 0)</f>
        <v>0</v>
      </c>
      <c r="Q90" s="11">
        <f>IF(AND(N90-'Outil Cibles'!$S$7&lt;=60,N90-'Outil Cibles'!$S$7&gt;=0), 'Outil Cibles'!$S$17, 0)</f>
        <v>0</v>
      </c>
      <c r="R90" s="11">
        <f>IF(AND(N90-'Outil Cibles'!$T$7&lt;=60,N90-'Outil Cibles'!$T$7&gt;=0), 'Outil Cibles'!$T$17, 0)</f>
        <v>0</v>
      </c>
      <c r="S90" s="11">
        <f>IF(AND(N90-'Outil Cibles'!$U$7&lt;=60,N90-'Outil Cibles'!$U$7&gt;=0), 'Outil Cibles'!$U$17, 0)</f>
        <v>0</v>
      </c>
      <c r="T90" s="11">
        <f>IF(AND(N90-'Outil Cibles'!$V$7&lt;=60,N90-'Outil Cibles'!$V$7&gt;=0), 'Outil Cibles'!$V$17, 0)</f>
        <v>0</v>
      </c>
      <c r="U90" s="11">
        <f>IF(AND(N90-'Outil Cibles'!$W$7&lt;=60,N90-'Outil Cibles'!$W$7&gt;=0), 'Outil Cibles'!$W$17, 0)</f>
        <v>0</v>
      </c>
      <c r="V90" s="11">
        <f>IF(AND(N90-'Outil Cibles'!$X$7&lt;=60,N90-'Outil Cibles'!$X$7&gt;=0), 'Outil Cibles'!$X$17, 0)</f>
        <v>0</v>
      </c>
      <c r="W90" s="11">
        <f>IF(AND(N90-'Outil Cibles'!$Y$7&lt;=60,N90-'Outil Cibles'!$Y$7&gt;=0), 'Outil Cibles'!$Y$17, 0)</f>
        <v>0</v>
      </c>
      <c r="X90" s="11">
        <f>IF(AND(N90-'Outil Cibles'!$Z$7&lt;=60,N90-'Outil Cibles'!$Z$7&gt;=0), 'Outil Cibles'!$Z$17, 0)</f>
        <v>0</v>
      </c>
      <c r="Y90" s="11">
        <f t="shared" si="6"/>
        <v>9.2209307000221994</v>
      </c>
    </row>
    <row r="91" spans="1:33" x14ac:dyDescent="0.3">
      <c r="A91" s="10">
        <v>2025</v>
      </c>
      <c r="B91" s="11">
        <f>IF(AND($A91-'Outil Cibles'!D$7&lt;=60,$A91-'Outil Cibles'!D$7&gt;=0), B$3, 0)</f>
        <v>8610.7328044003007</v>
      </c>
      <c r="C91" s="11">
        <f>IF(AND($A91-'Outil Cibles'!E$7&lt;=60,$A91-'Outil Cibles'!E$7&gt;=0), C$3, 0)</f>
        <v>0</v>
      </c>
      <c r="D91" s="11">
        <f>IF(AND($A91-'Outil Cibles'!F$7&lt;=60,$A91-'Outil Cibles'!F$7&gt;=0), D$3, 0)</f>
        <v>0</v>
      </c>
      <c r="E91" s="11">
        <f>IF(AND($A91-'Outil Cibles'!G$7&lt;=60,$A91-'Outil Cibles'!G$7&gt;=0), E$3, 0)</f>
        <v>0</v>
      </c>
      <c r="F91" s="11">
        <f>IF(AND($A91-'Outil Cibles'!H$7&lt;=60,$A91-'Outil Cibles'!H$7&gt;=0), F$3, 0)</f>
        <v>0</v>
      </c>
      <c r="G91" s="11">
        <f>IF(AND($A91-'Outil Cibles'!I$7&lt;=60,$A91-'Outil Cibles'!I$7&gt;=0), G$3, 0)</f>
        <v>0</v>
      </c>
      <c r="H91" s="11">
        <f>IF(AND($A91-'Outil Cibles'!J$7&lt;=60,$A91-'Outil Cibles'!J$7&gt;=0), H$3, 0)</f>
        <v>0</v>
      </c>
      <c r="I91" s="11">
        <f>IF(AND($A91-'Outil Cibles'!K$7&lt;=60,$A91-'Outil Cibles'!K$7&gt;=0), I$3, 0)</f>
        <v>0</v>
      </c>
      <c r="J91" s="11">
        <f>IF(AND($A91-'Outil Cibles'!L$7&lt;=60,$A91-'Outil Cibles'!L$7&gt;=0), J$3, 0)</f>
        <v>0</v>
      </c>
      <c r="K91" s="11">
        <f>IF(AND($A91-'Outil Cibles'!M$7&lt;=60,$A91-'Outil Cibles'!M$7&gt;=0), K$3, 0)</f>
        <v>0</v>
      </c>
      <c r="L91" s="11">
        <f t="shared" si="5"/>
        <v>8610.7328044003007</v>
      </c>
      <c r="N91" s="10">
        <v>2025</v>
      </c>
      <c r="O91" s="11">
        <f>IF(AND(N91-'Outil Cibles'!$Q$7&lt;=60,N91-'Outil Cibles'!$Q$7&gt;=0), 'Outil Cibles'!$Q$17, 0)</f>
        <v>9.2209307000221994</v>
      </c>
      <c r="P91" s="11">
        <f>IF(AND(N91-'Outil Cibles'!$R$7&lt;=60,N91-'Outil Cibles'!$R$7&gt;=0), 'Outil Cibles'!$R$17, 0)</f>
        <v>0</v>
      </c>
      <c r="Q91" s="11">
        <f>IF(AND(N91-'Outil Cibles'!$S$7&lt;=60,N91-'Outil Cibles'!$S$7&gt;=0), 'Outil Cibles'!$S$17, 0)</f>
        <v>0</v>
      </c>
      <c r="R91" s="11">
        <f>IF(AND(N91-'Outil Cibles'!$T$7&lt;=60,N91-'Outil Cibles'!$T$7&gt;=0), 'Outil Cibles'!$T$17, 0)</f>
        <v>0</v>
      </c>
      <c r="S91" s="11">
        <f>IF(AND(N91-'Outil Cibles'!$U$7&lt;=60,N91-'Outil Cibles'!$U$7&gt;=0), 'Outil Cibles'!$U$17, 0)</f>
        <v>0</v>
      </c>
      <c r="T91" s="11">
        <f>IF(AND(N91-'Outil Cibles'!$V$7&lt;=60,N91-'Outil Cibles'!$V$7&gt;=0), 'Outil Cibles'!$V$17, 0)</f>
        <v>0</v>
      </c>
      <c r="U91" s="11">
        <f>IF(AND(N91-'Outil Cibles'!$W$7&lt;=60,N91-'Outil Cibles'!$W$7&gt;=0), 'Outil Cibles'!$W$17, 0)</f>
        <v>0</v>
      </c>
      <c r="V91" s="11">
        <f>IF(AND(N91-'Outil Cibles'!$X$7&lt;=60,N91-'Outil Cibles'!$X$7&gt;=0), 'Outil Cibles'!$X$17, 0)</f>
        <v>0</v>
      </c>
      <c r="W91" s="11">
        <f>IF(AND(N91-'Outil Cibles'!$Y$7&lt;=60,N91-'Outil Cibles'!$Y$7&gt;=0), 'Outil Cibles'!$Y$17, 0)</f>
        <v>0</v>
      </c>
      <c r="X91" s="11">
        <f>IF(AND(N91-'Outil Cibles'!$Z$7&lt;=60,N91-'Outil Cibles'!$Z$7&gt;=0), 'Outil Cibles'!$Z$17, 0)</f>
        <v>0</v>
      </c>
      <c r="Y91" s="11">
        <f t="shared" si="6"/>
        <v>9.2209307000221994</v>
      </c>
    </row>
    <row r="92" spans="1:33" x14ac:dyDescent="0.3">
      <c r="A92">
        <v>2026</v>
      </c>
      <c r="B92" s="11">
        <f>IF(AND($A92-'Outil Cibles'!D$7&lt;=60,$A92-'Outil Cibles'!D$7&gt;=0), B$3, 0)</f>
        <v>8610.7328044003007</v>
      </c>
      <c r="C92" s="11">
        <f>IF(AND($A92-'Outil Cibles'!E$7&lt;=60,$A92-'Outil Cibles'!E$7&gt;=0), C$3, 0)</f>
        <v>7587.9930148218064</v>
      </c>
      <c r="D92" s="11">
        <f>IF(AND($A92-'Outil Cibles'!F$7&lt;=60,$A92-'Outil Cibles'!F$7&gt;=0), D$3, 0)</f>
        <v>0</v>
      </c>
      <c r="E92" s="11">
        <f>IF(AND($A92-'Outil Cibles'!G$7&lt;=60,$A92-'Outil Cibles'!G$7&gt;=0), E$3, 0)</f>
        <v>0</v>
      </c>
      <c r="F92" s="11">
        <f>IF(AND($A92-'Outil Cibles'!H$7&lt;=60,$A92-'Outil Cibles'!H$7&gt;=0), F$3, 0)</f>
        <v>0</v>
      </c>
      <c r="G92" s="11">
        <f>IF(AND($A92-'Outil Cibles'!I$7&lt;=60,$A92-'Outil Cibles'!I$7&gt;=0), G$3, 0)</f>
        <v>0</v>
      </c>
      <c r="H92" s="11">
        <f>IF(AND($A92-'Outil Cibles'!J$7&lt;=60,$A92-'Outil Cibles'!J$7&gt;=0), H$3, 0)</f>
        <v>0</v>
      </c>
      <c r="I92" s="11">
        <f>IF(AND($A92-'Outil Cibles'!K$7&lt;=60,$A92-'Outil Cibles'!K$7&gt;=0), I$3, 0)</f>
        <v>0</v>
      </c>
      <c r="J92" s="11">
        <f>IF(AND($A92-'Outil Cibles'!L$7&lt;=60,$A92-'Outil Cibles'!L$7&gt;=0), J$3, 0)</f>
        <v>0</v>
      </c>
      <c r="K92" s="11">
        <f>IF(AND($A92-'Outil Cibles'!M$7&lt;=60,$A92-'Outil Cibles'!M$7&gt;=0), K$3, 0)</f>
        <v>0</v>
      </c>
      <c r="L92" s="11">
        <f t="shared" si="5"/>
        <v>16198.725819222107</v>
      </c>
      <c r="N92">
        <v>2026</v>
      </c>
      <c r="O92" s="11">
        <f>IF(AND(N92-'Outil Cibles'!$Q$7&lt;=60,N92-'Outil Cibles'!$Q$7&gt;=0), 'Outil Cibles'!$Q$17, 0)</f>
        <v>9.2209307000221994</v>
      </c>
      <c r="P92" s="11">
        <f>IF(AND(N92-'Outil Cibles'!$R$7&lt;=60,N92-'Outil Cibles'!$R$7&gt;=0), 'Outil Cibles'!$R$17, 0)</f>
        <v>7.8928860244932029</v>
      </c>
      <c r="Q92" s="11">
        <f>IF(AND(N92-'Outil Cibles'!$S$7&lt;=60,N92-'Outil Cibles'!$S$7&gt;=0), 'Outil Cibles'!$S$17, 0)</f>
        <v>0</v>
      </c>
      <c r="R92" s="11">
        <f>IF(AND(N92-'Outil Cibles'!$T$7&lt;=60,N92-'Outil Cibles'!$T$7&gt;=0), 'Outil Cibles'!$T$17, 0)</f>
        <v>0</v>
      </c>
      <c r="S92" s="11">
        <f>IF(AND(N92-'Outil Cibles'!$U$7&lt;=60,N92-'Outil Cibles'!$U$7&gt;=0), 'Outil Cibles'!$U$17, 0)</f>
        <v>0</v>
      </c>
      <c r="T92" s="11">
        <f>IF(AND(N92-'Outil Cibles'!$V$7&lt;=60,N92-'Outil Cibles'!$V$7&gt;=0), 'Outil Cibles'!$V$17, 0)</f>
        <v>0</v>
      </c>
      <c r="U92" s="11">
        <f>IF(AND(N92-'Outil Cibles'!$W$7&lt;=60,N92-'Outil Cibles'!$W$7&gt;=0), 'Outil Cibles'!$W$17, 0)</f>
        <v>0</v>
      </c>
      <c r="V92" s="11">
        <f>IF(AND(N92-'Outil Cibles'!$X$7&lt;=60,N92-'Outil Cibles'!$X$7&gt;=0), 'Outil Cibles'!$X$17, 0)</f>
        <v>0</v>
      </c>
      <c r="W92" s="11">
        <f>IF(AND(N92-'Outil Cibles'!$Y$7&lt;=60,N92-'Outil Cibles'!$Y$7&gt;=0), 'Outil Cibles'!$Y$17, 0)</f>
        <v>0</v>
      </c>
      <c r="X92" s="11">
        <f>IF(AND(N92-'Outil Cibles'!$Z$7&lt;=60,N92-'Outil Cibles'!$Z$7&gt;=0), 'Outil Cibles'!$Z$17, 0)</f>
        <v>0</v>
      </c>
      <c r="Y92" s="11">
        <f t="shared" si="6"/>
        <v>17.113816724515402</v>
      </c>
    </row>
    <row r="93" spans="1:33" x14ac:dyDescent="0.3">
      <c r="A93">
        <v>2027</v>
      </c>
      <c r="B93" s="11">
        <f>IF(AND($A93-'Outil Cibles'!D$7&lt;=60,$A93-'Outil Cibles'!D$7&gt;=0), B$3, 0)</f>
        <v>8610.7328044003007</v>
      </c>
      <c r="C93" s="11">
        <f>IF(AND($A93-'Outil Cibles'!E$7&lt;=60,$A93-'Outil Cibles'!E$7&gt;=0), C$3, 0)</f>
        <v>7587.9930148218064</v>
      </c>
      <c r="D93" s="11">
        <f>IF(AND($A93-'Outil Cibles'!F$7&lt;=60,$A93-'Outil Cibles'!F$7&gt;=0), D$3, 0)</f>
        <v>0</v>
      </c>
      <c r="E93" s="11">
        <f>IF(AND($A93-'Outil Cibles'!G$7&lt;=60,$A93-'Outil Cibles'!G$7&gt;=0), E$3, 0)</f>
        <v>0</v>
      </c>
      <c r="F93" s="11">
        <f>IF(AND($A93-'Outil Cibles'!H$7&lt;=60,$A93-'Outil Cibles'!H$7&gt;=0), F$3, 0)</f>
        <v>0</v>
      </c>
      <c r="G93" s="11">
        <f>IF(AND($A93-'Outil Cibles'!I$7&lt;=60,$A93-'Outil Cibles'!I$7&gt;=0), G$3, 0)</f>
        <v>0</v>
      </c>
      <c r="H93" s="11">
        <f>IF(AND($A93-'Outil Cibles'!J$7&lt;=60,$A93-'Outil Cibles'!J$7&gt;=0), H$3, 0)</f>
        <v>0</v>
      </c>
      <c r="I93" s="11">
        <f>IF(AND($A93-'Outil Cibles'!K$7&lt;=60,$A93-'Outil Cibles'!K$7&gt;=0), I$3, 0)</f>
        <v>0</v>
      </c>
      <c r="J93" s="11">
        <f>IF(AND($A93-'Outil Cibles'!L$7&lt;=60,$A93-'Outil Cibles'!L$7&gt;=0), J$3, 0)</f>
        <v>0</v>
      </c>
      <c r="K93" s="11">
        <f>IF(AND($A93-'Outil Cibles'!M$7&lt;=60,$A93-'Outil Cibles'!M$7&gt;=0), K$3, 0)</f>
        <v>0</v>
      </c>
      <c r="L93" s="11">
        <f t="shared" si="5"/>
        <v>16198.725819222107</v>
      </c>
      <c r="N93">
        <v>2027</v>
      </c>
      <c r="O93" s="11">
        <f>IF(AND(N93-'Outil Cibles'!$Q$7&lt;=60,N93-'Outil Cibles'!$Q$7&gt;=0), 'Outil Cibles'!$Q$17, 0)</f>
        <v>9.2209307000221994</v>
      </c>
      <c r="P93" s="11">
        <f>IF(AND(N93-'Outil Cibles'!$R$7&lt;=60,N93-'Outil Cibles'!$R$7&gt;=0), 'Outil Cibles'!$R$17, 0)</f>
        <v>7.8928860244932029</v>
      </c>
      <c r="Q93" s="11">
        <f>IF(AND(N93-'Outil Cibles'!$S$7&lt;=60,N93-'Outil Cibles'!$S$7&gt;=0), 'Outil Cibles'!$S$17, 0)</f>
        <v>0</v>
      </c>
      <c r="R93" s="11">
        <f>IF(AND(N93-'Outil Cibles'!$T$7&lt;=60,N93-'Outil Cibles'!$T$7&gt;=0), 'Outil Cibles'!$T$17, 0)</f>
        <v>0</v>
      </c>
      <c r="S93" s="11">
        <f>IF(AND(N93-'Outil Cibles'!$U$7&lt;=60,N93-'Outil Cibles'!$U$7&gt;=0), 'Outil Cibles'!$U$17, 0)</f>
        <v>0</v>
      </c>
      <c r="T93" s="11">
        <f>IF(AND(N93-'Outil Cibles'!$V$7&lt;=60,N93-'Outil Cibles'!$V$7&gt;=0), 'Outil Cibles'!$V$17, 0)</f>
        <v>0</v>
      </c>
      <c r="U93" s="11">
        <f>IF(AND(N93-'Outil Cibles'!$W$7&lt;=60,N93-'Outil Cibles'!$W$7&gt;=0), 'Outil Cibles'!$W$17, 0)</f>
        <v>0</v>
      </c>
      <c r="V93" s="11">
        <f>IF(AND(N93-'Outil Cibles'!$X$7&lt;=60,N93-'Outil Cibles'!$X$7&gt;=0), 'Outil Cibles'!$X$17, 0)</f>
        <v>0</v>
      </c>
      <c r="W93" s="11">
        <f>IF(AND(N93-'Outil Cibles'!$Y$7&lt;=60,N93-'Outil Cibles'!$Y$7&gt;=0), 'Outil Cibles'!$Y$17, 0)</f>
        <v>0</v>
      </c>
      <c r="X93" s="11">
        <f>IF(AND(N93-'Outil Cibles'!$Z$7&lt;=60,N93-'Outil Cibles'!$Z$7&gt;=0), 'Outil Cibles'!$Z$17, 0)</f>
        <v>0</v>
      </c>
      <c r="Y93" s="11">
        <f t="shared" si="6"/>
        <v>17.113816724515402</v>
      </c>
    </row>
    <row r="94" spans="1:33" x14ac:dyDescent="0.3">
      <c r="A94">
        <v>2028</v>
      </c>
      <c r="B94" s="11">
        <f>IF(AND($A94-'Outil Cibles'!D$7&lt;=60,$A94-'Outil Cibles'!D$7&gt;=0), B$3, 0)</f>
        <v>8610.7328044003007</v>
      </c>
      <c r="C94" s="11">
        <f>IF(AND($A94-'Outil Cibles'!E$7&lt;=60,$A94-'Outil Cibles'!E$7&gt;=0), C$3, 0)</f>
        <v>7587.9930148218064</v>
      </c>
      <c r="D94" s="11">
        <f>IF(AND($A94-'Outil Cibles'!F$7&lt;=60,$A94-'Outil Cibles'!F$7&gt;=0), D$3, 0)</f>
        <v>0</v>
      </c>
      <c r="E94" s="11">
        <f>IF(AND($A94-'Outil Cibles'!G$7&lt;=60,$A94-'Outil Cibles'!G$7&gt;=0), E$3, 0)</f>
        <v>0</v>
      </c>
      <c r="F94" s="11">
        <f>IF(AND($A94-'Outil Cibles'!H$7&lt;=60,$A94-'Outil Cibles'!H$7&gt;=0), F$3, 0)</f>
        <v>0</v>
      </c>
      <c r="G94" s="11">
        <f>IF(AND($A94-'Outil Cibles'!I$7&lt;=60,$A94-'Outil Cibles'!I$7&gt;=0), G$3, 0)</f>
        <v>0</v>
      </c>
      <c r="H94" s="11">
        <f>IF(AND($A94-'Outil Cibles'!J$7&lt;=60,$A94-'Outil Cibles'!J$7&gt;=0), H$3, 0)</f>
        <v>0</v>
      </c>
      <c r="I94" s="11">
        <f>IF(AND($A94-'Outil Cibles'!K$7&lt;=60,$A94-'Outil Cibles'!K$7&gt;=0), I$3, 0)</f>
        <v>0</v>
      </c>
      <c r="J94" s="11">
        <f>IF(AND($A94-'Outil Cibles'!L$7&lt;=60,$A94-'Outil Cibles'!L$7&gt;=0), J$3, 0)</f>
        <v>0</v>
      </c>
      <c r="K94" s="11">
        <f>IF(AND($A94-'Outil Cibles'!M$7&lt;=60,$A94-'Outil Cibles'!M$7&gt;=0), K$3, 0)</f>
        <v>0</v>
      </c>
      <c r="L94" s="11">
        <f t="shared" si="5"/>
        <v>16198.725819222107</v>
      </c>
      <c r="N94">
        <v>2028</v>
      </c>
      <c r="O94" s="11">
        <f>IF(AND(N94-'Outil Cibles'!$Q$7&lt;=60,N94-'Outil Cibles'!$Q$7&gt;=0), 'Outil Cibles'!$Q$17, 0)</f>
        <v>9.2209307000221994</v>
      </c>
      <c r="P94" s="11">
        <f>IF(AND(N94-'Outil Cibles'!$R$7&lt;=60,N94-'Outil Cibles'!$R$7&gt;=0), 'Outil Cibles'!$R$17, 0)</f>
        <v>7.8928860244932029</v>
      </c>
      <c r="Q94" s="11">
        <f>IF(AND(N94-'Outil Cibles'!$S$7&lt;=60,N94-'Outil Cibles'!$S$7&gt;=0), 'Outil Cibles'!$S$17, 0)</f>
        <v>0</v>
      </c>
      <c r="R94" s="11">
        <f>IF(AND(N94-'Outil Cibles'!$T$7&lt;=60,N94-'Outil Cibles'!$T$7&gt;=0), 'Outil Cibles'!$T$17, 0)</f>
        <v>0</v>
      </c>
      <c r="S94" s="11">
        <f>IF(AND(N94-'Outil Cibles'!$U$7&lt;=60,N94-'Outil Cibles'!$U$7&gt;=0), 'Outil Cibles'!$U$17, 0)</f>
        <v>0</v>
      </c>
      <c r="T94" s="11">
        <f>IF(AND(N94-'Outil Cibles'!$V$7&lt;=60,N94-'Outil Cibles'!$V$7&gt;=0), 'Outil Cibles'!$V$17, 0)</f>
        <v>0</v>
      </c>
      <c r="U94" s="11">
        <f>IF(AND(N94-'Outil Cibles'!$W$7&lt;=60,N94-'Outil Cibles'!$W$7&gt;=0), 'Outil Cibles'!$W$17, 0)</f>
        <v>0</v>
      </c>
      <c r="V94" s="11">
        <f>IF(AND(N94-'Outil Cibles'!$X$7&lt;=60,N94-'Outil Cibles'!$X$7&gt;=0), 'Outil Cibles'!$X$17, 0)</f>
        <v>0</v>
      </c>
      <c r="W94" s="11">
        <f>IF(AND(N94-'Outil Cibles'!$Y$7&lt;=60,N94-'Outil Cibles'!$Y$7&gt;=0), 'Outil Cibles'!$Y$17, 0)</f>
        <v>0</v>
      </c>
      <c r="X94" s="11">
        <f>IF(AND(N94-'Outil Cibles'!$Z$7&lt;=60,N94-'Outil Cibles'!$Z$7&gt;=0), 'Outil Cibles'!$Z$17, 0)</f>
        <v>0</v>
      </c>
      <c r="Y94" s="11">
        <f t="shared" si="6"/>
        <v>17.113816724515402</v>
      </c>
    </row>
    <row r="95" spans="1:33" x14ac:dyDescent="0.3">
      <c r="A95">
        <v>2029</v>
      </c>
      <c r="B95" s="11">
        <f>IF(AND($A95-'Outil Cibles'!D$7&lt;=60,$A95-'Outil Cibles'!D$7&gt;=0), B$3, 0)</f>
        <v>8610.7328044003007</v>
      </c>
      <c r="C95" s="11">
        <f>IF(AND($A95-'Outil Cibles'!E$7&lt;=60,$A95-'Outil Cibles'!E$7&gt;=0), C$3, 0)</f>
        <v>7587.9930148218064</v>
      </c>
      <c r="D95" s="11">
        <f>IF(AND($A95-'Outil Cibles'!F$7&lt;=60,$A95-'Outil Cibles'!F$7&gt;=0), D$3, 0)</f>
        <v>0</v>
      </c>
      <c r="E95" s="11">
        <f>IF(AND($A95-'Outil Cibles'!G$7&lt;=60,$A95-'Outil Cibles'!G$7&gt;=0), E$3, 0)</f>
        <v>0</v>
      </c>
      <c r="F95" s="11">
        <f>IF(AND($A95-'Outil Cibles'!H$7&lt;=60,$A95-'Outil Cibles'!H$7&gt;=0), F$3, 0)</f>
        <v>0</v>
      </c>
      <c r="G95" s="11">
        <f>IF(AND($A95-'Outil Cibles'!I$7&lt;=60,$A95-'Outil Cibles'!I$7&gt;=0), G$3, 0)</f>
        <v>0</v>
      </c>
      <c r="H95" s="11">
        <f>IF(AND($A95-'Outil Cibles'!J$7&lt;=60,$A95-'Outil Cibles'!J$7&gt;=0), H$3, 0)</f>
        <v>0</v>
      </c>
      <c r="I95" s="11">
        <f>IF(AND($A95-'Outil Cibles'!K$7&lt;=60,$A95-'Outil Cibles'!K$7&gt;=0), I$3, 0)</f>
        <v>0</v>
      </c>
      <c r="J95" s="11">
        <f>IF(AND($A95-'Outil Cibles'!L$7&lt;=60,$A95-'Outil Cibles'!L$7&gt;=0), J$3, 0)</f>
        <v>0</v>
      </c>
      <c r="K95" s="11">
        <f>IF(AND($A95-'Outil Cibles'!M$7&lt;=60,$A95-'Outil Cibles'!M$7&gt;=0), K$3, 0)</f>
        <v>0</v>
      </c>
      <c r="L95" s="11">
        <f t="shared" si="5"/>
        <v>16198.725819222107</v>
      </c>
      <c r="N95">
        <v>2029</v>
      </c>
      <c r="O95" s="11">
        <f>IF(AND(N95-'Outil Cibles'!$Q$7&lt;=60,N95-'Outil Cibles'!$Q$7&gt;=0), 'Outil Cibles'!$Q$17, 0)</f>
        <v>9.2209307000221994</v>
      </c>
      <c r="P95" s="11">
        <f>IF(AND(N95-'Outil Cibles'!$R$7&lt;=60,N95-'Outil Cibles'!$R$7&gt;=0), 'Outil Cibles'!$R$17, 0)</f>
        <v>7.8928860244932029</v>
      </c>
      <c r="Q95" s="11">
        <f>IF(AND(N95-'Outil Cibles'!$S$7&lt;=60,N95-'Outil Cibles'!$S$7&gt;=0), 'Outil Cibles'!$S$17, 0)</f>
        <v>0</v>
      </c>
      <c r="R95" s="11">
        <f>IF(AND(N95-'Outil Cibles'!$T$7&lt;=60,N95-'Outil Cibles'!$T$7&gt;=0), 'Outil Cibles'!$T$17, 0)</f>
        <v>0</v>
      </c>
      <c r="S95" s="11">
        <f>IF(AND(N95-'Outil Cibles'!$U$7&lt;=60,N95-'Outil Cibles'!$U$7&gt;=0), 'Outil Cibles'!$U$17, 0)</f>
        <v>0</v>
      </c>
      <c r="T95" s="11">
        <f>IF(AND(N95-'Outil Cibles'!$V$7&lt;=60,N95-'Outil Cibles'!$V$7&gt;=0), 'Outil Cibles'!$V$17, 0)</f>
        <v>0</v>
      </c>
      <c r="U95" s="11">
        <f>IF(AND(N95-'Outil Cibles'!$W$7&lt;=60,N95-'Outil Cibles'!$W$7&gt;=0), 'Outil Cibles'!$W$17, 0)</f>
        <v>0</v>
      </c>
      <c r="V95" s="11">
        <f>IF(AND(N95-'Outil Cibles'!$X$7&lt;=60,N95-'Outil Cibles'!$X$7&gt;=0), 'Outil Cibles'!$X$17, 0)</f>
        <v>0</v>
      </c>
      <c r="W95" s="11">
        <f>IF(AND(N95-'Outil Cibles'!$Y$7&lt;=60,N95-'Outil Cibles'!$Y$7&gt;=0), 'Outil Cibles'!$Y$17, 0)</f>
        <v>0</v>
      </c>
      <c r="X95" s="11">
        <f>IF(AND(N95-'Outil Cibles'!$Z$7&lt;=60,N95-'Outil Cibles'!$Z$7&gt;=0), 'Outil Cibles'!$Z$17, 0)</f>
        <v>0</v>
      </c>
      <c r="Y95" s="11">
        <f t="shared" si="6"/>
        <v>17.113816724515402</v>
      </c>
    </row>
    <row r="96" spans="1:33" x14ac:dyDescent="0.3">
      <c r="A96" s="10">
        <v>2030</v>
      </c>
      <c r="B96" s="11">
        <f>IF(AND($A96-'Outil Cibles'!D$7&lt;=60,$A96-'Outil Cibles'!D$7&gt;=0), B$3, 0)</f>
        <v>8610.7328044003007</v>
      </c>
      <c r="C96" s="11">
        <f>IF(AND($A96-'Outil Cibles'!E$7&lt;=60,$A96-'Outil Cibles'!E$7&gt;=0), C$3, 0)</f>
        <v>7587.9930148218064</v>
      </c>
      <c r="D96" s="11">
        <f>IF(AND($A96-'Outil Cibles'!F$7&lt;=60,$A96-'Outil Cibles'!F$7&gt;=0), D$3, 0)</f>
        <v>6596.593651504264</v>
      </c>
      <c r="E96" s="11">
        <f>IF(AND($A96-'Outil Cibles'!G$7&lt;=60,$A96-'Outil Cibles'!G$7&gt;=0), E$3, 0)</f>
        <v>0</v>
      </c>
      <c r="F96" s="11">
        <f>IF(AND($A96-'Outil Cibles'!H$7&lt;=60,$A96-'Outil Cibles'!H$7&gt;=0), F$3, 0)</f>
        <v>0</v>
      </c>
      <c r="G96" s="11">
        <f>IF(AND($A96-'Outil Cibles'!I$7&lt;=60,$A96-'Outil Cibles'!I$7&gt;=0), G$3, 0)</f>
        <v>0</v>
      </c>
      <c r="H96" s="11">
        <f>IF(AND($A96-'Outil Cibles'!J$7&lt;=60,$A96-'Outil Cibles'!J$7&gt;=0), H$3, 0)</f>
        <v>0</v>
      </c>
      <c r="I96" s="11">
        <f>IF(AND($A96-'Outil Cibles'!K$7&lt;=60,$A96-'Outil Cibles'!K$7&gt;=0), I$3, 0)</f>
        <v>0</v>
      </c>
      <c r="J96" s="11">
        <f>IF(AND($A96-'Outil Cibles'!L$7&lt;=60,$A96-'Outil Cibles'!L$7&gt;=0), J$3, 0)</f>
        <v>0</v>
      </c>
      <c r="K96" s="11">
        <f>IF(AND($A96-'Outil Cibles'!M$7&lt;=60,$A96-'Outil Cibles'!M$7&gt;=0), K$3, 0)</f>
        <v>0</v>
      </c>
      <c r="L96" s="11">
        <f t="shared" si="5"/>
        <v>22795.319470726372</v>
      </c>
      <c r="N96" s="10">
        <v>2030</v>
      </c>
      <c r="O96" s="11">
        <f>IF(AND(N96-'Outil Cibles'!$Q$7&lt;=60,N96-'Outil Cibles'!$Q$7&gt;=0), 'Outil Cibles'!$Q$17, 0)</f>
        <v>9.2209307000221994</v>
      </c>
      <c r="P96" s="11">
        <f>IF(AND(N96-'Outil Cibles'!$R$7&lt;=60,N96-'Outil Cibles'!$R$7&gt;=0), 'Outil Cibles'!$R$17, 0)</f>
        <v>7.8928860244932029</v>
      </c>
      <c r="Q96" s="11">
        <f>IF(AND(N96-'Outil Cibles'!$S$7&lt;=60,N96-'Outil Cibles'!$S$7&gt;=0), 'Outil Cibles'!$S$17, 0)</f>
        <v>5.7861034181094277</v>
      </c>
      <c r="R96" s="11">
        <f>IF(AND(N96-'Outil Cibles'!$T$7&lt;=60,N96-'Outil Cibles'!$T$7&gt;=0), 'Outil Cibles'!$T$17, 0)</f>
        <v>0</v>
      </c>
      <c r="S96" s="11">
        <f>IF(AND(N96-'Outil Cibles'!$U$7&lt;=60,N96-'Outil Cibles'!$U$7&gt;=0), 'Outil Cibles'!$U$17, 0)</f>
        <v>0</v>
      </c>
      <c r="T96" s="11">
        <f>IF(AND(N96-'Outil Cibles'!$V$7&lt;=60,N96-'Outil Cibles'!$V$7&gt;=0), 'Outil Cibles'!$V$17, 0)</f>
        <v>0</v>
      </c>
      <c r="U96" s="11">
        <f>IF(AND(N96-'Outil Cibles'!$W$7&lt;=60,N96-'Outil Cibles'!$W$7&gt;=0), 'Outil Cibles'!$W$17, 0)</f>
        <v>0</v>
      </c>
      <c r="V96" s="11">
        <f>IF(AND(N96-'Outil Cibles'!$X$7&lt;=60,N96-'Outil Cibles'!$X$7&gt;=0), 'Outil Cibles'!$X$17, 0)</f>
        <v>0</v>
      </c>
      <c r="W96" s="11">
        <f>IF(AND(N96-'Outil Cibles'!$Y$7&lt;=60,N96-'Outil Cibles'!$Y$7&gt;=0), 'Outil Cibles'!$Y$17, 0)</f>
        <v>0</v>
      </c>
      <c r="X96" s="11">
        <f>IF(AND(N96-'Outil Cibles'!$Z$7&lt;=60,N96-'Outil Cibles'!$Z$7&gt;=0), 'Outil Cibles'!$Z$17, 0)</f>
        <v>0</v>
      </c>
      <c r="Y96" s="11">
        <f t="shared" si="6"/>
        <v>22.899920142624829</v>
      </c>
    </row>
    <row r="97" spans="1:25" x14ac:dyDescent="0.3">
      <c r="A97">
        <v>2031</v>
      </c>
      <c r="B97" s="11">
        <f>IF(AND($A97-'Outil Cibles'!D$7&lt;=60,$A97-'Outil Cibles'!D$7&gt;=0), B$3, 0)</f>
        <v>8610.7328044003007</v>
      </c>
      <c r="C97" s="11">
        <f>IF(AND($A97-'Outil Cibles'!E$7&lt;=60,$A97-'Outil Cibles'!E$7&gt;=0), C$3, 0)</f>
        <v>7587.9930148218064</v>
      </c>
      <c r="D97" s="11">
        <f>IF(AND($A97-'Outil Cibles'!F$7&lt;=60,$A97-'Outil Cibles'!F$7&gt;=0), D$3, 0)</f>
        <v>6596.593651504264</v>
      </c>
      <c r="E97" s="11">
        <f>IF(AND($A97-'Outil Cibles'!G$7&lt;=60,$A97-'Outil Cibles'!G$7&gt;=0), E$3, 0)</f>
        <v>0</v>
      </c>
      <c r="F97" s="11">
        <f>IF(AND($A97-'Outil Cibles'!H$7&lt;=60,$A97-'Outil Cibles'!H$7&gt;=0), F$3, 0)</f>
        <v>0</v>
      </c>
      <c r="G97" s="11">
        <f>IF(AND($A97-'Outil Cibles'!I$7&lt;=60,$A97-'Outil Cibles'!I$7&gt;=0), G$3, 0)</f>
        <v>0</v>
      </c>
      <c r="H97" s="11">
        <f>IF(AND($A97-'Outil Cibles'!J$7&lt;=60,$A97-'Outil Cibles'!J$7&gt;=0), H$3, 0)</f>
        <v>0</v>
      </c>
      <c r="I97" s="11">
        <f>IF(AND($A97-'Outil Cibles'!K$7&lt;=60,$A97-'Outil Cibles'!K$7&gt;=0), I$3, 0)</f>
        <v>0</v>
      </c>
      <c r="J97" s="11">
        <f>IF(AND($A97-'Outil Cibles'!L$7&lt;=60,$A97-'Outil Cibles'!L$7&gt;=0), J$3, 0)</f>
        <v>0</v>
      </c>
      <c r="K97" s="11">
        <f>IF(AND($A97-'Outil Cibles'!M$7&lt;=60,$A97-'Outil Cibles'!M$7&gt;=0), K$3, 0)</f>
        <v>0</v>
      </c>
      <c r="L97" s="11">
        <f t="shared" si="5"/>
        <v>22795.319470726372</v>
      </c>
      <c r="N97">
        <v>2031</v>
      </c>
      <c r="O97" s="11">
        <f>IF(AND(N97-'Outil Cibles'!$Q$7&lt;=60,N97-'Outil Cibles'!$Q$7&gt;=0), 'Outil Cibles'!$Q$17, 0)</f>
        <v>9.2209307000221994</v>
      </c>
      <c r="P97" s="11">
        <f>IF(AND(N97-'Outil Cibles'!$R$7&lt;=60,N97-'Outil Cibles'!$R$7&gt;=0), 'Outil Cibles'!$R$17, 0)</f>
        <v>7.8928860244932029</v>
      </c>
      <c r="Q97" s="11">
        <f>IF(AND(N97-'Outil Cibles'!$S$7&lt;=60,N97-'Outil Cibles'!$S$7&gt;=0), 'Outil Cibles'!$S$17, 0)</f>
        <v>5.7861034181094277</v>
      </c>
      <c r="R97" s="11">
        <f>IF(AND(N97-'Outil Cibles'!$T$7&lt;=60,N97-'Outil Cibles'!$T$7&gt;=0), 'Outil Cibles'!$T$17, 0)</f>
        <v>0</v>
      </c>
      <c r="S97" s="11">
        <f>IF(AND(N97-'Outil Cibles'!$U$7&lt;=60,N97-'Outil Cibles'!$U$7&gt;=0), 'Outil Cibles'!$U$17, 0)</f>
        <v>0</v>
      </c>
      <c r="T97" s="11">
        <f>IF(AND(N97-'Outil Cibles'!$V$7&lt;=60,N97-'Outil Cibles'!$V$7&gt;=0), 'Outil Cibles'!$V$17, 0)</f>
        <v>0</v>
      </c>
      <c r="U97" s="11">
        <f>IF(AND(N97-'Outil Cibles'!$W$7&lt;=60,N97-'Outil Cibles'!$W$7&gt;=0), 'Outil Cibles'!$W$17, 0)</f>
        <v>0</v>
      </c>
      <c r="V97" s="11">
        <f>IF(AND(N97-'Outil Cibles'!$X$7&lt;=60,N97-'Outil Cibles'!$X$7&gt;=0), 'Outil Cibles'!$X$17, 0)</f>
        <v>0</v>
      </c>
      <c r="W97" s="11">
        <f>IF(AND(N97-'Outil Cibles'!$Y$7&lt;=60,N97-'Outil Cibles'!$Y$7&gt;=0), 'Outil Cibles'!$Y$17, 0)</f>
        <v>0</v>
      </c>
      <c r="X97" s="11">
        <f>IF(AND(N97-'Outil Cibles'!$Z$7&lt;=60,N97-'Outil Cibles'!$Z$7&gt;=0), 'Outil Cibles'!$Z$17, 0)</f>
        <v>0</v>
      </c>
      <c r="Y97" s="11">
        <f t="shared" si="6"/>
        <v>22.899920142624829</v>
      </c>
    </row>
    <row r="98" spans="1:25" x14ac:dyDescent="0.3">
      <c r="A98">
        <v>2032</v>
      </c>
      <c r="B98" s="11">
        <f>IF(AND($A98-'Outil Cibles'!D$7&lt;=60,$A98-'Outil Cibles'!D$7&gt;=0), B$3, 0)</f>
        <v>8610.7328044003007</v>
      </c>
      <c r="C98" s="11">
        <f>IF(AND($A98-'Outil Cibles'!E$7&lt;=60,$A98-'Outil Cibles'!E$7&gt;=0), C$3, 0)</f>
        <v>7587.9930148218064</v>
      </c>
      <c r="D98" s="11">
        <f>IF(AND($A98-'Outil Cibles'!F$7&lt;=60,$A98-'Outil Cibles'!F$7&gt;=0), D$3, 0)</f>
        <v>6596.593651504264</v>
      </c>
      <c r="E98" s="11">
        <f>IF(AND($A98-'Outil Cibles'!G$7&lt;=60,$A98-'Outil Cibles'!G$7&gt;=0), E$3, 0)</f>
        <v>0</v>
      </c>
      <c r="F98" s="11">
        <f>IF(AND($A98-'Outil Cibles'!H$7&lt;=60,$A98-'Outil Cibles'!H$7&gt;=0), F$3, 0)</f>
        <v>0</v>
      </c>
      <c r="G98" s="11">
        <f>IF(AND($A98-'Outil Cibles'!I$7&lt;=60,$A98-'Outil Cibles'!I$7&gt;=0), G$3, 0)</f>
        <v>0</v>
      </c>
      <c r="H98" s="11">
        <f>IF(AND($A98-'Outil Cibles'!J$7&lt;=60,$A98-'Outil Cibles'!J$7&gt;=0), H$3, 0)</f>
        <v>0</v>
      </c>
      <c r="I98" s="11">
        <f>IF(AND($A98-'Outil Cibles'!K$7&lt;=60,$A98-'Outil Cibles'!K$7&gt;=0), I$3, 0)</f>
        <v>0</v>
      </c>
      <c r="J98" s="11">
        <f>IF(AND($A98-'Outil Cibles'!L$7&lt;=60,$A98-'Outil Cibles'!L$7&gt;=0), J$3, 0)</f>
        <v>0</v>
      </c>
      <c r="K98" s="11">
        <f>IF(AND($A98-'Outil Cibles'!M$7&lt;=60,$A98-'Outil Cibles'!M$7&gt;=0), K$3, 0)</f>
        <v>0</v>
      </c>
      <c r="L98" s="11">
        <f t="shared" si="5"/>
        <v>22795.319470726372</v>
      </c>
      <c r="N98">
        <v>2032</v>
      </c>
      <c r="O98" s="11">
        <f>IF(AND(N98-'Outil Cibles'!$Q$7&lt;=60,N98-'Outil Cibles'!$Q$7&gt;=0), 'Outil Cibles'!$Q$17, 0)</f>
        <v>9.2209307000221994</v>
      </c>
      <c r="P98" s="11">
        <f>IF(AND(N98-'Outil Cibles'!$R$7&lt;=60,N98-'Outil Cibles'!$R$7&gt;=0), 'Outil Cibles'!$R$17, 0)</f>
        <v>7.8928860244932029</v>
      </c>
      <c r="Q98" s="11">
        <f>IF(AND(N98-'Outil Cibles'!$S$7&lt;=60,N98-'Outil Cibles'!$S$7&gt;=0), 'Outil Cibles'!$S$17, 0)</f>
        <v>5.7861034181094277</v>
      </c>
      <c r="R98" s="11">
        <f>IF(AND(N98-'Outil Cibles'!$T$7&lt;=60,N98-'Outil Cibles'!$T$7&gt;=0), 'Outil Cibles'!$T$17, 0)</f>
        <v>0</v>
      </c>
      <c r="S98" s="11">
        <f>IF(AND(N98-'Outil Cibles'!$U$7&lt;=60,N98-'Outil Cibles'!$U$7&gt;=0), 'Outil Cibles'!$U$17, 0)</f>
        <v>0</v>
      </c>
      <c r="T98" s="11">
        <f>IF(AND(N98-'Outil Cibles'!$V$7&lt;=60,N98-'Outil Cibles'!$V$7&gt;=0), 'Outil Cibles'!$V$17, 0)</f>
        <v>0</v>
      </c>
      <c r="U98" s="11">
        <f>IF(AND(N98-'Outil Cibles'!$W$7&lt;=60,N98-'Outil Cibles'!$W$7&gt;=0), 'Outil Cibles'!$W$17, 0)</f>
        <v>0</v>
      </c>
      <c r="V98" s="11">
        <f>IF(AND(N98-'Outil Cibles'!$X$7&lt;=60,N98-'Outil Cibles'!$X$7&gt;=0), 'Outil Cibles'!$X$17, 0)</f>
        <v>0</v>
      </c>
      <c r="W98" s="11">
        <f>IF(AND(N98-'Outil Cibles'!$Y$7&lt;=60,N98-'Outil Cibles'!$Y$7&gt;=0), 'Outil Cibles'!$Y$17, 0)</f>
        <v>0</v>
      </c>
      <c r="X98" s="11">
        <f>IF(AND(N98-'Outil Cibles'!$Z$7&lt;=60,N98-'Outil Cibles'!$Z$7&gt;=0), 'Outil Cibles'!$Z$17, 0)</f>
        <v>0</v>
      </c>
      <c r="Y98" s="11">
        <f t="shared" si="6"/>
        <v>22.899920142624829</v>
      </c>
    </row>
    <row r="99" spans="1:25" x14ac:dyDescent="0.3">
      <c r="A99">
        <v>2033</v>
      </c>
      <c r="B99" s="11">
        <f>IF(AND($A99-'Outil Cibles'!D$7&lt;=60,$A99-'Outil Cibles'!D$7&gt;=0), B$3, 0)</f>
        <v>8610.7328044003007</v>
      </c>
      <c r="C99" s="11">
        <f>IF(AND($A99-'Outil Cibles'!E$7&lt;=60,$A99-'Outil Cibles'!E$7&gt;=0), C$3, 0)</f>
        <v>7587.9930148218064</v>
      </c>
      <c r="D99" s="11">
        <f>IF(AND($A99-'Outil Cibles'!F$7&lt;=60,$A99-'Outil Cibles'!F$7&gt;=0), D$3, 0)</f>
        <v>6596.593651504264</v>
      </c>
      <c r="E99" s="11">
        <f>IF(AND($A99-'Outil Cibles'!G$7&lt;=60,$A99-'Outil Cibles'!G$7&gt;=0), E$3, 0)</f>
        <v>0</v>
      </c>
      <c r="F99" s="11">
        <f>IF(AND($A99-'Outil Cibles'!H$7&lt;=60,$A99-'Outil Cibles'!H$7&gt;=0), F$3, 0)</f>
        <v>0</v>
      </c>
      <c r="G99" s="11">
        <f>IF(AND($A99-'Outil Cibles'!I$7&lt;=60,$A99-'Outil Cibles'!I$7&gt;=0), G$3, 0)</f>
        <v>0</v>
      </c>
      <c r="H99" s="11">
        <f>IF(AND($A99-'Outil Cibles'!J$7&lt;=60,$A99-'Outil Cibles'!J$7&gt;=0), H$3, 0)</f>
        <v>0</v>
      </c>
      <c r="I99" s="11">
        <f>IF(AND($A99-'Outil Cibles'!K$7&lt;=60,$A99-'Outil Cibles'!K$7&gt;=0), I$3, 0)</f>
        <v>0</v>
      </c>
      <c r="J99" s="11">
        <f>IF(AND($A99-'Outil Cibles'!L$7&lt;=60,$A99-'Outil Cibles'!L$7&gt;=0), J$3, 0)</f>
        <v>0</v>
      </c>
      <c r="K99" s="11">
        <f>IF(AND($A99-'Outil Cibles'!M$7&lt;=60,$A99-'Outil Cibles'!M$7&gt;=0), K$3, 0)</f>
        <v>0</v>
      </c>
      <c r="L99" s="11">
        <f t="shared" si="5"/>
        <v>22795.319470726372</v>
      </c>
      <c r="N99">
        <v>2033</v>
      </c>
      <c r="O99" s="11">
        <f>IF(AND(N99-'Outil Cibles'!$Q$7&lt;=60,N99-'Outil Cibles'!$Q$7&gt;=0), 'Outil Cibles'!$Q$17, 0)</f>
        <v>9.2209307000221994</v>
      </c>
      <c r="P99" s="11">
        <f>IF(AND(N99-'Outil Cibles'!$R$7&lt;=60,N99-'Outil Cibles'!$R$7&gt;=0), 'Outil Cibles'!$R$17, 0)</f>
        <v>7.8928860244932029</v>
      </c>
      <c r="Q99" s="11">
        <f>IF(AND(N99-'Outil Cibles'!$S$7&lt;=60,N99-'Outil Cibles'!$S$7&gt;=0), 'Outil Cibles'!$S$17, 0)</f>
        <v>5.7861034181094277</v>
      </c>
      <c r="R99" s="11">
        <f>IF(AND(N99-'Outil Cibles'!$T$7&lt;=60,N99-'Outil Cibles'!$T$7&gt;=0), 'Outil Cibles'!$T$17, 0)</f>
        <v>0</v>
      </c>
      <c r="S99" s="11">
        <f>IF(AND(N99-'Outil Cibles'!$U$7&lt;=60,N99-'Outil Cibles'!$U$7&gt;=0), 'Outil Cibles'!$U$17, 0)</f>
        <v>0</v>
      </c>
      <c r="T99" s="11">
        <f>IF(AND(N99-'Outil Cibles'!$V$7&lt;=60,N99-'Outil Cibles'!$V$7&gt;=0), 'Outil Cibles'!$V$17, 0)</f>
        <v>0</v>
      </c>
      <c r="U99" s="11">
        <f>IF(AND(N99-'Outil Cibles'!$W$7&lt;=60,N99-'Outil Cibles'!$W$7&gt;=0), 'Outil Cibles'!$W$17, 0)</f>
        <v>0</v>
      </c>
      <c r="V99" s="11">
        <f>IF(AND(N99-'Outil Cibles'!$X$7&lt;=60,N99-'Outil Cibles'!$X$7&gt;=0), 'Outil Cibles'!$X$17, 0)</f>
        <v>0</v>
      </c>
      <c r="W99" s="11">
        <f>IF(AND(N99-'Outil Cibles'!$Y$7&lt;=60,N99-'Outil Cibles'!$Y$7&gt;=0), 'Outil Cibles'!$Y$17, 0)</f>
        <v>0</v>
      </c>
      <c r="X99" s="11">
        <f>IF(AND(N99-'Outil Cibles'!$Z$7&lt;=60,N99-'Outil Cibles'!$Z$7&gt;=0), 'Outil Cibles'!$Z$17, 0)</f>
        <v>0</v>
      </c>
      <c r="Y99" s="11">
        <f t="shared" si="6"/>
        <v>22.899920142624829</v>
      </c>
    </row>
    <row r="100" spans="1:25" x14ac:dyDescent="0.3">
      <c r="A100">
        <v>2034</v>
      </c>
      <c r="B100" s="11">
        <f>IF(AND($A100-'Outil Cibles'!D$7&lt;=60,$A100-'Outil Cibles'!D$7&gt;=0), B$3, 0)</f>
        <v>8610.7328044003007</v>
      </c>
      <c r="C100" s="11">
        <f>IF(AND($A100-'Outil Cibles'!E$7&lt;=60,$A100-'Outil Cibles'!E$7&gt;=0), C$3, 0)</f>
        <v>7587.9930148218064</v>
      </c>
      <c r="D100" s="11">
        <f>IF(AND($A100-'Outil Cibles'!F$7&lt;=60,$A100-'Outil Cibles'!F$7&gt;=0), D$3, 0)</f>
        <v>6596.593651504264</v>
      </c>
      <c r="E100" s="11">
        <f>IF(AND($A100-'Outil Cibles'!G$7&lt;=60,$A100-'Outil Cibles'!G$7&gt;=0), E$3, 0)</f>
        <v>0</v>
      </c>
      <c r="F100" s="11">
        <f>IF(AND($A100-'Outil Cibles'!H$7&lt;=60,$A100-'Outil Cibles'!H$7&gt;=0), F$3, 0)</f>
        <v>0</v>
      </c>
      <c r="G100" s="11">
        <f>IF(AND($A100-'Outil Cibles'!I$7&lt;=60,$A100-'Outil Cibles'!I$7&gt;=0), G$3, 0)</f>
        <v>0</v>
      </c>
      <c r="H100" s="11">
        <f>IF(AND($A100-'Outil Cibles'!J$7&lt;=60,$A100-'Outil Cibles'!J$7&gt;=0), H$3, 0)</f>
        <v>0</v>
      </c>
      <c r="I100" s="11">
        <f>IF(AND($A100-'Outil Cibles'!K$7&lt;=60,$A100-'Outil Cibles'!K$7&gt;=0), I$3, 0)</f>
        <v>0</v>
      </c>
      <c r="J100" s="11">
        <f>IF(AND($A100-'Outil Cibles'!L$7&lt;=60,$A100-'Outil Cibles'!L$7&gt;=0), J$3, 0)</f>
        <v>0</v>
      </c>
      <c r="K100" s="11">
        <f>IF(AND($A100-'Outil Cibles'!M$7&lt;=60,$A100-'Outil Cibles'!M$7&gt;=0), K$3, 0)</f>
        <v>0</v>
      </c>
      <c r="L100" s="11">
        <f t="shared" si="5"/>
        <v>22795.319470726372</v>
      </c>
      <c r="N100">
        <v>2034</v>
      </c>
      <c r="O100" s="11">
        <f>IF(AND(N100-'Outil Cibles'!$Q$7&lt;=60,N100-'Outil Cibles'!$Q$7&gt;=0), 'Outil Cibles'!$Q$17, 0)</f>
        <v>9.2209307000221994</v>
      </c>
      <c r="P100" s="11">
        <f>IF(AND(N100-'Outil Cibles'!$R$7&lt;=60,N100-'Outil Cibles'!$R$7&gt;=0), 'Outil Cibles'!$R$17, 0)</f>
        <v>7.8928860244932029</v>
      </c>
      <c r="Q100" s="11">
        <f>IF(AND(N100-'Outil Cibles'!$S$7&lt;=60,N100-'Outil Cibles'!$S$7&gt;=0), 'Outil Cibles'!$S$17, 0)</f>
        <v>5.7861034181094277</v>
      </c>
      <c r="R100" s="11">
        <f>IF(AND(N100-'Outil Cibles'!$T$7&lt;=60,N100-'Outil Cibles'!$T$7&gt;=0), 'Outil Cibles'!$T$17, 0)</f>
        <v>0</v>
      </c>
      <c r="S100" s="11">
        <f>IF(AND(N100-'Outil Cibles'!$U$7&lt;=60,N100-'Outil Cibles'!$U$7&gt;=0), 'Outil Cibles'!$U$17, 0)</f>
        <v>0</v>
      </c>
      <c r="T100" s="11">
        <f>IF(AND(N100-'Outil Cibles'!$V$7&lt;=60,N100-'Outil Cibles'!$V$7&gt;=0), 'Outil Cibles'!$V$17, 0)</f>
        <v>0</v>
      </c>
      <c r="U100" s="11">
        <f>IF(AND(N100-'Outil Cibles'!$W$7&lt;=60,N100-'Outil Cibles'!$W$7&gt;=0), 'Outil Cibles'!$W$17, 0)</f>
        <v>0</v>
      </c>
      <c r="V100" s="11">
        <f>IF(AND(N100-'Outil Cibles'!$X$7&lt;=60,N100-'Outil Cibles'!$X$7&gt;=0), 'Outil Cibles'!$X$17, 0)</f>
        <v>0</v>
      </c>
      <c r="W100" s="11">
        <f>IF(AND(N100-'Outil Cibles'!$Y$7&lt;=60,N100-'Outil Cibles'!$Y$7&gt;=0), 'Outil Cibles'!$Y$17, 0)</f>
        <v>0</v>
      </c>
      <c r="X100" s="11">
        <f>IF(AND(N100-'Outil Cibles'!$Z$7&lt;=60,N100-'Outil Cibles'!$Z$7&gt;=0), 'Outil Cibles'!$Z$17, 0)</f>
        <v>0</v>
      </c>
      <c r="Y100" s="11">
        <f t="shared" si="6"/>
        <v>22.899920142624829</v>
      </c>
    </row>
    <row r="101" spans="1:25" x14ac:dyDescent="0.3">
      <c r="A101" s="10">
        <v>2035</v>
      </c>
      <c r="B101" s="11">
        <f>IF(AND($A101-'Outil Cibles'!D$7&lt;=60,$A101-'Outil Cibles'!D$7&gt;=0), B$3, 0)</f>
        <v>8610.7328044003007</v>
      </c>
      <c r="C101" s="11">
        <f>IF(AND($A101-'Outil Cibles'!E$7&lt;=60,$A101-'Outil Cibles'!E$7&gt;=0), C$3, 0)</f>
        <v>7587.9930148218064</v>
      </c>
      <c r="D101" s="11">
        <f>IF(AND($A101-'Outil Cibles'!F$7&lt;=60,$A101-'Outil Cibles'!F$7&gt;=0), D$3, 0)</f>
        <v>6596.593651504264</v>
      </c>
      <c r="E101" s="11">
        <f>IF(AND($A101-'Outil Cibles'!G$7&lt;=60,$A101-'Outil Cibles'!G$7&gt;=0), E$3, 0)</f>
        <v>5382.3222388442455</v>
      </c>
      <c r="F101" s="11">
        <f>IF(AND($A101-'Outil Cibles'!H$7&lt;=60,$A101-'Outil Cibles'!H$7&gt;=0), F$3, 0)</f>
        <v>0</v>
      </c>
      <c r="G101" s="11">
        <f>IF(AND($A101-'Outil Cibles'!I$7&lt;=60,$A101-'Outil Cibles'!I$7&gt;=0), G$3, 0)</f>
        <v>0</v>
      </c>
      <c r="H101" s="11">
        <f>IF(AND($A101-'Outil Cibles'!J$7&lt;=60,$A101-'Outil Cibles'!J$7&gt;=0), H$3, 0)</f>
        <v>0</v>
      </c>
      <c r="I101" s="11">
        <f>IF(AND($A101-'Outil Cibles'!K$7&lt;=60,$A101-'Outil Cibles'!K$7&gt;=0), I$3, 0)</f>
        <v>0</v>
      </c>
      <c r="J101" s="11">
        <f>IF(AND($A101-'Outil Cibles'!L$7&lt;=60,$A101-'Outil Cibles'!L$7&gt;=0), J$3, 0)</f>
        <v>0</v>
      </c>
      <c r="K101" s="11">
        <f>IF(AND($A101-'Outil Cibles'!M$7&lt;=60,$A101-'Outil Cibles'!M$7&gt;=0), K$3, 0)</f>
        <v>0</v>
      </c>
      <c r="L101" s="11">
        <f t="shared" si="5"/>
        <v>28177.641709570617</v>
      </c>
      <c r="N101" s="10">
        <v>2035</v>
      </c>
      <c r="O101" s="11">
        <f>IF(AND(N101-'Outil Cibles'!$Q$7&lt;=60,N101-'Outil Cibles'!$Q$7&gt;=0), 'Outil Cibles'!$Q$17, 0)</f>
        <v>9.2209307000221994</v>
      </c>
      <c r="P101" s="11">
        <f>IF(AND(N101-'Outil Cibles'!$R$7&lt;=60,N101-'Outil Cibles'!$R$7&gt;=0), 'Outil Cibles'!$R$17, 0)</f>
        <v>7.8928860244932029</v>
      </c>
      <c r="Q101" s="11">
        <f>IF(AND(N101-'Outil Cibles'!$S$7&lt;=60,N101-'Outil Cibles'!$S$7&gt;=0), 'Outil Cibles'!$S$17, 0)</f>
        <v>5.7861034181094277</v>
      </c>
      <c r="R101" s="11">
        <f>IF(AND(N101-'Outil Cibles'!$T$7&lt;=60,N101-'Outil Cibles'!$T$7&gt;=0), 'Outil Cibles'!$T$17, 0)</f>
        <v>3.9285483356528981</v>
      </c>
      <c r="S101" s="11">
        <f>IF(AND(N101-'Outil Cibles'!$U$7&lt;=60,N101-'Outil Cibles'!$U$7&gt;=0), 'Outil Cibles'!$U$17, 0)</f>
        <v>0</v>
      </c>
      <c r="T101" s="11">
        <f>IF(AND(N101-'Outil Cibles'!$V$7&lt;=60,N101-'Outil Cibles'!$V$7&gt;=0), 'Outil Cibles'!$V$17, 0)</f>
        <v>0</v>
      </c>
      <c r="U101" s="11">
        <f>IF(AND(N101-'Outil Cibles'!$W$7&lt;=60,N101-'Outil Cibles'!$W$7&gt;=0), 'Outil Cibles'!$W$17, 0)</f>
        <v>0</v>
      </c>
      <c r="V101" s="11">
        <f>IF(AND(N101-'Outil Cibles'!$X$7&lt;=60,N101-'Outil Cibles'!$X$7&gt;=0), 'Outil Cibles'!$X$17, 0)</f>
        <v>0</v>
      </c>
      <c r="W101" s="11">
        <f>IF(AND(N101-'Outil Cibles'!$Y$7&lt;=60,N101-'Outil Cibles'!$Y$7&gt;=0), 'Outil Cibles'!$Y$17, 0)</f>
        <v>0</v>
      </c>
      <c r="X101" s="11">
        <f>IF(AND(N101-'Outil Cibles'!$Z$7&lt;=60,N101-'Outil Cibles'!$Z$7&gt;=0), 'Outil Cibles'!$Z$17, 0)</f>
        <v>0</v>
      </c>
      <c r="Y101" s="11">
        <f t="shared" si="6"/>
        <v>26.828468478277728</v>
      </c>
    </row>
    <row r="102" spans="1:25" x14ac:dyDescent="0.3">
      <c r="A102">
        <v>2036</v>
      </c>
      <c r="B102" s="11">
        <f>IF(AND($A102-'Outil Cibles'!D$7&lt;=60,$A102-'Outil Cibles'!D$7&gt;=0), B$3, 0)</f>
        <v>8610.7328044003007</v>
      </c>
      <c r="C102" s="11">
        <f>IF(AND($A102-'Outil Cibles'!E$7&lt;=60,$A102-'Outil Cibles'!E$7&gt;=0), C$3, 0)</f>
        <v>7587.9930148218064</v>
      </c>
      <c r="D102" s="11">
        <f>IF(AND($A102-'Outil Cibles'!F$7&lt;=60,$A102-'Outil Cibles'!F$7&gt;=0), D$3, 0)</f>
        <v>6596.593651504264</v>
      </c>
      <c r="E102" s="11">
        <f>IF(AND($A102-'Outil Cibles'!G$7&lt;=60,$A102-'Outil Cibles'!G$7&gt;=0), E$3, 0)</f>
        <v>5382.3222388442455</v>
      </c>
      <c r="F102" s="11">
        <f>IF(AND($A102-'Outil Cibles'!H$7&lt;=60,$A102-'Outil Cibles'!H$7&gt;=0), F$3, 0)</f>
        <v>0</v>
      </c>
      <c r="G102" s="11">
        <f>IF(AND($A102-'Outil Cibles'!I$7&lt;=60,$A102-'Outil Cibles'!I$7&gt;=0), G$3, 0)</f>
        <v>0</v>
      </c>
      <c r="H102" s="11">
        <f>IF(AND($A102-'Outil Cibles'!J$7&lt;=60,$A102-'Outil Cibles'!J$7&gt;=0), H$3, 0)</f>
        <v>0</v>
      </c>
      <c r="I102" s="11">
        <f>IF(AND($A102-'Outil Cibles'!K$7&lt;=60,$A102-'Outil Cibles'!K$7&gt;=0), I$3, 0)</f>
        <v>0</v>
      </c>
      <c r="J102" s="11">
        <f>IF(AND($A102-'Outil Cibles'!L$7&lt;=60,$A102-'Outil Cibles'!L$7&gt;=0), J$3, 0)</f>
        <v>0</v>
      </c>
      <c r="K102" s="11">
        <f>IF(AND($A102-'Outil Cibles'!M$7&lt;=60,$A102-'Outil Cibles'!M$7&gt;=0), K$3, 0)</f>
        <v>0</v>
      </c>
      <c r="L102" s="11">
        <f t="shared" si="5"/>
        <v>28177.641709570617</v>
      </c>
      <c r="N102">
        <v>2036</v>
      </c>
      <c r="O102" s="11">
        <f>IF(AND(N102-'Outil Cibles'!$Q$7&lt;=60,N102-'Outil Cibles'!$Q$7&gt;=0), 'Outil Cibles'!$Q$17, 0)</f>
        <v>9.2209307000221994</v>
      </c>
      <c r="P102" s="11">
        <f>IF(AND(N102-'Outil Cibles'!$R$7&lt;=60,N102-'Outil Cibles'!$R$7&gt;=0), 'Outil Cibles'!$R$17, 0)</f>
        <v>7.8928860244932029</v>
      </c>
      <c r="Q102" s="11">
        <f>IF(AND(N102-'Outil Cibles'!$S$7&lt;=60,N102-'Outil Cibles'!$S$7&gt;=0), 'Outil Cibles'!$S$17, 0)</f>
        <v>5.7861034181094277</v>
      </c>
      <c r="R102" s="11">
        <f>IF(AND(N102-'Outil Cibles'!$T$7&lt;=60,N102-'Outil Cibles'!$T$7&gt;=0), 'Outil Cibles'!$T$17, 0)</f>
        <v>3.9285483356528981</v>
      </c>
      <c r="S102" s="11">
        <f>IF(AND(N102-'Outil Cibles'!$U$7&lt;=60,N102-'Outil Cibles'!$U$7&gt;=0), 'Outil Cibles'!$U$17, 0)</f>
        <v>0</v>
      </c>
      <c r="T102" s="11">
        <f>IF(AND(N102-'Outil Cibles'!$V$7&lt;=60,N102-'Outil Cibles'!$V$7&gt;=0), 'Outil Cibles'!$V$17, 0)</f>
        <v>0</v>
      </c>
      <c r="U102" s="11">
        <f>IF(AND(N102-'Outil Cibles'!$W$7&lt;=60,N102-'Outil Cibles'!$W$7&gt;=0), 'Outil Cibles'!$W$17, 0)</f>
        <v>0</v>
      </c>
      <c r="V102" s="11">
        <f>IF(AND(N102-'Outil Cibles'!$X$7&lt;=60,N102-'Outil Cibles'!$X$7&gt;=0), 'Outil Cibles'!$X$17, 0)</f>
        <v>0</v>
      </c>
      <c r="W102" s="11">
        <f>IF(AND(N102-'Outil Cibles'!$Y$7&lt;=60,N102-'Outil Cibles'!$Y$7&gt;=0), 'Outil Cibles'!$Y$17, 0)</f>
        <v>0</v>
      </c>
      <c r="X102" s="11">
        <f>IF(AND(N102-'Outil Cibles'!$Z$7&lt;=60,N102-'Outil Cibles'!$Z$7&gt;=0), 'Outil Cibles'!$Z$17, 0)</f>
        <v>0</v>
      </c>
      <c r="Y102" s="11">
        <f t="shared" si="6"/>
        <v>26.828468478277728</v>
      </c>
    </row>
    <row r="103" spans="1:25" x14ac:dyDescent="0.3">
      <c r="A103">
        <v>2037</v>
      </c>
      <c r="B103" s="11">
        <f>IF(AND($A103-'Outil Cibles'!D$7&lt;=60,$A103-'Outil Cibles'!D$7&gt;=0), B$3, 0)</f>
        <v>8610.7328044003007</v>
      </c>
      <c r="C103" s="11">
        <f>IF(AND($A103-'Outil Cibles'!E$7&lt;=60,$A103-'Outil Cibles'!E$7&gt;=0), C$3, 0)</f>
        <v>7587.9930148218064</v>
      </c>
      <c r="D103" s="11">
        <f>IF(AND($A103-'Outil Cibles'!F$7&lt;=60,$A103-'Outil Cibles'!F$7&gt;=0), D$3, 0)</f>
        <v>6596.593651504264</v>
      </c>
      <c r="E103" s="11">
        <f>IF(AND($A103-'Outil Cibles'!G$7&lt;=60,$A103-'Outil Cibles'!G$7&gt;=0), E$3, 0)</f>
        <v>5382.3222388442455</v>
      </c>
      <c r="F103" s="11">
        <f>IF(AND($A103-'Outil Cibles'!H$7&lt;=60,$A103-'Outil Cibles'!H$7&gt;=0), F$3, 0)</f>
        <v>0</v>
      </c>
      <c r="G103" s="11">
        <f>IF(AND($A103-'Outil Cibles'!I$7&lt;=60,$A103-'Outil Cibles'!I$7&gt;=0), G$3, 0)</f>
        <v>0</v>
      </c>
      <c r="H103" s="11">
        <f>IF(AND($A103-'Outil Cibles'!J$7&lt;=60,$A103-'Outil Cibles'!J$7&gt;=0), H$3, 0)</f>
        <v>0</v>
      </c>
      <c r="I103" s="11">
        <f>IF(AND($A103-'Outil Cibles'!K$7&lt;=60,$A103-'Outil Cibles'!K$7&gt;=0), I$3, 0)</f>
        <v>0</v>
      </c>
      <c r="J103" s="11">
        <f>IF(AND($A103-'Outil Cibles'!L$7&lt;=60,$A103-'Outil Cibles'!L$7&gt;=0), J$3, 0)</f>
        <v>0</v>
      </c>
      <c r="K103" s="11">
        <f>IF(AND($A103-'Outil Cibles'!M$7&lt;=60,$A103-'Outil Cibles'!M$7&gt;=0), K$3, 0)</f>
        <v>0</v>
      </c>
      <c r="L103" s="11">
        <f t="shared" si="5"/>
        <v>28177.641709570617</v>
      </c>
      <c r="N103">
        <v>2037</v>
      </c>
      <c r="O103" s="11">
        <f>IF(AND(N103-'Outil Cibles'!$Q$7&lt;=60,N103-'Outil Cibles'!$Q$7&gt;=0), 'Outil Cibles'!$Q$17, 0)</f>
        <v>9.2209307000221994</v>
      </c>
      <c r="P103" s="11">
        <f>IF(AND(N103-'Outil Cibles'!$R$7&lt;=60,N103-'Outil Cibles'!$R$7&gt;=0), 'Outil Cibles'!$R$17, 0)</f>
        <v>7.8928860244932029</v>
      </c>
      <c r="Q103" s="11">
        <f>IF(AND(N103-'Outil Cibles'!$S$7&lt;=60,N103-'Outil Cibles'!$S$7&gt;=0), 'Outil Cibles'!$S$17, 0)</f>
        <v>5.7861034181094277</v>
      </c>
      <c r="R103" s="11">
        <f>IF(AND(N103-'Outil Cibles'!$T$7&lt;=60,N103-'Outil Cibles'!$T$7&gt;=0), 'Outil Cibles'!$T$17, 0)</f>
        <v>3.9285483356528981</v>
      </c>
      <c r="S103" s="11">
        <f>IF(AND(N103-'Outil Cibles'!$U$7&lt;=60,N103-'Outil Cibles'!$U$7&gt;=0), 'Outil Cibles'!$U$17, 0)</f>
        <v>0</v>
      </c>
      <c r="T103" s="11">
        <f>IF(AND(N103-'Outil Cibles'!$V$7&lt;=60,N103-'Outil Cibles'!$V$7&gt;=0), 'Outil Cibles'!$V$17, 0)</f>
        <v>0</v>
      </c>
      <c r="U103" s="11">
        <f>IF(AND(N103-'Outil Cibles'!$W$7&lt;=60,N103-'Outil Cibles'!$W$7&gt;=0), 'Outil Cibles'!$W$17, 0)</f>
        <v>0</v>
      </c>
      <c r="V103" s="11">
        <f>IF(AND(N103-'Outil Cibles'!$X$7&lt;=60,N103-'Outil Cibles'!$X$7&gt;=0), 'Outil Cibles'!$X$17, 0)</f>
        <v>0</v>
      </c>
      <c r="W103" s="11">
        <f>IF(AND(N103-'Outil Cibles'!$Y$7&lt;=60,N103-'Outil Cibles'!$Y$7&gt;=0), 'Outil Cibles'!$Y$17, 0)</f>
        <v>0</v>
      </c>
      <c r="X103" s="11">
        <f>IF(AND(N103-'Outil Cibles'!$Z$7&lt;=60,N103-'Outil Cibles'!$Z$7&gt;=0), 'Outil Cibles'!$Z$17, 0)</f>
        <v>0</v>
      </c>
      <c r="Y103" s="11">
        <f t="shared" si="6"/>
        <v>26.828468478277728</v>
      </c>
    </row>
    <row r="104" spans="1:25" x14ac:dyDescent="0.3">
      <c r="A104">
        <v>2038</v>
      </c>
      <c r="B104" s="11">
        <f>IF(AND($A104-'Outil Cibles'!D$7&lt;=60,$A104-'Outil Cibles'!D$7&gt;=0), B$3, 0)</f>
        <v>8610.7328044003007</v>
      </c>
      <c r="C104" s="11">
        <f>IF(AND($A104-'Outil Cibles'!E$7&lt;=60,$A104-'Outil Cibles'!E$7&gt;=0), C$3, 0)</f>
        <v>7587.9930148218064</v>
      </c>
      <c r="D104" s="11">
        <f>IF(AND($A104-'Outil Cibles'!F$7&lt;=60,$A104-'Outil Cibles'!F$7&gt;=0), D$3, 0)</f>
        <v>6596.593651504264</v>
      </c>
      <c r="E104" s="11">
        <f>IF(AND($A104-'Outil Cibles'!G$7&lt;=60,$A104-'Outil Cibles'!G$7&gt;=0), E$3, 0)</f>
        <v>5382.3222388442455</v>
      </c>
      <c r="F104" s="11">
        <f>IF(AND($A104-'Outil Cibles'!H$7&lt;=60,$A104-'Outil Cibles'!H$7&gt;=0), F$3, 0)</f>
        <v>4697.4836188392801</v>
      </c>
      <c r="G104" s="11">
        <f>IF(AND($A104-'Outil Cibles'!I$7&lt;=60,$A104-'Outil Cibles'!I$7&gt;=0), G$3, 0)</f>
        <v>0</v>
      </c>
      <c r="H104" s="11">
        <f>IF(AND($A104-'Outil Cibles'!J$7&lt;=60,$A104-'Outil Cibles'!J$7&gt;=0), H$3, 0)</f>
        <v>0</v>
      </c>
      <c r="I104" s="11">
        <f>IF(AND($A104-'Outil Cibles'!K$7&lt;=60,$A104-'Outil Cibles'!K$7&gt;=0), I$3, 0)</f>
        <v>0</v>
      </c>
      <c r="J104" s="11">
        <f>IF(AND($A104-'Outil Cibles'!L$7&lt;=60,$A104-'Outil Cibles'!L$7&gt;=0), J$3, 0)</f>
        <v>0</v>
      </c>
      <c r="K104" s="11">
        <f>IF(AND($A104-'Outil Cibles'!M$7&lt;=60,$A104-'Outil Cibles'!M$7&gt;=0), K$3, 0)</f>
        <v>0</v>
      </c>
      <c r="L104" s="11">
        <f t="shared" si="5"/>
        <v>32875.125328409893</v>
      </c>
      <c r="N104">
        <v>2038</v>
      </c>
      <c r="O104" s="11">
        <f>IF(AND(N104-'Outil Cibles'!$Q$7&lt;=60,N104-'Outil Cibles'!$Q$7&gt;=0), 'Outil Cibles'!$Q$17, 0)</f>
        <v>9.2209307000221994</v>
      </c>
      <c r="P104" s="11">
        <f>IF(AND(N104-'Outil Cibles'!$R$7&lt;=60,N104-'Outil Cibles'!$R$7&gt;=0), 'Outil Cibles'!$R$17, 0)</f>
        <v>7.8928860244932029</v>
      </c>
      <c r="Q104" s="11">
        <f>IF(AND(N104-'Outil Cibles'!$S$7&lt;=60,N104-'Outil Cibles'!$S$7&gt;=0), 'Outil Cibles'!$S$17, 0)</f>
        <v>5.7861034181094277</v>
      </c>
      <c r="R104" s="11">
        <f>IF(AND(N104-'Outil Cibles'!$T$7&lt;=60,N104-'Outil Cibles'!$T$7&gt;=0), 'Outil Cibles'!$T$17, 0)</f>
        <v>3.9285483356528981</v>
      </c>
      <c r="S104" s="11">
        <f>IF(AND(N104-'Outil Cibles'!$U$7&lt;=60,N104-'Outil Cibles'!$U$7&gt;=0), 'Outil Cibles'!$U$17, 0)</f>
        <v>3.1156336157567535</v>
      </c>
      <c r="T104" s="11">
        <f>IF(AND(N104-'Outil Cibles'!$V$7&lt;=60,N104-'Outil Cibles'!$V$7&gt;=0), 'Outil Cibles'!$V$17, 0)</f>
        <v>0</v>
      </c>
      <c r="U104" s="11">
        <f>IF(AND(N104-'Outil Cibles'!$W$7&lt;=60,N104-'Outil Cibles'!$W$7&gt;=0), 'Outil Cibles'!$W$17, 0)</f>
        <v>0</v>
      </c>
      <c r="V104" s="11">
        <f>IF(AND(N104-'Outil Cibles'!$X$7&lt;=60,N104-'Outil Cibles'!$X$7&gt;=0), 'Outil Cibles'!$X$17, 0)</f>
        <v>0</v>
      </c>
      <c r="W104" s="11">
        <f>IF(AND(N104-'Outil Cibles'!$Y$7&lt;=60,N104-'Outil Cibles'!$Y$7&gt;=0), 'Outil Cibles'!$Y$17, 0)</f>
        <v>0</v>
      </c>
      <c r="X104" s="11">
        <f>IF(AND(N104-'Outil Cibles'!$Z$7&lt;=60,N104-'Outil Cibles'!$Z$7&gt;=0), 'Outil Cibles'!$Z$17, 0)</f>
        <v>0</v>
      </c>
      <c r="Y104" s="11">
        <f t="shared" si="6"/>
        <v>29.944102094034481</v>
      </c>
    </row>
    <row r="105" spans="1:25" x14ac:dyDescent="0.3">
      <c r="A105">
        <v>2039</v>
      </c>
      <c r="B105" s="11">
        <f>IF(AND($A105-'Outil Cibles'!D$7&lt;=60,$A105-'Outil Cibles'!D$7&gt;=0), B$3, 0)</f>
        <v>8610.7328044003007</v>
      </c>
      <c r="C105" s="11">
        <f>IF(AND($A105-'Outil Cibles'!E$7&lt;=60,$A105-'Outil Cibles'!E$7&gt;=0), C$3, 0)</f>
        <v>7587.9930148218064</v>
      </c>
      <c r="D105" s="11">
        <f>IF(AND($A105-'Outil Cibles'!F$7&lt;=60,$A105-'Outil Cibles'!F$7&gt;=0), D$3, 0)</f>
        <v>6596.593651504264</v>
      </c>
      <c r="E105" s="11">
        <f>IF(AND($A105-'Outil Cibles'!G$7&lt;=60,$A105-'Outil Cibles'!G$7&gt;=0), E$3, 0)</f>
        <v>5382.3222388442455</v>
      </c>
      <c r="F105" s="11">
        <f>IF(AND($A105-'Outil Cibles'!H$7&lt;=60,$A105-'Outil Cibles'!H$7&gt;=0), F$3, 0)</f>
        <v>4697.4836188392801</v>
      </c>
      <c r="G105" s="11">
        <f>IF(AND($A105-'Outil Cibles'!I$7&lt;=60,$A105-'Outil Cibles'!I$7&gt;=0), G$3, 0)</f>
        <v>0</v>
      </c>
      <c r="H105" s="11">
        <f>IF(AND($A105-'Outil Cibles'!J$7&lt;=60,$A105-'Outil Cibles'!J$7&gt;=0), H$3, 0)</f>
        <v>0</v>
      </c>
      <c r="I105" s="11">
        <f>IF(AND($A105-'Outil Cibles'!K$7&lt;=60,$A105-'Outil Cibles'!K$7&gt;=0), I$3, 0)</f>
        <v>0</v>
      </c>
      <c r="J105" s="11">
        <f>IF(AND($A105-'Outil Cibles'!L$7&lt;=60,$A105-'Outil Cibles'!L$7&gt;=0), J$3, 0)</f>
        <v>0</v>
      </c>
      <c r="K105" s="11">
        <f>IF(AND($A105-'Outil Cibles'!M$7&lt;=60,$A105-'Outil Cibles'!M$7&gt;=0), K$3, 0)</f>
        <v>0</v>
      </c>
      <c r="L105" s="11">
        <f t="shared" si="5"/>
        <v>32875.125328409893</v>
      </c>
      <c r="N105">
        <v>2039</v>
      </c>
      <c r="O105" s="11">
        <f>IF(AND(N105-'Outil Cibles'!$Q$7&lt;=60,N105-'Outil Cibles'!$Q$7&gt;=0), 'Outil Cibles'!$Q$17, 0)</f>
        <v>9.2209307000221994</v>
      </c>
      <c r="P105" s="11">
        <f>IF(AND(N105-'Outil Cibles'!$R$7&lt;=60,N105-'Outil Cibles'!$R$7&gt;=0), 'Outil Cibles'!$R$17, 0)</f>
        <v>7.8928860244932029</v>
      </c>
      <c r="Q105" s="11">
        <f>IF(AND(N105-'Outil Cibles'!$S$7&lt;=60,N105-'Outil Cibles'!$S$7&gt;=0), 'Outil Cibles'!$S$17, 0)</f>
        <v>5.7861034181094277</v>
      </c>
      <c r="R105" s="11">
        <f>IF(AND(N105-'Outil Cibles'!$T$7&lt;=60,N105-'Outil Cibles'!$T$7&gt;=0), 'Outil Cibles'!$T$17, 0)</f>
        <v>3.9285483356528981</v>
      </c>
      <c r="S105" s="11">
        <f>IF(AND(N105-'Outil Cibles'!$U$7&lt;=60,N105-'Outil Cibles'!$U$7&gt;=0), 'Outil Cibles'!$U$17, 0)</f>
        <v>3.1156336157567535</v>
      </c>
      <c r="T105" s="11">
        <f>IF(AND(N105-'Outil Cibles'!$V$7&lt;=60,N105-'Outil Cibles'!$V$7&gt;=0), 'Outil Cibles'!$V$17, 0)</f>
        <v>0</v>
      </c>
      <c r="U105" s="11">
        <f>IF(AND(N105-'Outil Cibles'!$W$7&lt;=60,N105-'Outil Cibles'!$W$7&gt;=0), 'Outil Cibles'!$W$17, 0)</f>
        <v>0</v>
      </c>
      <c r="V105" s="11">
        <f>IF(AND(N105-'Outil Cibles'!$X$7&lt;=60,N105-'Outil Cibles'!$X$7&gt;=0), 'Outil Cibles'!$X$17, 0)</f>
        <v>0</v>
      </c>
      <c r="W105" s="11">
        <f>IF(AND(N105-'Outil Cibles'!$Y$7&lt;=60,N105-'Outil Cibles'!$Y$7&gt;=0), 'Outil Cibles'!$Y$17, 0)</f>
        <v>0</v>
      </c>
      <c r="X105" s="11">
        <f>IF(AND(N105-'Outil Cibles'!$Z$7&lt;=60,N105-'Outil Cibles'!$Z$7&gt;=0), 'Outil Cibles'!$Z$17, 0)</f>
        <v>0</v>
      </c>
      <c r="Y105" s="11">
        <f t="shared" si="6"/>
        <v>29.944102094034481</v>
      </c>
    </row>
    <row r="106" spans="1:25" x14ac:dyDescent="0.3">
      <c r="A106" s="10">
        <v>2040</v>
      </c>
      <c r="B106" s="11">
        <f>IF(AND($A106-'Outil Cibles'!D$7&lt;=60,$A106-'Outil Cibles'!D$7&gt;=0), B$3, 0)</f>
        <v>8610.7328044003007</v>
      </c>
      <c r="C106" s="11">
        <f>IF(AND($A106-'Outil Cibles'!E$7&lt;=60,$A106-'Outil Cibles'!E$7&gt;=0), C$3, 0)</f>
        <v>7587.9930148218064</v>
      </c>
      <c r="D106" s="11">
        <f>IF(AND($A106-'Outil Cibles'!F$7&lt;=60,$A106-'Outil Cibles'!F$7&gt;=0), D$3, 0)</f>
        <v>6596.593651504264</v>
      </c>
      <c r="E106" s="11">
        <f>IF(AND($A106-'Outil Cibles'!G$7&lt;=60,$A106-'Outil Cibles'!G$7&gt;=0), E$3, 0)</f>
        <v>5382.3222388442455</v>
      </c>
      <c r="F106" s="11">
        <f>IF(AND($A106-'Outil Cibles'!H$7&lt;=60,$A106-'Outil Cibles'!H$7&gt;=0), F$3, 0)</f>
        <v>4697.4836188392801</v>
      </c>
      <c r="G106" s="11">
        <f>IF(AND($A106-'Outil Cibles'!I$7&lt;=60,$A106-'Outil Cibles'!I$7&gt;=0), G$3, 0)</f>
        <v>4250.0459859961411</v>
      </c>
      <c r="H106" s="11">
        <f>IF(AND($A106-'Outil Cibles'!J$7&lt;=60,$A106-'Outil Cibles'!J$7&gt;=0), H$3, 0)</f>
        <v>0</v>
      </c>
      <c r="I106" s="11">
        <f>IF(AND($A106-'Outil Cibles'!K$7&lt;=60,$A106-'Outil Cibles'!K$7&gt;=0), I$3, 0)</f>
        <v>0</v>
      </c>
      <c r="J106" s="11">
        <f>IF(AND($A106-'Outil Cibles'!L$7&lt;=60,$A106-'Outil Cibles'!L$7&gt;=0), J$3, 0)</f>
        <v>0</v>
      </c>
      <c r="K106" s="11">
        <f>IF(AND($A106-'Outil Cibles'!M$7&lt;=60,$A106-'Outil Cibles'!M$7&gt;=0), K$3, 0)</f>
        <v>0</v>
      </c>
      <c r="L106" s="11">
        <f t="shared" si="5"/>
        <v>37125.171314406034</v>
      </c>
      <c r="N106" s="10">
        <v>2040</v>
      </c>
      <c r="O106" s="11">
        <f>IF(AND(N106-'Outil Cibles'!$Q$7&lt;=60,N106-'Outil Cibles'!$Q$7&gt;=0), 'Outil Cibles'!$Q$17, 0)</f>
        <v>9.2209307000221994</v>
      </c>
      <c r="P106" s="11">
        <f>IF(AND(N106-'Outil Cibles'!$R$7&lt;=60,N106-'Outil Cibles'!$R$7&gt;=0), 'Outil Cibles'!$R$17, 0)</f>
        <v>7.8928860244932029</v>
      </c>
      <c r="Q106" s="11">
        <f>IF(AND(N106-'Outil Cibles'!$S$7&lt;=60,N106-'Outil Cibles'!$S$7&gt;=0), 'Outil Cibles'!$S$17, 0)</f>
        <v>5.7861034181094277</v>
      </c>
      <c r="R106" s="11">
        <f>IF(AND(N106-'Outil Cibles'!$T$7&lt;=60,N106-'Outil Cibles'!$T$7&gt;=0), 'Outil Cibles'!$T$17, 0)</f>
        <v>3.9285483356528981</v>
      </c>
      <c r="S106" s="11">
        <f>IF(AND(N106-'Outil Cibles'!$U$7&lt;=60,N106-'Outil Cibles'!$U$7&gt;=0), 'Outil Cibles'!$U$17, 0)</f>
        <v>3.1156336157567535</v>
      </c>
      <c r="T106" s="11">
        <f>IF(AND(N106-'Outil Cibles'!$V$7&lt;=60,N106-'Outil Cibles'!$V$7&gt;=0), 'Outil Cibles'!$V$17, 0)</f>
        <v>2.6699626409394961</v>
      </c>
      <c r="U106" s="11">
        <f>IF(AND(N106-'Outil Cibles'!$W$7&lt;=60,N106-'Outil Cibles'!$W$7&gt;=0), 'Outil Cibles'!$W$17, 0)</f>
        <v>0</v>
      </c>
      <c r="V106" s="11">
        <f>IF(AND(N106-'Outil Cibles'!$X$7&lt;=60,N106-'Outil Cibles'!$X$7&gt;=0), 'Outil Cibles'!$X$17, 0)</f>
        <v>0</v>
      </c>
      <c r="W106" s="11">
        <f>IF(AND(N106-'Outil Cibles'!$Y$7&lt;=60,N106-'Outil Cibles'!$Y$7&gt;=0), 'Outil Cibles'!$Y$17, 0)</f>
        <v>0</v>
      </c>
      <c r="X106" s="11">
        <f>IF(AND(N106-'Outil Cibles'!$Z$7&lt;=60,N106-'Outil Cibles'!$Z$7&gt;=0), 'Outil Cibles'!$Z$17, 0)</f>
        <v>0</v>
      </c>
      <c r="Y106" s="11">
        <f t="shared" si="6"/>
        <v>32.614064734973979</v>
      </c>
    </row>
    <row r="107" spans="1:25" x14ac:dyDescent="0.3">
      <c r="A107">
        <v>2041</v>
      </c>
      <c r="B107" s="11">
        <f>IF(AND($A107-'Outil Cibles'!D$7&lt;=60,$A107-'Outil Cibles'!D$7&gt;=0), B$3, 0)</f>
        <v>8610.7328044003007</v>
      </c>
      <c r="C107" s="11">
        <f>IF(AND($A107-'Outil Cibles'!E$7&lt;=60,$A107-'Outil Cibles'!E$7&gt;=0), C$3, 0)</f>
        <v>7587.9930148218064</v>
      </c>
      <c r="D107" s="11">
        <f>IF(AND($A107-'Outil Cibles'!F$7&lt;=60,$A107-'Outil Cibles'!F$7&gt;=0), D$3, 0)</f>
        <v>6596.593651504264</v>
      </c>
      <c r="E107" s="11">
        <f>IF(AND($A107-'Outil Cibles'!G$7&lt;=60,$A107-'Outil Cibles'!G$7&gt;=0), E$3, 0)</f>
        <v>5382.3222388442455</v>
      </c>
      <c r="F107" s="11">
        <f>IF(AND($A107-'Outil Cibles'!H$7&lt;=60,$A107-'Outil Cibles'!H$7&gt;=0), F$3, 0)</f>
        <v>4697.4836188392801</v>
      </c>
      <c r="G107" s="11">
        <f>IF(AND($A107-'Outil Cibles'!I$7&lt;=60,$A107-'Outil Cibles'!I$7&gt;=0), G$3, 0)</f>
        <v>4250.0459859961411</v>
      </c>
      <c r="H107" s="11">
        <f>IF(AND($A107-'Outil Cibles'!J$7&lt;=60,$A107-'Outil Cibles'!J$7&gt;=0), H$3, 0)</f>
        <v>0</v>
      </c>
      <c r="I107" s="11">
        <f>IF(AND($A107-'Outil Cibles'!K$7&lt;=60,$A107-'Outil Cibles'!K$7&gt;=0), I$3, 0)</f>
        <v>0</v>
      </c>
      <c r="J107" s="11">
        <f>IF(AND($A107-'Outil Cibles'!L$7&lt;=60,$A107-'Outil Cibles'!L$7&gt;=0), J$3, 0)</f>
        <v>0</v>
      </c>
      <c r="K107" s="11">
        <f>IF(AND($A107-'Outil Cibles'!M$7&lt;=60,$A107-'Outil Cibles'!M$7&gt;=0), K$3, 0)</f>
        <v>0</v>
      </c>
      <c r="L107" s="11">
        <f t="shared" si="5"/>
        <v>37125.171314406034</v>
      </c>
      <c r="N107">
        <v>2041</v>
      </c>
      <c r="O107" s="11">
        <f>IF(AND(N107-'Outil Cibles'!$Q$7&lt;=60,N107-'Outil Cibles'!$Q$7&gt;=0), 'Outil Cibles'!$Q$17, 0)</f>
        <v>9.2209307000221994</v>
      </c>
      <c r="P107" s="11">
        <f>IF(AND(N107-'Outil Cibles'!$R$7&lt;=60,N107-'Outil Cibles'!$R$7&gt;=0), 'Outil Cibles'!$R$17, 0)</f>
        <v>7.8928860244932029</v>
      </c>
      <c r="Q107" s="11">
        <f>IF(AND(N107-'Outil Cibles'!$S$7&lt;=60,N107-'Outil Cibles'!$S$7&gt;=0), 'Outil Cibles'!$S$17, 0)</f>
        <v>5.7861034181094277</v>
      </c>
      <c r="R107" s="11">
        <f>IF(AND(N107-'Outil Cibles'!$T$7&lt;=60,N107-'Outil Cibles'!$T$7&gt;=0), 'Outil Cibles'!$T$17, 0)</f>
        <v>3.9285483356528981</v>
      </c>
      <c r="S107" s="11">
        <f>IF(AND(N107-'Outil Cibles'!$U$7&lt;=60,N107-'Outil Cibles'!$U$7&gt;=0), 'Outil Cibles'!$U$17, 0)</f>
        <v>3.1156336157567535</v>
      </c>
      <c r="T107" s="11">
        <f>IF(AND(N107-'Outil Cibles'!$V$7&lt;=60,N107-'Outil Cibles'!$V$7&gt;=0), 'Outil Cibles'!$V$17, 0)</f>
        <v>2.6699626409394961</v>
      </c>
      <c r="U107" s="11">
        <f>IF(AND(N107-'Outil Cibles'!$W$7&lt;=60,N107-'Outil Cibles'!$W$7&gt;=0), 'Outil Cibles'!$W$17, 0)</f>
        <v>0</v>
      </c>
      <c r="V107" s="11">
        <f>IF(AND(N107-'Outil Cibles'!$X$7&lt;=60,N107-'Outil Cibles'!$X$7&gt;=0), 'Outil Cibles'!$X$17, 0)</f>
        <v>0</v>
      </c>
      <c r="W107" s="11">
        <f>IF(AND(N107-'Outil Cibles'!$Y$7&lt;=60,N107-'Outil Cibles'!$Y$7&gt;=0), 'Outil Cibles'!$Y$17, 0)</f>
        <v>0</v>
      </c>
      <c r="X107" s="11">
        <f>IF(AND(N107-'Outil Cibles'!$Z$7&lt;=60,N107-'Outil Cibles'!$Z$7&gt;=0), 'Outil Cibles'!$Z$17, 0)</f>
        <v>0</v>
      </c>
      <c r="Y107" s="11">
        <f t="shared" si="6"/>
        <v>32.614064734973979</v>
      </c>
    </row>
    <row r="108" spans="1:25" x14ac:dyDescent="0.3">
      <c r="A108">
        <v>2042</v>
      </c>
      <c r="B108" s="11">
        <f>IF(AND($A108-'Outil Cibles'!D$7&lt;=60,$A108-'Outil Cibles'!D$7&gt;=0), B$3, 0)</f>
        <v>8610.7328044003007</v>
      </c>
      <c r="C108" s="11">
        <f>IF(AND($A108-'Outil Cibles'!E$7&lt;=60,$A108-'Outil Cibles'!E$7&gt;=0), C$3, 0)</f>
        <v>7587.9930148218064</v>
      </c>
      <c r="D108" s="11">
        <f>IF(AND($A108-'Outil Cibles'!F$7&lt;=60,$A108-'Outil Cibles'!F$7&gt;=0), D$3, 0)</f>
        <v>6596.593651504264</v>
      </c>
      <c r="E108" s="11">
        <f>IF(AND($A108-'Outil Cibles'!G$7&lt;=60,$A108-'Outil Cibles'!G$7&gt;=0), E$3, 0)</f>
        <v>5382.3222388442455</v>
      </c>
      <c r="F108" s="11">
        <f>IF(AND($A108-'Outil Cibles'!H$7&lt;=60,$A108-'Outil Cibles'!H$7&gt;=0), F$3, 0)</f>
        <v>4697.4836188392801</v>
      </c>
      <c r="G108" s="11">
        <f>IF(AND($A108-'Outil Cibles'!I$7&lt;=60,$A108-'Outil Cibles'!I$7&gt;=0), G$3, 0)</f>
        <v>4250.0459859961411</v>
      </c>
      <c r="H108" s="11">
        <f>IF(AND($A108-'Outil Cibles'!J$7&lt;=60,$A108-'Outil Cibles'!J$7&gt;=0), H$3, 0)</f>
        <v>3878.1564147749818</v>
      </c>
      <c r="I108" s="11">
        <f>IF(AND($A108-'Outil Cibles'!K$7&lt;=60,$A108-'Outil Cibles'!K$7&gt;=0), I$3, 0)</f>
        <v>0</v>
      </c>
      <c r="J108" s="11">
        <f>IF(AND($A108-'Outil Cibles'!L$7&lt;=60,$A108-'Outil Cibles'!L$7&gt;=0), J$3, 0)</f>
        <v>0</v>
      </c>
      <c r="K108" s="11">
        <f>IF(AND($A108-'Outil Cibles'!M$7&lt;=60,$A108-'Outil Cibles'!M$7&gt;=0), K$3, 0)</f>
        <v>0</v>
      </c>
      <c r="L108" s="11">
        <f t="shared" si="5"/>
        <v>41003.327729181015</v>
      </c>
      <c r="N108">
        <v>2042</v>
      </c>
      <c r="O108" s="11">
        <f>IF(AND(N108-'Outil Cibles'!$Q$7&lt;=60,N108-'Outil Cibles'!$Q$7&gt;=0), 'Outil Cibles'!$Q$17, 0)</f>
        <v>9.2209307000221994</v>
      </c>
      <c r="P108" s="11">
        <f>IF(AND(N108-'Outil Cibles'!$R$7&lt;=60,N108-'Outil Cibles'!$R$7&gt;=0), 'Outil Cibles'!$R$17, 0)</f>
        <v>7.8928860244932029</v>
      </c>
      <c r="Q108" s="11">
        <f>IF(AND(N108-'Outil Cibles'!$S$7&lt;=60,N108-'Outil Cibles'!$S$7&gt;=0), 'Outil Cibles'!$S$17, 0)</f>
        <v>5.7861034181094277</v>
      </c>
      <c r="R108" s="11">
        <f>IF(AND(N108-'Outil Cibles'!$T$7&lt;=60,N108-'Outil Cibles'!$T$7&gt;=0), 'Outil Cibles'!$T$17, 0)</f>
        <v>3.9285483356528981</v>
      </c>
      <c r="S108" s="11">
        <f>IF(AND(N108-'Outil Cibles'!$U$7&lt;=60,N108-'Outil Cibles'!$U$7&gt;=0), 'Outil Cibles'!$U$17, 0)</f>
        <v>3.1156336157567535</v>
      </c>
      <c r="T108" s="11">
        <f>IF(AND(N108-'Outil Cibles'!$V$7&lt;=60,N108-'Outil Cibles'!$V$7&gt;=0), 'Outil Cibles'!$V$17, 0)</f>
        <v>2.6699626409394961</v>
      </c>
      <c r="U108" s="11">
        <f>IF(AND(N108-'Outil Cibles'!$W$7&lt;=60,N108-'Outil Cibles'!$W$7&gt;=0), 'Outil Cibles'!$W$17, 0)</f>
        <v>2.2883803860824354</v>
      </c>
      <c r="V108" s="11">
        <f>IF(AND(N108-'Outil Cibles'!$X$7&lt;=60,N108-'Outil Cibles'!$X$7&gt;=0), 'Outil Cibles'!$X$17, 0)</f>
        <v>0</v>
      </c>
      <c r="W108" s="11">
        <f>IF(AND(N108-'Outil Cibles'!$Y$7&lt;=60,N108-'Outil Cibles'!$Y$7&gt;=0), 'Outil Cibles'!$Y$17, 0)</f>
        <v>0</v>
      </c>
      <c r="X108" s="11">
        <f>IF(AND(N108-'Outil Cibles'!$Z$7&lt;=60,N108-'Outil Cibles'!$Z$7&gt;=0), 'Outil Cibles'!$Z$17, 0)</f>
        <v>0</v>
      </c>
      <c r="Y108" s="11">
        <f t="shared" si="6"/>
        <v>34.902445121056417</v>
      </c>
    </row>
    <row r="109" spans="1:25" x14ac:dyDescent="0.3">
      <c r="A109">
        <v>2043</v>
      </c>
      <c r="B109" s="11">
        <f>IF(AND($A109-'Outil Cibles'!D$7&lt;=60,$A109-'Outil Cibles'!D$7&gt;=0), B$3, 0)</f>
        <v>8610.7328044003007</v>
      </c>
      <c r="C109" s="11">
        <f>IF(AND($A109-'Outil Cibles'!E$7&lt;=60,$A109-'Outil Cibles'!E$7&gt;=0), C$3, 0)</f>
        <v>7587.9930148218064</v>
      </c>
      <c r="D109" s="11">
        <f>IF(AND($A109-'Outil Cibles'!F$7&lt;=60,$A109-'Outil Cibles'!F$7&gt;=0), D$3, 0)</f>
        <v>6596.593651504264</v>
      </c>
      <c r="E109" s="11">
        <f>IF(AND($A109-'Outil Cibles'!G$7&lt;=60,$A109-'Outil Cibles'!G$7&gt;=0), E$3, 0)</f>
        <v>5382.3222388442455</v>
      </c>
      <c r="F109" s="11">
        <f>IF(AND($A109-'Outil Cibles'!H$7&lt;=60,$A109-'Outil Cibles'!H$7&gt;=0), F$3, 0)</f>
        <v>4697.4836188392801</v>
      </c>
      <c r="G109" s="11">
        <f>IF(AND($A109-'Outil Cibles'!I$7&lt;=60,$A109-'Outil Cibles'!I$7&gt;=0), G$3, 0)</f>
        <v>4250.0459859961411</v>
      </c>
      <c r="H109" s="11">
        <f>IF(AND($A109-'Outil Cibles'!J$7&lt;=60,$A109-'Outil Cibles'!J$7&gt;=0), H$3, 0)</f>
        <v>3878.1564147749818</v>
      </c>
      <c r="I109" s="11">
        <f>IF(AND($A109-'Outil Cibles'!K$7&lt;=60,$A109-'Outil Cibles'!K$7&gt;=0), I$3, 0)</f>
        <v>0</v>
      </c>
      <c r="J109" s="11">
        <f>IF(AND($A109-'Outil Cibles'!L$7&lt;=60,$A109-'Outil Cibles'!L$7&gt;=0), J$3, 0)</f>
        <v>0</v>
      </c>
      <c r="K109" s="11">
        <f>IF(AND($A109-'Outil Cibles'!M$7&lt;=60,$A109-'Outil Cibles'!M$7&gt;=0), K$3, 0)</f>
        <v>0</v>
      </c>
      <c r="L109" s="11">
        <f t="shared" si="5"/>
        <v>41003.327729181015</v>
      </c>
      <c r="N109">
        <v>2043</v>
      </c>
      <c r="O109" s="11">
        <f>IF(AND(N109-'Outil Cibles'!$Q$7&lt;=60,N109-'Outil Cibles'!$Q$7&gt;=0), 'Outil Cibles'!$Q$17, 0)</f>
        <v>9.2209307000221994</v>
      </c>
      <c r="P109" s="11">
        <f>IF(AND(N109-'Outil Cibles'!$R$7&lt;=60,N109-'Outil Cibles'!$R$7&gt;=0), 'Outil Cibles'!$R$17, 0)</f>
        <v>7.8928860244932029</v>
      </c>
      <c r="Q109" s="11">
        <f>IF(AND(N109-'Outil Cibles'!$S$7&lt;=60,N109-'Outil Cibles'!$S$7&gt;=0), 'Outil Cibles'!$S$17, 0)</f>
        <v>5.7861034181094277</v>
      </c>
      <c r="R109" s="11">
        <f>IF(AND(N109-'Outil Cibles'!$T$7&lt;=60,N109-'Outil Cibles'!$T$7&gt;=0), 'Outil Cibles'!$T$17, 0)</f>
        <v>3.9285483356528981</v>
      </c>
      <c r="S109" s="11">
        <f>IF(AND(N109-'Outil Cibles'!$U$7&lt;=60,N109-'Outil Cibles'!$U$7&gt;=0), 'Outil Cibles'!$U$17, 0)</f>
        <v>3.1156336157567535</v>
      </c>
      <c r="T109" s="11">
        <f>IF(AND(N109-'Outil Cibles'!$V$7&lt;=60,N109-'Outil Cibles'!$V$7&gt;=0), 'Outil Cibles'!$V$17, 0)</f>
        <v>2.6699626409394961</v>
      </c>
      <c r="U109" s="11">
        <f>IF(AND(N109-'Outil Cibles'!$W$7&lt;=60,N109-'Outil Cibles'!$W$7&gt;=0), 'Outil Cibles'!$W$17, 0)</f>
        <v>2.2883803860824354</v>
      </c>
      <c r="V109" s="11">
        <f>IF(AND(N109-'Outil Cibles'!$X$7&lt;=60,N109-'Outil Cibles'!$X$7&gt;=0), 'Outil Cibles'!$X$17, 0)</f>
        <v>0</v>
      </c>
      <c r="W109" s="11">
        <f>IF(AND(N109-'Outil Cibles'!$Y$7&lt;=60,N109-'Outil Cibles'!$Y$7&gt;=0), 'Outil Cibles'!$Y$17, 0)</f>
        <v>0</v>
      </c>
      <c r="X109" s="11">
        <f>IF(AND(N109-'Outil Cibles'!$Z$7&lt;=60,N109-'Outil Cibles'!$Z$7&gt;=0), 'Outil Cibles'!$Z$17, 0)</f>
        <v>0</v>
      </c>
      <c r="Y109" s="11">
        <f t="shared" si="6"/>
        <v>34.902445121056417</v>
      </c>
    </row>
    <row r="110" spans="1:25" x14ac:dyDescent="0.3">
      <c r="A110">
        <v>2044</v>
      </c>
      <c r="B110" s="11">
        <f>IF(AND($A110-'Outil Cibles'!D$7&lt;=60,$A110-'Outil Cibles'!D$7&gt;=0), B$3, 0)</f>
        <v>8610.7328044003007</v>
      </c>
      <c r="C110" s="11">
        <f>IF(AND($A110-'Outil Cibles'!E$7&lt;=60,$A110-'Outil Cibles'!E$7&gt;=0), C$3, 0)</f>
        <v>7587.9930148218064</v>
      </c>
      <c r="D110" s="11">
        <f>IF(AND($A110-'Outil Cibles'!F$7&lt;=60,$A110-'Outil Cibles'!F$7&gt;=0), D$3, 0)</f>
        <v>6596.593651504264</v>
      </c>
      <c r="E110" s="11">
        <f>IF(AND($A110-'Outil Cibles'!G$7&lt;=60,$A110-'Outil Cibles'!G$7&gt;=0), E$3, 0)</f>
        <v>5382.3222388442455</v>
      </c>
      <c r="F110" s="11">
        <f>IF(AND($A110-'Outil Cibles'!H$7&lt;=60,$A110-'Outil Cibles'!H$7&gt;=0), F$3, 0)</f>
        <v>4697.4836188392801</v>
      </c>
      <c r="G110" s="11">
        <f>IF(AND($A110-'Outil Cibles'!I$7&lt;=60,$A110-'Outil Cibles'!I$7&gt;=0), G$3, 0)</f>
        <v>4250.0459859961411</v>
      </c>
      <c r="H110" s="11">
        <f>IF(AND($A110-'Outil Cibles'!J$7&lt;=60,$A110-'Outil Cibles'!J$7&gt;=0), H$3, 0)</f>
        <v>3878.1564147749818</v>
      </c>
      <c r="I110" s="11">
        <f>IF(AND($A110-'Outil Cibles'!K$7&lt;=60,$A110-'Outil Cibles'!K$7&gt;=0), I$3, 0)</f>
        <v>3570.0965271108435</v>
      </c>
      <c r="J110" s="11">
        <f>IF(AND($A110-'Outil Cibles'!L$7&lt;=60,$A110-'Outil Cibles'!L$7&gt;=0), J$3, 0)</f>
        <v>0</v>
      </c>
      <c r="K110" s="11">
        <f>IF(AND($A110-'Outil Cibles'!M$7&lt;=60,$A110-'Outil Cibles'!M$7&gt;=0), K$3, 0)</f>
        <v>0</v>
      </c>
      <c r="L110" s="11">
        <f t="shared" si="5"/>
        <v>44573.424256291859</v>
      </c>
      <c r="N110">
        <v>2044</v>
      </c>
      <c r="O110" s="11">
        <f>IF(AND(N110-'Outil Cibles'!$Q$7&lt;=60,N110-'Outil Cibles'!$Q$7&gt;=0), 'Outil Cibles'!$Q$17, 0)</f>
        <v>9.2209307000221994</v>
      </c>
      <c r="P110" s="11">
        <f>IF(AND(N110-'Outil Cibles'!$R$7&lt;=60,N110-'Outil Cibles'!$R$7&gt;=0), 'Outil Cibles'!$R$17, 0)</f>
        <v>7.8928860244932029</v>
      </c>
      <c r="Q110" s="11">
        <f>IF(AND(N110-'Outil Cibles'!$S$7&lt;=60,N110-'Outil Cibles'!$S$7&gt;=0), 'Outil Cibles'!$S$17, 0)</f>
        <v>5.7861034181094277</v>
      </c>
      <c r="R110" s="11">
        <f>IF(AND(N110-'Outil Cibles'!$T$7&lt;=60,N110-'Outil Cibles'!$T$7&gt;=0), 'Outil Cibles'!$T$17, 0)</f>
        <v>3.9285483356528981</v>
      </c>
      <c r="S110" s="11">
        <f>IF(AND(N110-'Outil Cibles'!$U$7&lt;=60,N110-'Outil Cibles'!$U$7&gt;=0), 'Outil Cibles'!$U$17, 0)</f>
        <v>3.1156336157567535</v>
      </c>
      <c r="T110" s="11">
        <f>IF(AND(N110-'Outil Cibles'!$V$7&lt;=60,N110-'Outil Cibles'!$V$7&gt;=0), 'Outil Cibles'!$V$17, 0)</f>
        <v>2.6699626409394961</v>
      </c>
      <c r="U110" s="11">
        <f>IF(AND(N110-'Outil Cibles'!$W$7&lt;=60,N110-'Outil Cibles'!$W$7&gt;=0), 'Outil Cibles'!$W$17, 0)</f>
        <v>2.2883803860824354</v>
      </c>
      <c r="V110" s="11">
        <f>IF(AND(N110-'Outil Cibles'!$X$7&lt;=60,N110-'Outil Cibles'!$X$7&gt;=0), 'Outil Cibles'!$X$17, 0)</f>
        <v>1.9616157649480985</v>
      </c>
      <c r="W110" s="11">
        <f>IF(AND(N110-'Outil Cibles'!$Y$7&lt;=60,N110-'Outil Cibles'!$Y$7&gt;=0), 'Outil Cibles'!$Y$17, 0)</f>
        <v>0</v>
      </c>
      <c r="X110" s="11">
        <f>IF(AND(N110-'Outil Cibles'!$Z$7&lt;=60,N110-'Outil Cibles'!$Z$7&gt;=0), 'Outil Cibles'!$Z$17, 0)</f>
        <v>0</v>
      </c>
      <c r="Y110" s="11">
        <f t="shared" si="6"/>
        <v>36.864060886004516</v>
      </c>
    </row>
    <row r="111" spans="1:25" x14ac:dyDescent="0.3">
      <c r="A111" s="10">
        <v>2045</v>
      </c>
      <c r="B111" s="11">
        <f>IF(AND($A111-'Outil Cibles'!D$7&lt;=60,$A111-'Outil Cibles'!D$7&gt;=0), B$3, 0)</f>
        <v>8610.7328044003007</v>
      </c>
      <c r="C111" s="11">
        <f>IF(AND($A111-'Outil Cibles'!E$7&lt;=60,$A111-'Outil Cibles'!E$7&gt;=0), C$3, 0)</f>
        <v>7587.9930148218064</v>
      </c>
      <c r="D111" s="11">
        <f>IF(AND($A111-'Outil Cibles'!F$7&lt;=60,$A111-'Outil Cibles'!F$7&gt;=0), D$3, 0)</f>
        <v>6596.593651504264</v>
      </c>
      <c r="E111" s="11">
        <f>IF(AND($A111-'Outil Cibles'!G$7&lt;=60,$A111-'Outil Cibles'!G$7&gt;=0), E$3, 0)</f>
        <v>5382.3222388442455</v>
      </c>
      <c r="F111" s="11">
        <f>IF(AND($A111-'Outil Cibles'!H$7&lt;=60,$A111-'Outil Cibles'!H$7&gt;=0), F$3, 0)</f>
        <v>4697.4836188392801</v>
      </c>
      <c r="G111" s="11">
        <f>IF(AND($A111-'Outil Cibles'!I$7&lt;=60,$A111-'Outil Cibles'!I$7&gt;=0), G$3, 0)</f>
        <v>4250.0459859961411</v>
      </c>
      <c r="H111" s="11">
        <f>IF(AND($A111-'Outil Cibles'!J$7&lt;=60,$A111-'Outil Cibles'!J$7&gt;=0), H$3, 0)</f>
        <v>3878.1564147749818</v>
      </c>
      <c r="I111" s="11">
        <f>IF(AND($A111-'Outil Cibles'!K$7&lt;=60,$A111-'Outil Cibles'!K$7&gt;=0), I$3, 0)</f>
        <v>3570.0965271108435</v>
      </c>
      <c r="J111" s="11">
        <f>IF(AND($A111-'Outil Cibles'!L$7&lt;=60,$A111-'Outil Cibles'!L$7&gt;=0), J$3, 0)</f>
        <v>0</v>
      </c>
      <c r="K111" s="11">
        <f>IF(AND($A111-'Outil Cibles'!M$7&lt;=60,$A111-'Outil Cibles'!M$7&gt;=0), K$3, 0)</f>
        <v>0</v>
      </c>
      <c r="L111" s="11">
        <f t="shared" si="5"/>
        <v>44573.424256291859</v>
      </c>
      <c r="N111" s="10">
        <v>2045</v>
      </c>
      <c r="O111" s="11">
        <f>IF(AND(N111-'Outil Cibles'!$Q$7&lt;=60,N111-'Outil Cibles'!$Q$7&gt;=0), 'Outil Cibles'!$Q$17, 0)</f>
        <v>9.2209307000221994</v>
      </c>
      <c r="P111" s="11">
        <f>IF(AND(N111-'Outil Cibles'!$R$7&lt;=60,N111-'Outil Cibles'!$R$7&gt;=0), 'Outil Cibles'!$R$17, 0)</f>
        <v>7.8928860244932029</v>
      </c>
      <c r="Q111" s="11">
        <f>IF(AND(N111-'Outil Cibles'!$S$7&lt;=60,N111-'Outil Cibles'!$S$7&gt;=0), 'Outil Cibles'!$S$17, 0)</f>
        <v>5.7861034181094277</v>
      </c>
      <c r="R111" s="11">
        <f>IF(AND(N111-'Outil Cibles'!$T$7&lt;=60,N111-'Outil Cibles'!$T$7&gt;=0), 'Outil Cibles'!$T$17, 0)</f>
        <v>3.9285483356528981</v>
      </c>
      <c r="S111" s="11">
        <f>IF(AND(N111-'Outil Cibles'!$U$7&lt;=60,N111-'Outil Cibles'!$U$7&gt;=0), 'Outil Cibles'!$U$17, 0)</f>
        <v>3.1156336157567535</v>
      </c>
      <c r="T111" s="11">
        <f>IF(AND(N111-'Outil Cibles'!$V$7&lt;=60,N111-'Outil Cibles'!$V$7&gt;=0), 'Outil Cibles'!$V$17, 0)</f>
        <v>2.6699626409394961</v>
      </c>
      <c r="U111" s="11">
        <f>IF(AND(N111-'Outil Cibles'!$W$7&lt;=60,N111-'Outil Cibles'!$W$7&gt;=0), 'Outil Cibles'!$W$17, 0)</f>
        <v>2.2883803860824354</v>
      </c>
      <c r="V111" s="11">
        <f>IF(AND(N111-'Outil Cibles'!$X$7&lt;=60,N111-'Outil Cibles'!$X$7&gt;=0), 'Outil Cibles'!$X$17, 0)</f>
        <v>1.9616157649480985</v>
      </c>
      <c r="W111" s="11">
        <f>IF(AND(N111-'Outil Cibles'!$Y$7&lt;=60,N111-'Outil Cibles'!$Y$7&gt;=0), 'Outil Cibles'!$Y$17, 0)</f>
        <v>0</v>
      </c>
      <c r="X111" s="11">
        <f>IF(AND(N111-'Outil Cibles'!$Z$7&lt;=60,N111-'Outil Cibles'!$Z$7&gt;=0), 'Outil Cibles'!$Z$17, 0)</f>
        <v>0</v>
      </c>
      <c r="Y111" s="11">
        <f t="shared" si="6"/>
        <v>36.864060886004516</v>
      </c>
    </row>
    <row r="112" spans="1:25" x14ac:dyDescent="0.3">
      <c r="A112">
        <v>2046</v>
      </c>
      <c r="B112" s="11">
        <f>IF(AND($A112-'Outil Cibles'!D$7&lt;=60,$A112-'Outil Cibles'!D$7&gt;=0), B$3, 0)</f>
        <v>8610.7328044003007</v>
      </c>
      <c r="C112" s="11">
        <f>IF(AND($A112-'Outil Cibles'!E$7&lt;=60,$A112-'Outil Cibles'!E$7&gt;=0), C$3, 0)</f>
        <v>7587.9930148218064</v>
      </c>
      <c r="D112" s="11">
        <f>IF(AND($A112-'Outil Cibles'!F$7&lt;=60,$A112-'Outil Cibles'!F$7&gt;=0), D$3, 0)</f>
        <v>6596.593651504264</v>
      </c>
      <c r="E112" s="11">
        <f>IF(AND($A112-'Outil Cibles'!G$7&lt;=60,$A112-'Outil Cibles'!G$7&gt;=0), E$3, 0)</f>
        <v>5382.3222388442455</v>
      </c>
      <c r="F112" s="11">
        <f>IF(AND($A112-'Outil Cibles'!H$7&lt;=60,$A112-'Outil Cibles'!H$7&gt;=0), F$3, 0)</f>
        <v>4697.4836188392801</v>
      </c>
      <c r="G112" s="11">
        <f>IF(AND($A112-'Outil Cibles'!I$7&lt;=60,$A112-'Outil Cibles'!I$7&gt;=0), G$3, 0)</f>
        <v>4250.0459859961411</v>
      </c>
      <c r="H112" s="11">
        <f>IF(AND($A112-'Outil Cibles'!J$7&lt;=60,$A112-'Outil Cibles'!J$7&gt;=0), H$3, 0)</f>
        <v>3878.1564147749818</v>
      </c>
      <c r="I112" s="11">
        <f>IF(AND($A112-'Outil Cibles'!K$7&lt;=60,$A112-'Outil Cibles'!K$7&gt;=0), I$3, 0)</f>
        <v>3570.0965271108435</v>
      </c>
      <c r="J112" s="11">
        <f>IF(AND($A112-'Outil Cibles'!L$7&lt;=60,$A112-'Outil Cibles'!L$7&gt;=0), J$3, 0)</f>
        <v>0</v>
      </c>
      <c r="K112" s="11">
        <f>IF(AND($A112-'Outil Cibles'!M$7&lt;=60,$A112-'Outil Cibles'!M$7&gt;=0), K$3, 0)</f>
        <v>0</v>
      </c>
      <c r="L112" s="11">
        <f t="shared" si="5"/>
        <v>44573.424256291859</v>
      </c>
      <c r="N112">
        <v>2046</v>
      </c>
      <c r="O112" s="11">
        <f>IF(AND(N112-'Outil Cibles'!$Q$7&lt;=60,N112-'Outil Cibles'!$Q$7&gt;=0), 'Outil Cibles'!$Q$17, 0)</f>
        <v>9.2209307000221994</v>
      </c>
      <c r="P112" s="11">
        <f>IF(AND(N112-'Outil Cibles'!$R$7&lt;=60,N112-'Outil Cibles'!$R$7&gt;=0), 'Outil Cibles'!$R$17, 0)</f>
        <v>7.8928860244932029</v>
      </c>
      <c r="Q112" s="11">
        <f>IF(AND(N112-'Outil Cibles'!$S$7&lt;=60,N112-'Outil Cibles'!$S$7&gt;=0), 'Outil Cibles'!$S$17, 0)</f>
        <v>5.7861034181094277</v>
      </c>
      <c r="R112" s="11">
        <f>IF(AND(N112-'Outil Cibles'!$T$7&lt;=60,N112-'Outil Cibles'!$T$7&gt;=0), 'Outil Cibles'!$T$17, 0)</f>
        <v>3.9285483356528981</v>
      </c>
      <c r="S112" s="11">
        <f>IF(AND(N112-'Outil Cibles'!$U$7&lt;=60,N112-'Outil Cibles'!$U$7&gt;=0), 'Outil Cibles'!$U$17, 0)</f>
        <v>3.1156336157567535</v>
      </c>
      <c r="T112" s="11">
        <f>IF(AND(N112-'Outil Cibles'!$V$7&lt;=60,N112-'Outil Cibles'!$V$7&gt;=0), 'Outil Cibles'!$V$17, 0)</f>
        <v>2.6699626409394961</v>
      </c>
      <c r="U112" s="11">
        <f>IF(AND(N112-'Outil Cibles'!$W$7&lt;=60,N112-'Outil Cibles'!$W$7&gt;=0), 'Outil Cibles'!$W$17, 0)</f>
        <v>2.2883803860824354</v>
      </c>
      <c r="V112" s="11">
        <f>IF(AND(N112-'Outil Cibles'!$X$7&lt;=60,N112-'Outil Cibles'!$X$7&gt;=0), 'Outil Cibles'!$X$17, 0)</f>
        <v>1.9616157649480985</v>
      </c>
      <c r="W112" s="11">
        <f>IF(AND(N112-'Outil Cibles'!$Y$7&lt;=60,N112-'Outil Cibles'!$Y$7&gt;=0), 'Outil Cibles'!$Y$17, 0)</f>
        <v>0</v>
      </c>
      <c r="X112" s="11">
        <f>IF(AND(N112-'Outil Cibles'!$Z$7&lt;=60,N112-'Outil Cibles'!$Z$7&gt;=0), 'Outil Cibles'!$Z$17, 0)</f>
        <v>0</v>
      </c>
      <c r="Y112" s="11">
        <f t="shared" si="6"/>
        <v>36.864060886004516</v>
      </c>
    </row>
    <row r="113" spans="1:25" x14ac:dyDescent="0.3">
      <c r="A113">
        <v>2047</v>
      </c>
      <c r="B113" s="11">
        <f>IF(AND($A113-'Outil Cibles'!D$7&lt;=60,$A113-'Outil Cibles'!D$7&gt;=0), B$3, 0)</f>
        <v>8610.7328044003007</v>
      </c>
      <c r="C113" s="11">
        <f>IF(AND($A113-'Outil Cibles'!E$7&lt;=60,$A113-'Outil Cibles'!E$7&gt;=0), C$3, 0)</f>
        <v>7587.9930148218064</v>
      </c>
      <c r="D113" s="11">
        <f>IF(AND($A113-'Outil Cibles'!F$7&lt;=60,$A113-'Outil Cibles'!F$7&gt;=0), D$3, 0)</f>
        <v>6596.593651504264</v>
      </c>
      <c r="E113" s="11">
        <f>IF(AND($A113-'Outil Cibles'!G$7&lt;=60,$A113-'Outil Cibles'!G$7&gt;=0), E$3, 0)</f>
        <v>5382.3222388442455</v>
      </c>
      <c r="F113" s="11">
        <f>IF(AND($A113-'Outil Cibles'!H$7&lt;=60,$A113-'Outil Cibles'!H$7&gt;=0), F$3, 0)</f>
        <v>4697.4836188392801</v>
      </c>
      <c r="G113" s="11">
        <f>IF(AND($A113-'Outil Cibles'!I$7&lt;=60,$A113-'Outil Cibles'!I$7&gt;=0), G$3, 0)</f>
        <v>4250.0459859961411</v>
      </c>
      <c r="H113" s="11">
        <f>IF(AND($A113-'Outil Cibles'!J$7&lt;=60,$A113-'Outil Cibles'!J$7&gt;=0), H$3, 0)</f>
        <v>3878.1564147749818</v>
      </c>
      <c r="I113" s="11">
        <f>IF(AND($A113-'Outil Cibles'!K$7&lt;=60,$A113-'Outil Cibles'!K$7&gt;=0), I$3, 0)</f>
        <v>3570.0965271108435</v>
      </c>
      <c r="J113" s="11">
        <f>IF(AND($A113-'Outil Cibles'!L$7&lt;=60,$A113-'Outil Cibles'!L$7&gt;=0), J$3, 0)</f>
        <v>0</v>
      </c>
      <c r="K113" s="11">
        <f>IF(AND($A113-'Outil Cibles'!M$7&lt;=60,$A113-'Outil Cibles'!M$7&gt;=0), K$3, 0)</f>
        <v>0</v>
      </c>
      <c r="L113" s="11">
        <f t="shared" si="5"/>
        <v>44573.424256291859</v>
      </c>
      <c r="N113">
        <v>2047</v>
      </c>
      <c r="O113" s="11">
        <f>IF(AND(N113-'Outil Cibles'!$Q$7&lt;=60,N113-'Outil Cibles'!$Q$7&gt;=0), 'Outil Cibles'!$Q$17, 0)</f>
        <v>9.2209307000221994</v>
      </c>
      <c r="P113" s="11">
        <f>IF(AND(N113-'Outil Cibles'!$R$7&lt;=60,N113-'Outil Cibles'!$R$7&gt;=0), 'Outil Cibles'!$R$17, 0)</f>
        <v>7.8928860244932029</v>
      </c>
      <c r="Q113" s="11">
        <f>IF(AND(N113-'Outil Cibles'!$S$7&lt;=60,N113-'Outil Cibles'!$S$7&gt;=0), 'Outil Cibles'!$S$17, 0)</f>
        <v>5.7861034181094277</v>
      </c>
      <c r="R113" s="11">
        <f>IF(AND(N113-'Outil Cibles'!$T$7&lt;=60,N113-'Outil Cibles'!$T$7&gt;=0), 'Outil Cibles'!$T$17, 0)</f>
        <v>3.9285483356528981</v>
      </c>
      <c r="S113" s="11">
        <f>IF(AND(N113-'Outil Cibles'!$U$7&lt;=60,N113-'Outil Cibles'!$U$7&gt;=0), 'Outil Cibles'!$U$17, 0)</f>
        <v>3.1156336157567535</v>
      </c>
      <c r="T113" s="11">
        <f>IF(AND(N113-'Outil Cibles'!$V$7&lt;=60,N113-'Outil Cibles'!$V$7&gt;=0), 'Outil Cibles'!$V$17, 0)</f>
        <v>2.6699626409394961</v>
      </c>
      <c r="U113" s="11">
        <f>IF(AND(N113-'Outil Cibles'!$W$7&lt;=60,N113-'Outil Cibles'!$W$7&gt;=0), 'Outil Cibles'!$W$17, 0)</f>
        <v>2.2883803860824354</v>
      </c>
      <c r="V113" s="11">
        <f>IF(AND(N113-'Outil Cibles'!$X$7&lt;=60,N113-'Outil Cibles'!$X$7&gt;=0), 'Outil Cibles'!$X$17, 0)</f>
        <v>1.9616157649480985</v>
      </c>
      <c r="W113" s="11">
        <f>IF(AND(N113-'Outil Cibles'!$Y$7&lt;=60,N113-'Outil Cibles'!$Y$7&gt;=0), 'Outil Cibles'!$Y$17, 0)</f>
        <v>0</v>
      </c>
      <c r="X113" s="11">
        <f>IF(AND(N113-'Outil Cibles'!$Z$7&lt;=60,N113-'Outil Cibles'!$Z$7&gt;=0), 'Outil Cibles'!$Z$17, 0)</f>
        <v>0</v>
      </c>
      <c r="Y113" s="11">
        <f t="shared" si="6"/>
        <v>36.864060886004516</v>
      </c>
    </row>
    <row r="114" spans="1:25" x14ac:dyDescent="0.3">
      <c r="A114">
        <v>2048</v>
      </c>
      <c r="B114" s="11">
        <f>IF(AND($A114-'Outil Cibles'!D$7&lt;=60,$A114-'Outil Cibles'!D$7&gt;=0), B$3, 0)</f>
        <v>8610.7328044003007</v>
      </c>
      <c r="C114" s="11">
        <f>IF(AND($A114-'Outil Cibles'!E$7&lt;=60,$A114-'Outil Cibles'!E$7&gt;=0), C$3, 0)</f>
        <v>7587.9930148218064</v>
      </c>
      <c r="D114" s="11">
        <f>IF(AND($A114-'Outil Cibles'!F$7&lt;=60,$A114-'Outil Cibles'!F$7&gt;=0), D$3, 0)</f>
        <v>6596.593651504264</v>
      </c>
      <c r="E114" s="11">
        <f>IF(AND($A114-'Outil Cibles'!G$7&lt;=60,$A114-'Outil Cibles'!G$7&gt;=0), E$3, 0)</f>
        <v>5382.3222388442455</v>
      </c>
      <c r="F114" s="11">
        <f>IF(AND($A114-'Outil Cibles'!H$7&lt;=60,$A114-'Outil Cibles'!H$7&gt;=0), F$3, 0)</f>
        <v>4697.4836188392801</v>
      </c>
      <c r="G114" s="11">
        <f>IF(AND($A114-'Outil Cibles'!I$7&lt;=60,$A114-'Outil Cibles'!I$7&gt;=0), G$3, 0)</f>
        <v>4250.0459859961411</v>
      </c>
      <c r="H114" s="11">
        <f>IF(AND($A114-'Outil Cibles'!J$7&lt;=60,$A114-'Outil Cibles'!J$7&gt;=0), H$3, 0)</f>
        <v>3878.1564147749818</v>
      </c>
      <c r="I114" s="11">
        <f>IF(AND($A114-'Outil Cibles'!K$7&lt;=60,$A114-'Outil Cibles'!K$7&gt;=0), I$3, 0)</f>
        <v>3570.0965271108435</v>
      </c>
      <c r="J114" s="11">
        <f>IF(AND($A114-'Outil Cibles'!L$7&lt;=60,$A114-'Outil Cibles'!L$7&gt;=0), J$3, 0)</f>
        <v>2636.2497724001519</v>
      </c>
      <c r="K114" s="11">
        <f>IF(AND($A114-'Outil Cibles'!M$7&lt;=60,$A114-'Outil Cibles'!M$7&gt;=0), K$3, 0)</f>
        <v>0</v>
      </c>
      <c r="L114" s="11">
        <f t="shared" si="5"/>
        <v>47209.67402869201</v>
      </c>
      <c r="N114">
        <v>2048</v>
      </c>
      <c r="O114" s="11">
        <f>IF(AND(N114-'Outil Cibles'!$Q$7&lt;=60,N114-'Outil Cibles'!$Q$7&gt;=0), 'Outil Cibles'!$Q$17, 0)</f>
        <v>9.2209307000221994</v>
      </c>
      <c r="P114" s="11">
        <f>IF(AND(N114-'Outil Cibles'!$R$7&lt;=60,N114-'Outil Cibles'!$R$7&gt;=0), 'Outil Cibles'!$R$17, 0)</f>
        <v>7.8928860244932029</v>
      </c>
      <c r="Q114" s="11">
        <f>IF(AND(N114-'Outil Cibles'!$S$7&lt;=60,N114-'Outil Cibles'!$S$7&gt;=0), 'Outil Cibles'!$S$17, 0)</f>
        <v>5.7861034181094277</v>
      </c>
      <c r="R114" s="11">
        <f>IF(AND(N114-'Outil Cibles'!$T$7&lt;=60,N114-'Outil Cibles'!$T$7&gt;=0), 'Outil Cibles'!$T$17, 0)</f>
        <v>3.9285483356528981</v>
      </c>
      <c r="S114" s="11">
        <f>IF(AND(N114-'Outil Cibles'!$U$7&lt;=60,N114-'Outil Cibles'!$U$7&gt;=0), 'Outil Cibles'!$U$17, 0)</f>
        <v>3.1156336157567535</v>
      </c>
      <c r="T114" s="11">
        <f>IF(AND(N114-'Outil Cibles'!$V$7&lt;=60,N114-'Outil Cibles'!$V$7&gt;=0), 'Outil Cibles'!$V$17, 0)</f>
        <v>2.6699626409394961</v>
      </c>
      <c r="U114" s="11">
        <f>IF(AND(N114-'Outil Cibles'!$W$7&lt;=60,N114-'Outil Cibles'!$W$7&gt;=0), 'Outil Cibles'!$W$17, 0)</f>
        <v>2.2883803860824354</v>
      </c>
      <c r="V114" s="11">
        <f>IF(AND(N114-'Outil Cibles'!$X$7&lt;=60,N114-'Outil Cibles'!$X$7&gt;=0), 'Outil Cibles'!$X$17, 0)</f>
        <v>1.9616157649480985</v>
      </c>
      <c r="W114" s="11">
        <f>IF(AND(N114-'Outil Cibles'!$Y$7&lt;=60,N114-'Outil Cibles'!$Y$7&gt;=0), 'Outil Cibles'!$Y$17, 0)</f>
        <v>1.4420078055173704</v>
      </c>
      <c r="X114" s="11">
        <f>IF(AND(N114-'Outil Cibles'!$Z$7&lt;=60,N114-'Outil Cibles'!$Z$7&gt;=0), 'Outil Cibles'!$Z$17, 0)</f>
        <v>0</v>
      </c>
      <c r="Y114" s="11">
        <f t="shared" si="6"/>
        <v>38.306068691521887</v>
      </c>
    </row>
    <row r="115" spans="1:25" x14ac:dyDescent="0.3">
      <c r="A115">
        <v>2049</v>
      </c>
      <c r="B115" s="11">
        <f>IF(AND($A115-'Outil Cibles'!D$7&lt;=60,$A115-'Outil Cibles'!D$7&gt;=0), B$3, 0)</f>
        <v>8610.7328044003007</v>
      </c>
      <c r="C115" s="11">
        <f>IF(AND($A115-'Outil Cibles'!E$7&lt;=60,$A115-'Outil Cibles'!E$7&gt;=0), C$3, 0)</f>
        <v>7587.9930148218064</v>
      </c>
      <c r="D115" s="11">
        <f>IF(AND($A115-'Outil Cibles'!F$7&lt;=60,$A115-'Outil Cibles'!F$7&gt;=0), D$3, 0)</f>
        <v>6596.593651504264</v>
      </c>
      <c r="E115" s="11">
        <f>IF(AND($A115-'Outil Cibles'!G$7&lt;=60,$A115-'Outil Cibles'!G$7&gt;=0), E$3, 0)</f>
        <v>5382.3222388442455</v>
      </c>
      <c r="F115" s="11">
        <f>IF(AND($A115-'Outil Cibles'!H$7&lt;=60,$A115-'Outil Cibles'!H$7&gt;=0), F$3, 0)</f>
        <v>4697.4836188392801</v>
      </c>
      <c r="G115" s="11">
        <f>IF(AND($A115-'Outil Cibles'!I$7&lt;=60,$A115-'Outil Cibles'!I$7&gt;=0), G$3, 0)</f>
        <v>4250.0459859961411</v>
      </c>
      <c r="H115" s="11">
        <f>IF(AND($A115-'Outil Cibles'!J$7&lt;=60,$A115-'Outil Cibles'!J$7&gt;=0), H$3, 0)</f>
        <v>3878.1564147749818</v>
      </c>
      <c r="I115" s="11">
        <f>IF(AND($A115-'Outil Cibles'!K$7&lt;=60,$A115-'Outil Cibles'!K$7&gt;=0), I$3, 0)</f>
        <v>3570.0965271108435</v>
      </c>
      <c r="J115" s="11">
        <f>IF(AND($A115-'Outil Cibles'!L$7&lt;=60,$A115-'Outil Cibles'!L$7&gt;=0), J$3, 0)</f>
        <v>2636.2497724001519</v>
      </c>
      <c r="K115" s="11">
        <f>IF(AND($A115-'Outil Cibles'!M$7&lt;=60,$A115-'Outil Cibles'!M$7&gt;=0), K$3, 0)</f>
        <v>0</v>
      </c>
      <c r="L115" s="11">
        <f t="shared" si="5"/>
        <v>47209.67402869201</v>
      </c>
      <c r="N115">
        <v>2049</v>
      </c>
      <c r="O115" s="11">
        <f>IF(AND(N115-'Outil Cibles'!$Q$7&lt;=60,N115-'Outil Cibles'!$Q$7&gt;=0), 'Outil Cibles'!$Q$17, 0)</f>
        <v>9.2209307000221994</v>
      </c>
      <c r="P115" s="11">
        <f>IF(AND(N115-'Outil Cibles'!$R$7&lt;=60,N115-'Outil Cibles'!$R$7&gt;=0), 'Outil Cibles'!$R$17, 0)</f>
        <v>7.8928860244932029</v>
      </c>
      <c r="Q115" s="11">
        <f>IF(AND(N115-'Outil Cibles'!$S$7&lt;=60,N115-'Outil Cibles'!$S$7&gt;=0), 'Outil Cibles'!$S$17, 0)</f>
        <v>5.7861034181094277</v>
      </c>
      <c r="R115" s="11">
        <f>IF(AND(N115-'Outil Cibles'!$T$7&lt;=60,N115-'Outil Cibles'!$T$7&gt;=0), 'Outil Cibles'!$T$17, 0)</f>
        <v>3.9285483356528981</v>
      </c>
      <c r="S115" s="11">
        <f>IF(AND(N115-'Outil Cibles'!$U$7&lt;=60,N115-'Outil Cibles'!$U$7&gt;=0), 'Outil Cibles'!$U$17, 0)</f>
        <v>3.1156336157567535</v>
      </c>
      <c r="T115" s="11">
        <f>IF(AND(N115-'Outil Cibles'!$V$7&lt;=60,N115-'Outil Cibles'!$V$7&gt;=0), 'Outil Cibles'!$V$17, 0)</f>
        <v>2.6699626409394961</v>
      </c>
      <c r="U115" s="11">
        <f>IF(AND(N115-'Outil Cibles'!$W$7&lt;=60,N115-'Outil Cibles'!$W$7&gt;=0), 'Outil Cibles'!$W$17, 0)</f>
        <v>2.2883803860824354</v>
      </c>
      <c r="V115" s="11">
        <f>IF(AND(N115-'Outil Cibles'!$X$7&lt;=60,N115-'Outil Cibles'!$X$7&gt;=0), 'Outil Cibles'!$X$17, 0)</f>
        <v>1.9616157649480985</v>
      </c>
      <c r="W115" s="11">
        <f>IF(AND(N115-'Outil Cibles'!$Y$7&lt;=60,N115-'Outil Cibles'!$Y$7&gt;=0), 'Outil Cibles'!$Y$17, 0)</f>
        <v>1.4420078055173704</v>
      </c>
      <c r="X115" s="11">
        <f>IF(AND(N115-'Outil Cibles'!$Z$7&lt;=60,N115-'Outil Cibles'!$Z$7&gt;=0), 'Outil Cibles'!$Z$17, 0)</f>
        <v>0</v>
      </c>
      <c r="Y115" s="11">
        <f t="shared" si="6"/>
        <v>38.306068691521887</v>
      </c>
    </row>
    <row r="116" spans="1:25" x14ac:dyDescent="0.3">
      <c r="A116" s="10">
        <v>2050</v>
      </c>
      <c r="B116" s="11">
        <f>IF(AND($A116-'Outil Cibles'!D$7&lt;=60,$A116-'Outil Cibles'!D$7&gt;=0), B$3, 0)</f>
        <v>8610.7328044003007</v>
      </c>
      <c r="C116" s="11">
        <f>IF(AND($A116-'Outil Cibles'!E$7&lt;=60,$A116-'Outil Cibles'!E$7&gt;=0), C$3, 0)</f>
        <v>7587.9930148218064</v>
      </c>
      <c r="D116" s="11">
        <f>IF(AND($A116-'Outil Cibles'!F$7&lt;=60,$A116-'Outil Cibles'!F$7&gt;=0), D$3, 0)</f>
        <v>6596.593651504264</v>
      </c>
      <c r="E116" s="11">
        <f>IF(AND($A116-'Outil Cibles'!G$7&lt;=60,$A116-'Outil Cibles'!G$7&gt;=0), E$3, 0)</f>
        <v>5382.3222388442455</v>
      </c>
      <c r="F116" s="11">
        <f>IF(AND($A116-'Outil Cibles'!H$7&lt;=60,$A116-'Outil Cibles'!H$7&gt;=0), F$3, 0)</f>
        <v>4697.4836188392801</v>
      </c>
      <c r="G116" s="11">
        <f>IF(AND($A116-'Outil Cibles'!I$7&lt;=60,$A116-'Outil Cibles'!I$7&gt;=0), G$3, 0)</f>
        <v>4250.0459859961411</v>
      </c>
      <c r="H116" s="11">
        <f>IF(AND($A116-'Outil Cibles'!J$7&lt;=60,$A116-'Outil Cibles'!J$7&gt;=0), H$3, 0)</f>
        <v>3878.1564147749818</v>
      </c>
      <c r="I116" s="11">
        <f>IF(AND($A116-'Outil Cibles'!K$7&lt;=60,$A116-'Outil Cibles'!K$7&gt;=0), I$3, 0)</f>
        <v>3570.0965271108435</v>
      </c>
      <c r="J116" s="11">
        <f>IF(AND($A116-'Outil Cibles'!L$7&lt;=60,$A116-'Outil Cibles'!L$7&gt;=0), J$3, 0)</f>
        <v>2636.2497724001519</v>
      </c>
      <c r="K116" s="11">
        <f>IF(AND($A116-'Outil Cibles'!M$7&lt;=60,$A116-'Outil Cibles'!M$7&gt;=0), K$3, 0)</f>
        <v>2367.9176490853365</v>
      </c>
      <c r="L116" s="11">
        <f t="shared" si="5"/>
        <v>49577.591677777345</v>
      </c>
      <c r="N116" s="10">
        <v>2050</v>
      </c>
      <c r="O116" s="11">
        <f>IF(AND(N116-'Outil Cibles'!$Q$7&lt;=60,N116-'Outil Cibles'!$Q$7&gt;=0), 'Outil Cibles'!$Q$17, 0)</f>
        <v>9.2209307000221994</v>
      </c>
      <c r="P116" s="11">
        <f>IF(AND(N116-'Outil Cibles'!$R$7&lt;=60,N116-'Outil Cibles'!$R$7&gt;=0), 'Outil Cibles'!$R$17, 0)</f>
        <v>7.8928860244932029</v>
      </c>
      <c r="Q116" s="11">
        <f>IF(AND(N116-'Outil Cibles'!$S$7&lt;=60,N116-'Outil Cibles'!$S$7&gt;=0), 'Outil Cibles'!$S$17, 0)</f>
        <v>5.7861034181094277</v>
      </c>
      <c r="R116" s="11">
        <f>IF(AND(N116-'Outil Cibles'!$T$7&lt;=60,N116-'Outil Cibles'!$T$7&gt;=0), 'Outil Cibles'!$T$17, 0)</f>
        <v>3.9285483356528981</v>
      </c>
      <c r="S116" s="11">
        <f>IF(AND(N116-'Outil Cibles'!$U$7&lt;=60,N116-'Outil Cibles'!$U$7&gt;=0), 'Outil Cibles'!$U$17, 0)</f>
        <v>3.1156336157567535</v>
      </c>
      <c r="T116" s="11">
        <f>IF(AND(N116-'Outil Cibles'!$V$7&lt;=60,N116-'Outil Cibles'!$V$7&gt;=0), 'Outil Cibles'!$V$17, 0)</f>
        <v>2.6699626409394961</v>
      </c>
      <c r="U116" s="11">
        <f>IF(AND(N116-'Outil Cibles'!$W$7&lt;=60,N116-'Outil Cibles'!$W$7&gt;=0), 'Outil Cibles'!$W$17, 0)</f>
        <v>2.2883803860824354</v>
      </c>
      <c r="V116" s="11">
        <f>IF(AND(N116-'Outil Cibles'!$X$7&lt;=60,N116-'Outil Cibles'!$X$7&gt;=0), 'Outil Cibles'!$X$17, 0)</f>
        <v>1.9616157649480985</v>
      </c>
      <c r="W116" s="11">
        <f>IF(AND(N116-'Outil Cibles'!$Y$7&lt;=60,N116-'Outil Cibles'!$Y$7&gt;=0), 'Outil Cibles'!$Y$17, 0)</f>
        <v>1.4420078055173704</v>
      </c>
      <c r="X116" s="11">
        <f>IF(AND(N116-'Outil Cibles'!$Z$7&lt;=60,N116-'Outil Cibles'!$Z$7&gt;=0), 'Outil Cibles'!$Z$17, 0)</f>
        <v>1.2366099769912016</v>
      </c>
      <c r="Y116" s="11">
        <f t="shared" si="6"/>
        <v>39.542678668513091</v>
      </c>
    </row>
    <row r="117" spans="1:25" x14ac:dyDescent="0.3">
      <c r="A117">
        <v>2051</v>
      </c>
      <c r="B117" s="11">
        <f>IF(AND($A117-'Outil Cibles'!D$7&lt;=60,$A117-'Outil Cibles'!D$7&gt;=0), B$3, 0)</f>
        <v>8610.7328044003007</v>
      </c>
      <c r="C117" s="11">
        <f>IF(AND($A117-'Outil Cibles'!E$7&lt;=60,$A117-'Outil Cibles'!E$7&gt;=0), C$3, 0)</f>
        <v>7587.9930148218064</v>
      </c>
      <c r="D117" s="11">
        <f>IF(AND($A117-'Outil Cibles'!F$7&lt;=60,$A117-'Outil Cibles'!F$7&gt;=0), D$3, 0)</f>
        <v>6596.593651504264</v>
      </c>
      <c r="E117" s="11">
        <f>IF(AND($A117-'Outil Cibles'!G$7&lt;=60,$A117-'Outil Cibles'!G$7&gt;=0), E$3, 0)</f>
        <v>5382.3222388442455</v>
      </c>
      <c r="F117" s="11">
        <f>IF(AND($A117-'Outil Cibles'!H$7&lt;=60,$A117-'Outil Cibles'!H$7&gt;=0), F$3, 0)</f>
        <v>4697.4836188392801</v>
      </c>
      <c r="G117" s="11">
        <f>IF(AND($A117-'Outil Cibles'!I$7&lt;=60,$A117-'Outil Cibles'!I$7&gt;=0), G$3, 0)</f>
        <v>4250.0459859961411</v>
      </c>
      <c r="H117" s="11">
        <f>IF(AND($A117-'Outil Cibles'!J$7&lt;=60,$A117-'Outil Cibles'!J$7&gt;=0), H$3, 0)</f>
        <v>3878.1564147749818</v>
      </c>
      <c r="I117" s="11">
        <f>IF(AND($A117-'Outil Cibles'!K$7&lt;=60,$A117-'Outil Cibles'!K$7&gt;=0), I$3, 0)</f>
        <v>3570.0965271108435</v>
      </c>
      <c r="J117" s="11">
        <f>IF(AND($A117-'Outil Cibles'!L$7&lt;=60,$A117-'Outil Cibles'!L$7&gt;=0), J$3, 0)</f>
        <v>2636.2497724001519</v>
      </c>
      <c r="K117" s="11">
        <f>IF(AND($A117-'Outil Cibles'!M$7&lt;=60,$A117-'Outil Cibles'!M$7&gt;=0), K$3, 0)</f>
        <v>2367.9176490853365</v>
      </c>
      <c r="L117" s="11">
        <f t="shared" si="5"/>
        <v>49577.591677777345</v>
      </c>
      <c r="N117">
        <v>2051</v>
      </c>
      <c r="O117" s="11">
        <f>IF(AND(N117-'Outil Cibles'!$Q$7&lt;=60,N117-'Outil Cibles'!$Q$7&gt;=0), 'Outil Cibles'!$Q$17, 0)</f>
        <v>9.2209307000221994</v>
      </c>
      <c r="P117" s="11">
        <f>IF(AND(N117-'Outil Cibles'!$R$7&lt;=60,N117-'Outil Cibles'!$R$7&gt;=0), 'Outil Cibles'!$R$17, 0)</f>
        <v>7.8928860244932029</v>
      </c>
      <c r="Q117" s="11">
        <f>IF(AND(N117-'Outil Cibles'!$S$7&lt;=60,N117-'Outil Cibles'!$S$7&gt;=0), 'Outil Cibles'!$S$17, 0)</f>
        <v>5.7861034181094277</v>
      </c>
      <c r="R117" s="11">
        <f>IF(AND(N117-'Outil Cibles'!$T$7&lt;=60,N117-'Outil Cibles'!$T$7&gt;=0), 'Outil Cibles'!$T$17, 0)</f>
        <v>3.9285483356528981</v>
      </c>
      <c r="S117" s="11">
        <f>IF(AND(N117-'Outil Cibles'!$U$7&lt;=60,N117-'Outil Cibles'!$U$7&gt;=0), 'Outil Cibles'!$U$17, 0)</f>
        <v>3.1156336157567535</v>
      </c>
      <c r="T117" s="11">
        <f>IF(AND(N117-'Outil Cibles'!$V$7&lt;=60,N117-'Outil Cibles'!$V$7&gt;=0), 'Outil Cibles'!$V$17, 0)</f>
        <v>2.6699626409394961</v>
      </c>
      <c r="U117" s="11">
        <f>IF(AND(N117-'Outil Cibles'!$W$7&lt;=60,N117-'Outil Cibles'!$W$7&gt;=0), 'Outil Cibles'!$W$17, 0)</f>
        <v>2.2883803860824354</v>
      </c>
      <c r="V117" s="11">
        <f>IF(AND(N117-'Outil Cibles'!$X$7&lt;=60,N117-'Outil Cibles'!$X$7&gt;=0), 'Outil Cibles'!$X$17, 0)</f>
        <v>1.9616157649480985</v>
      </c>
      <c r="W117" s="11">
        <f>IF(AND(N117-'Outil Cibles'!$Y$7&lt;=60,N117-'Outil Cibles'!$Y$7&gt;=0), 'Outil Cibles'!$Y$17, 0)</f>
        <v>1.4420078055173704</v>
      </c>
      <c r="X117" s="11">
        <f>IF(AND(N117-'Outil Cibles'!$Z$7&lt;=60,N117-'Outil Cibles'!$Z$7&gt;=0), 'Outil Cibles'!$Z$17, 0)</f>
        <v>1.2366099769912016</v>
      </c>
      <c r="Y117" s="11">
        <f t="shared" si="6"/>
        <v>39.542678668513091</v>
      </c>
    </row>
    <row r="118" spans="1:25" x14ac:dyDescent="0.3">
      <c r="A118">
        <v>2052</v>
      </c>
      <c r="B118" s="11">
        <f>IF(AND($A118-'Outil Cibles'!D$7&lt;=60,$A118-'Outil Cibles'!D$7&gt;=0), B$3, 0)</f>
        <v>8610.7328044003007</v>
      </c>
      <c r="C118" s="11">
        <f>IF(AND($A118-'Outil Cibles'!E$7&lt;=60,$A118-'Outil Cibles'!E$7&gt;=0), C$3, 0)</f>
        <v>7587.9930148218064</v>
      </c>
      <c r="D118" s="11">
        <f>IF(AND($A118-'Outil Cibles'!F$7&lt;=60,$A118-'Outil Cibles'!F$7&gt;=0), D$3, 0)</f>
        <v>6596.593651504264</v>
      </c>
      <c r="E118" s="11">
        <f>IF(AND($A118-'Outil Cibles'!G$7&lt;=60,$A118-'Outil Cibles'!G$7&gt;=0), E$3, 0)</f>
        <v>5382.3222388442455</v>
      </c>
      <c r="F118" s="11">
        <f>IF(AND($A118-'Outil Cibles'!H$7&lt;=60,$A118-'Outil Cibles'!H$7&gt;=0), F$3, 0)</f>
        <v>4697.4836188392801</v>
      </c>
      <c r="G118" s="11">
        <f>IF(AND($A118-'Outil Cibles'!I$7&lt;=60,$A118-'Outil Cibles'!I$7&gt;=0), G$3, 0)</f>
        <v>4250.0459859961411</v>
      </c>
      <c r="H118" s="11">
        <f>IF(AND($A118-'Outil Cibles'!J$7&lt;=60,$A118-'Outil Cibles'!J$7&gt;=0), H$3, 0)</f>
        <v>3878.1564147749818</v>
      </c>
      <c r="I118" s="11">
        <f>IF(AND($A118-'Outil Cibles'!K$7&lt;=60,$A118-'Outil Cibles'!K$7&gt;=0), I$3, 0)</f>
        <v>3570.0965271108435</v>
      </c>
      <c r="J118" s="11">
        <f>IF(AND($A118-'Outil Cibles'!L$7&lt;=60,$A118-'Outil Cibles'!L$7&gt;=0), J$3, 0)</f>
        <v>2636.2497724001519</v>
      </c>
      <c r="K118" s="11">
        <f>IF(AND($A118-'Outil Cibles'!M$7&lt;=60,$A118-'Outil Cibles'!M$7&gt;=0), K$3, 0)</f>
        <v>2367.9176490853365</v>
      </c>
      <c r="L118" s="11">
        <f t="shared" si="5"/>
        <v>49577.591677777345</v>
      </c>
      <c r="N118">
        <v>2052</v>
      </c>
      <c r="O118" s="11">
        <f>IF(AND(N118-'Outil Cibles'!$Q$7&lt;=60,N118-'Outil Cibles'!$Q$7&gt;=0), 'Outil Cibles'!$Q$17, 0)</f>
        <v>9.2209307000221994</v>
      </c>
      <c r="P118" s="11">
        <f>IF(AND(N118-'Outil Cibles'!$R$7&lt;=60,N118-'Outil Cibles'!$R$7&gt;=0), 'Outil Cibles'!$R$17, 0)</f>
        <v>7.8928860244932029</v>
      </c>
      <c r="Q118" s="11">
        <f>IF(AND(N118-'Outil Cibles'!$S$7&lt;=60,N118-'Outil Cibles'!$S$7&gt;=0), 'Outil Cibles'!$S$17, 0)</f>
        <v>5.7861034181094277</v>
      </c>
      <c r="R118" s="11">
        <f>IF(AND(N118-'Outil Cibles'!$T$7&lt;=60,N118-'Outil Cibles'!$T$7&gt;=0), 'Outil Cibles'!$T$17, 0)</f>
        <v>3.9285483356528981</v>
      </c>
      <c r="S118" s="11">
        <f>IF(AND(N118-'Outil Cibles'!$U$7&lt;=60,N118-'Outil Cibles'!$U$7&gt;=0), 'Outil Cibles'!$U$17, 0)</f>
        <v>3.1156336157567535</v>
      </c>
      <c r="T118" s="11">
        <f>IF(AND(N118-'Outil Cibles'!$V$7&lt;=60,N118-'Outil Cibles'!$V$7&gt;=0), 'Outil Cibles'!$V$17, 0)</f>
        <v>2.6699626409394961</v>
      </c>
      <c r="U118" s="11">
        <f>IF(AND(N118-'Outil Cibles'!$W$7&lt;=60,N118-'Outil Cibles'!$W$7&gt;=0), 'Outil Cibles'!$W$17, 0)</f>
        <v>2.2883803860824354</v>
      </c>
      <c r="V118" s="11">
        <f>IF(AND(N118-'Outil Cibles'!$X$7&lt;=60,N118-'Outil Cibles'!$X$7&gt;=0), 'Outil Cibles'!$X$17, 0)</f>
        <v>1.9616157649480985</v>
      </c>
      <c r="W118" s="11">
        <f>IF(AND(N118-'Outil Cibles'!$Y$7&lt;=60,N118-'Outil Cibles'!$Y$7&gt;=0), 'Outil Cibles'!$Y$17, 0)</f>
        <v>1.4420078055173704</v>
      </c>
      <c r="X118" s="11">
        <f>IF(AND(N118-'Outil Cibles'!$Z$7&lt;=60,N118-'Outil Cibles'!$Z$7&gt;=0), 'Outil Cibles'!$Z$17, 0)</f>
        <v>1.2366099769912016</v>
      </c>
      <c r="Y118" s="11">
        <f t="shared" si="6"/>
        <v>39.542678668513091</v>
      </c>
    </row>
    <row r="119" spans="1:25" x14ac:dyDescent="0.3">
      <c r="A119">
        <v>2053</v>
      </c>
      <c r="B119" s="11">
        <f>IF(AND($A119-'Outil Cibles'!D$7&lt;=60,$A119-'Outil Cibles'!D$7&gt;=0), B$3, 0)</f>
        <v>8610.7328044003007</v>
      </c>
      <c r="C119" s="11">
        <f>IF(AND($A119-'Outil Cibles'!E$7&lt;=60,$A119-'Outil Cibles'!E$7&gt;=0), C$3, 0)</f>
        <v>7587.9930148218064</v>
      </c>
      <c r="D119" s="11">
        <f>IF(AND($A119-'Outil Cibles'!F$7&lt;=60,$A119-'Outil Cibles'!F$7&gt;=0), D$3, 0)</f>
        <v>6596.593651504264</v>
      </c>
      <c r="E119" s="11">
        <f>IF(AND($A119-'Outil Cibles'!G$7&lt;=60,$A119-'Outil Cibles'!G$7&gt;=0), E$3, 0)</f>
        <v>5382.3222388442455</v>
      </c>
      <c r="F119" s="11">
        <f>IF(AND($A119-'Outil Cibles'!H$7&lt;=60,$A119-'Outil Cibles'!H$7&gt;=0), F$3, 0)</f>
        <v>4697.4836188392801</v>
      </c>
      <c r="G119" s="11">
        <f>IF(AND($A119-'Outil Cibles'!I$7&lt;=60,$A119-'Outil Cibles'!I$7&gt;=0), G$3, 0)</f>
        <v>4250.0459859961411</v>
      </c>
      <c r="H119" s="11">
        <f>IF(AND($A119-'Outil Cibles'!J$7&lt;=60,$A119-'Outil Cibles'!J$7&gt;=0), H$3, 0)</f>
        <v>3878.1564147749818</v>
      </c>
      <c r="I119" s="11">
        <f>IF(AND($A119-'Outil Cibles'!K$7&lt;=60,$A119-'Outil Cibles'!K$7&gt;=0), I$3, 0)</f>
        <v>3570.0965271108435</v>
      </c>
      <c r="J119" s="11">
        <f>IF(AND($A119-'Outil Cibles'!L$7&lt;=60,$A119-'Outil Cibles'!L$7&gt;=0), J$3, 0)</f>
        <v>2636.2497724001519</v>
      </c>
      <c r="K119" s="11">
        <f>IF(AND($A119-'Outil Cibles'!M$7&lt;=60,$A119-'Outil Cibles'!M$7&gt;=0), K$3, 0)</f>
        <v>2367.9176490853365</v>
      </c>
      <c r="L119" s="11">
        <f t="shared" si="5"/>
        <v>49577.591677777345</v>
      </c>
      <c r="N119">
        <v>2053</v>
      </c>
      <c r="O119" s="11">
        <f>IF(AND(N119-'Outil Cibles'!$Q$7&lt;=60,N119-'Outil Cibles'!$Q$7&gt;=0), 'Outil Cibles'!$Q$17, 0)</f>
        <v>9.2209307000221994</v>
      </c>
      <c r="P119" s="11">
        <f>IF(AND(N119-'Outil Cibles'!$R$7&lt;=60,N119-'Outil Cibles'!$R$7&gt;=0), 'Outil Cibles'!$R$17, 0)</f>
        <v>7.8928860244932029</v>
      </c>
      <c r="Q119" s="11">
        <f>IF(AND(N119-'Outil Cibles'!$S$7&lt;=60,N119-'Outil Cibles'!$S$7&gt;=0), 'Outil Cibles'!$S$17, 0)</f>
        <v>5.7861034181094277</v>
      </c>
      <c r="R119" s="11">
        <f>IF(AND(N119-'Outil Cibles'!$T$7&lt;=60,N119-'Outil Cibles'!$T$7&gt;=0), 'Outil Cibles'!$T$17, 0)</f>
        <v>3.9285483356528981</v>
      </c>
      <c r="S119" s="11">
        <f>IF(AND(N119-'Outil Cibles'!$U$7&lt;=60,N119-'Outil Cibles'!$U$7&gt;=0), 'Outil Cibles'!$U$17, 0)</f>
        <v>3.1156336157567535</v>
      </c>
      <c r="T119" s="11">
        <f>IF(AND(N119-'Outil Cibles'!$V$7&lt;=60,N119-'Outil Cibles'!$V$7&gt;=0), 'Outil Cibles'!$V$17, 0)</f>
        <v>2.6699626409394961</v>
      </c>
      <c r="U119" s="11">
        <f>IF(AND(N119-'Outil Cibles'!$W$7&lt;=60,N119-'Outil Cibles'!$W$7&gt;=0), 'Outil Cibles'!$W$17, 0)</f>
        <v>2.2883803860824354</v>
      </c>
      <c r="V119" s="11">
        <f>IF(AND(N119-'Outil Cibles'!$X$7&lt;=60,N119-'Outil Cibles'!$X$7&gt;=0), 'Outil Cibles'!$X$17, 0)</f>
        <v>1.9616157649480985</v>
      </c>
      <c r="W119" s="11">
        <f>IF(AND(N119-'Outil Cibles'!$Y$7&lt;=60,N119-'Outil Cibles'!$Y$7&gt;=0), 'Outil Cibles'!$Y$17, 0)</f>
        <v>1.4420078055173704</v>
      </c>
      <c r="X119" s="11">
        <f>IF(AND(N119-'Outil Cibles'!$Z$7&lt;=60,N119-'Outil Cibles'!$Z$7&gt;=0), 'Outil Cibles'!$Z$17, 0)</f>
        <v>1.2366099769912016</v>
      </c>
      <c r="Y119" s="11">
        <f t="shared" si="6"/>
        <v>39.542678668513091</v>
      </c>
    </row>
    <row r="120" spans="1:25" x14ac:dyDescent="0.3">
      <c r="A120" s="10">
        <v>2054</v>
      </c>
      <c r="B120" s="11">
        <f>IF(AND($A120-'Outil Cibles'!D$7&lt;=60,$A120-'Outil Cibles'!D$7&gt;=0), B$3, 0)</f>
        <v>8610.7328044003007</v>
      </c>
      <c r="C120" s="11">
        <f>IF(AND($A120-'Outil Cibles'!E$7&lt;=60,$A120-'Outil Cibles'!E$7&gt;=0), C$3, 0)</f>
        <v>7587.9930148218064</v>
      </c>
      <c r="D120" s="11">
        <f>IF(AND($A120-'Outil Cibles'!F$7&lt;=60,$A120-'Outil Cibles'!F$7&gt;=0), D$3, 0)</f>
        <v>6596.593651504264</v>
      </c>
      <c r="E120" s="11">
        <f>IF(AND($A120-'Outil Cibles'!G$7&lt;=60,$A120-'Outil Cibles'!G$7&gt;=0), E$3, 0)</f>
        <v>5382.3222388442455</v>
      </c>
      <c r="F120" s="11">
        <f>IF(AND($A120-'Outil Cibles'!H$7&lt;=60,$A120-'Outil Cibles'!H$7&gt;=0), F$3, 0)</f>
        <v>4697.4836188392801</v>
      </c>
      <c r="G120" s="11">
        <f>IF(AND($A120-'Outil Cibles'!I$7&lt;=60,$A120-'Outil Cibles'!I$7&gt;=0), G$3, 0)</f>
        <v>4250.0459859961411</v>
      </c>
      <c r="H120" s="11">
        <f>IF(AND($A120-'Outil Cibles'!J$7&lt;=60,$A120-'Outil Cibles'!J$7&gt;=0), H$3, 0)</f>
        <v>3878.1564147749818</v>
      </c>
      <c r="I120" s="11">
        <f>IF(AND($A120-'Outil Cibles'!K$7&lt;=60,$A120-'Outil Cibles'!K$7&gt;=0), I$3, 0)</f>
        <v>3570.0965271108435</v>
      </c>
      <c r="J120" s="11">
        <f>IF(AND($A120-'Outil Cibles'!L$7&lt;=60,$A120-'Outil Cibles'!L$7&gt;=0), J$3, 0)</f>
        <v>2636.2497724001519</v>
      </c>
      <c r="K120" s="11">
        <f>IF(AND($A120-'Outil Cibles'!M$7&lt;=60,$A120-'Outil Cibles'!M$7&gt;=0), K$3, 0)</f>
        <v>2367.9176490853365</v>
      </c>
      <c r="L120" s="11">
        <f t="shared" si="5"/>
        <v>49577.591677777345</v>
      </c>
      <c r="N120" s="10">
        <v>2054</v>
      </c>
      <c r="O120" s="11">
        <f>IF(AND(N120-'Outil Cibles'!$Q$7&lt;=60,N120-'Outil Cibles'!$Q$7&gt;=0), 'Outil Cibles'!$Q$17, 0)</f>
        <v>9.2209307000221994</v>
      </c>
      <c r="P120" s="11">
        <f>IF(AND(N120-'Outil Cibles'!$R$7&lt;=60,N120-'Outil Cibles'!$R$7&gt;=0), 'Outil Cibles'!$R$17, 0)</f>
        <v>7.8928860244932029</v>
      </c>
      <c r="Q120" s="11">
        <f>IF(AND(N120-'Outil Cibles'!$S$7&lt;=60,N120-'Outil Cibles'!$S$7&gt;=0), 'Outil Cibles'!$S$17, 0)</f>
        <v>5.7861034181094277</v>
      </c>
      <c r="R120" s="11">
        <f>IF(AND(N120-'Outil Cibles'!$T$7&lt;=60,N120-'Outil Cibles'!$T$7&gt;=0), 'Outil Cibles'!$T$17, 0)</f>
        <v>3.9285483356528981</v>
      </c>
      <c r="S120" s="11">
        <f>IF(AND(N120-'Outil Cibles'!$U$7&lt;=60,N120-'Outil Cibles'!$U$7&gt;=0), 'Outil Cibles'!$U$17, 0)</f>
        <v>3.1156336157567535</v>
      </c>
      <c r="T120" s="11">
        <f>IF(AND(N120-'Outil Cibles'!$V$7&lt;=60,N120-'Outil Cibles'!$V$7&gt;=0), 'Outil Cibles'!$V$17, 0)</f>
        <v>2.6699626409394961</v>
      </c>
      <c r="U120" s="11">
        <f>IF(AND(N120-'Outil Cibles'!$W$7&lt;=60,N120-'Outil Cibles'!$W$7&gt;=0), 'Outil Cibles'!$W$17, 0)</f>
        <v>2.2883803860824354</v>
      </c>
      <c r="V120" s="11">
        <f>IF(AND(N120-'Outil Cibles'!$X$7&lt;=60,N120-'Outil Cibles'!$X$7&gt;=0), 'Outil Cibles'!$X$17, 0)</f>
        <v>1.9616157649480985</v>
      </c>
      <c r="W120" s="11">
        <f>IF(AND(N120-'Outil Cibles'!$Y$7&lt;=60,N120-'Outil Cibles'!$Y$7&gt;=0), 'Outil Cibles'!$Y$17, 0)</f>
        <v>1.4420078055173704</v>
      </c>
      <c r="X120" s="11">
        <f>IF(AND(N120-'Outil Cibles'!$Z$7&lt;=60,N120-'Outil Cibles'!$Z$7&gt;=0), 'Outil Cibles'!$Z$17, 0)</f>
        <v>1.2366099769912016</v>
      </c>
      <c r="Y120" s="11">
        <f t="shared" si="6"/>
        <v>39.542678668513091</v>
      </c>
    </row>
    <row r="121" spans="1:25" x14ac:dyDescent="0.3">
      <c r="A121">
        <v>2055</v>
      </c>
      <c r="B121" s="11">
        <f>IF(AND($A121-'Outil Cibles'!D$7&lt;=60,$A121-'Outil Cibles'!D$7&gt;=0), B$3, 0)</f>
        <v>8610.7328044003007</v>
      </c>
      <c r="C121" s="11">
        <f>IF(AND($A121-'Outil Cibles'!E$7&lt;=60,$A121-'Outil Cibles'!E$7&gt;=0), C$3, 0)</f>
        <v>7587.9930148218064</v>
      </c>
      <c r="D121" s="11">
        <f>IF(AND($A121-'Outil Cibles'!F$7&lt;=60,$A121-'Outil Cibles'!F$7&gt;=0), D$3, 0)</f>
        <v>6596.593651504264</v>
      </c>
      <c r="E121" s="11">
        <f>IF(AND($A121-'Outil Cibles'!G$7&lt;=60,$A121-'Outil Cibles'!G$7&gt;=0), E$3, 0)</f>
        <v>5382.3222388442455</v>
      </c>
      <c r="F121" s="11">
        <f>IF(AND($A121-'Outil Cibles'!H$7&lt;=60,$A121-'Outil Cibles'!H$7&gt;=0), F$3, 0)</f>
        <v>4697.4836188392801</v>
      </c>
      <c r="G121" s="11">
        <f>IF(AND($A121-'Outil Cibles'!I$7&lt;=60,$A121-'Outil Cibles'!I$7&gt;=0), G$3, 0)</f>
        <v>4250.0459859961411</v>
      </c>
      <c r="H121" s="11">
        <f>IF(AND($A121-'Outil Cibles'!J$7&lt;=60,$A121-'Outil Cibles'!J$7&gt;=0), H$3, 0)</f>
        <v>3878.1564147749818</v>
      </c>
      <c r="I121" s="11">
        <f>IF(AND($A121-'Outil Cibles'!K$7&lt;=60,$A121-'Outil Cibles'!K$7&gt;=0), I$3, 0)</f>
        <v>3570.0965271108435</v>
      </c>
      <c r="J121" s="11">
        <f>IF(AND($A121-'Outil Cibles'!L$7&lt;=60,$A121-'Outil Cibles'!L$7&gt;=0), J$3, 0)</f>
        <v>2636.2497724001519</v>
      </c>
      <c r="K121" s="11">
        <f>IF(AND($A121-'Outil Cibles'!M$7&lt;=60,$A121-'Outil Cibles'!M$7&gt;=0), K$3, 0)</f>
        <v>2367.9176490853365</v>
      </c>
      <c r="L121" s="11">
        <f t="shared" si="5"/>
        <v>49577.591677777345</v>
      </c>
      <c r="N121">
        <v>2055</v>
      </c>
      <c r="O121" s="11">
        <f>IF(AND(N121-'Outil Cibles'!$Q$7&lt;=60,N121-'Outil Cibles'!$Q$7&gt;=0), 'Outil Cibles'!$Q$17, 0)</f>
        <v>9.2209307000221994</v>
      </c>
      <c r="P121" s="11">
        <f>IF(AND(N121-'Outil Cibles'!$R$7&lt;=60,N121-'Outil Cibles'!$R$7&gt;=0), 'Outil Cibles'!$R$17, 0)</f>
        <v>7.8928860244932029</v>
      </c>
      <c r="Q121" s="11">
        <f>IF(AND(N121-'Outil Cibles'!$S$7&lt;=60,N121-'Outil Cibles'!$S$7&gt;=0), 'Outil Cibles'!$S$17, 0)</f>
        <v>5.7861034181094277</v>
      </c>
      <c r="R121" s="11">
        <f>IF(AND(N121-'Outil Cibles'!$T$7&lt;=60,N121-'Outil Cibles'!$T$7&gt;=0), 'Outil Cibles'!$T$17, 0)</f>
        <v>3.9285483356528981</v>
      </c>
      <c r="S121" s="11">
        <f>IF(AND(N121-'Outil Cibles'!$U$7&lt;=60,N121-'Outil Cibles'!$U$7&gt;=0), 'Outil Cibles'!$U$17, 0)</f>
        <v>3.1156336157567535</v>
      </c>
      <c r="T121" s="11">
        <f>IF(AND(N121-'Outil Cibles'!$V$7&lt;=60,N121-'Outil Cibles'!$V$7&gt;=0), 'Outil Cibles'!$V$17, 0)</f>
        <v>2.6699626409394961</v>
      </c>
      <c r="U121" s="11">
        <f>IF(AND(N121-'Outil Cibles'!$W$7&lt;=60,N121-'Outil Cibles'!$W$7&gt;=0), 'Outil Cibles'!$W$17, 0)</f>
        <v>2.2883803860824354</v>
      </c>
      <c r="V121" s="11">
        <f>IF(AND(N121-'Outil Cibles'!$X$7&lt;=60,N121-'Outil Cibles'!$X$7&gt;=0), 'Outil Cibles'!$X$17, 0)</f>
        <v>1.9616157649480985</v>
      </c>
      <c r="W121" s="11">
        <f>IF(AND(N121-'Outil Cibles'!$Y$7&lt;=60,N121-'Outil Cibles'!$Y$7&gt;=0), 'Outil Cibles'!$Y$17, 0)</f>
        <v>1.4420078055173704</v>
      </c>
      <c r="X121" s="11">
        <f>IF(AND(N121-'Outil Cibles'!$Z$7&lt;=60,N121-'Outil Cibles'!$Z$7&gt;=0), 'Outil Cibles'!$Z$17, 0)</f>
        <v>1.2366099769912016</v>
      </c>
      <c r="Y121" s="11">
        <f t="shared" si="6"/>
        <v>39.542678668513091</v>
      </c>
    </row>
    <row r="122" spans="1:25" x14ac:dyDescent="0.3">
      <c r="A122">
        <v>2056</v>
      </c>
      <c r="B122" s="11">
        <f>IF(AND($A122-'Outil Cibles'!D$7&lt;=60,$A122-'Outil Cibles'!D$7&gt;=0), B$3, 0)</f>
        <v>8610.7328044003007</v>
      </c>
      <c r="C122" s="11">
        <f>IF(AND($A122-'Outil Cibles'!E$7&lt;=60,$A122-'Outil Cibles'!E$7&gt;=0), C$3, 0)</f>
        <v>7587.9930148218064</v>
      </c>
      <c r="D122" s="11">
        <f>IF(AND($A122-'Outil Cibles'!F$7&lt;=60,$A122-'Outil Cibles'!F$7&gt;=0), D$3, 0)</f>
        <v>6596.593651504264</v>
      </c>
      <c r="E122" s="11">
        <f>IF(AND($A122-'Outil Cibles'!G$7&lt;=60,$A122-'Outil Cibles'!G$7&gt;=0), E$3, 0)</f>
        <v>5382.3222388442455</v>
      </c>
      <c r="F122" s="11">
        <f>IF(AND($A122-'Outil Cibles'!H$7&lt;=60,$A122-'Outil Cibles'!H$7&gt;=0), F$3, 0)</f>
        <v>4697.4836188392801</v>
      </c>
      <c r="G122" s="11">
        <f>IF(AND($A122-'Outil Cibles'!I$7&lt;=60,$A122-'Outil Cibles'!I$7&gt;=0), G$3, 0)</f>
        <v>4250.0459859961411</v>
      </c>
      <c r="H122" s="11">
        <f>IF(AND($A122-'Outil Cibles'!J$7&lt;=60,$A122-'Outil Cibles'!J$7&gt;=0), H$3, 0)</f>
        <v>3878.1564147749818</v>
      </c>
      <c r="I122" s="11">
        <f>IF(AND($A122-'Outil Cibles'!K$7&lt;=60,$A122-'Outil Cibles'!K$7&gt;=0), I$3, 0)</f>
        <v>3570.0965271108435</v>
      </c>
      <c r="J122" s="11">
        <f>IF(AND($A122-'Outil Cibles'!L$7&lt;=60,$A122-'Outil Cibles'!L$7&gt;=0), J$3, 0)</f>
        <v>2636.2497724001519</v>
      </c>
      <c r="K122" s="11">
        <f>IF(AND($A122-'Outil Cibles'!M$7&lt;=60,$A122-'Outil Cibles'!M$7&gt;=0), K$3, 0)</f>
        <v>2367.9176490853365</v>
      </c>
      <c r="L122" s="11">
        <f t="shared" si="5"/>
        <v>49577.591677777345</v>
      </c>
      <c r="N122">
        <v>2056</v>
      </c>
      <c r="O122" s="11">
        <f>IF(AND(N122-'Outil Cibles'!$Q$7&lt;=60,N122-'Outil Cibles'!$Q$7&gt;=0), 'Outil Cibles'!$Q$17, 0)</f>
        <v>9.2209307000221994</v>
      </c>
      <c r="P122" s="11">
        <f>IF(AND(N122-'Outil Cibles'!$R$7&lt;=60,N122-'Outil Cibles'!$R$7&gt;=0), 'Outil Cibles'!$R$17, 0)</f>
        <v>7.8928860244932029</v>
      </c>
      <c r="Q122" s="11">
        <f>IF(AND(N122-'Outil Cibles'!$S$7&lt;=60,N122-'Outil Cibles'!$S$7&gt;=0), 'Outil Cibles'!$S$17, 0)</f>
        <v>5.7861034181094277</v>
      </c>
      <c r="R122" s="11">
        <f>IF(AND(N122-'Outil Cibles'!$T$7&lt;=60,N122-'Outil Cibles'!$T$7&gt;=0), 'Outil Cibles'!$T$17, 0)</f>
        <v>3.9285483356528981</v>
      </c>
      <c r="S122" s="11">
        <f>IF(AND(N122-'Outil Cibles'!$U$7&lt;=60,N122-'Outil Cibles'!$U$7&gt;=0), 'Outil Cibles'!$U$17, 0)</f>
        <v>3.1156336157567535</v>
      </c>
      <c r="T122" s="11">
        <f>IF(AND(N122-'Outil Cibles'!$V$7&lt;=60,N122-'Outil Cibles'!$V$7&gt;=0), 'Outil Cibles'!$V$17, 0)</f>
        <v>2.6699626409394961</v>
      </c>
      <c r="U122" s="11">
        <f>IF(AND(N122-'Outil Cibles'!$W$7&lt;=60,N122-'Outil Cibles'!$W$7&gt;=0), 'Outil Cibles'!$W$17, 0)</f>
        <v>2.2883803860824354</v>
      </c>
      <c r="V122" s="11">
        <f>IF(AND(N122-'Outil Cibles'!$X$7&lt;=60,N122-'Outil Cibles'!$X$7&gt;=0), 'Outil Cibles'!$X$17, 0)</f>
        <v>1.9616157649480985</v>
      </c>
      <c r="W122" s="11">
        <f>IF(AND(N122-'Outil Cibles'!$Y$7&lt;=60,N122-'Outil Cibles'!$Y$7&gt;=0), 'Outil Cibles'!$Y$17, 0)</f>
        <v>1.4420078055173704</v>
      </c>
      <c r="X122" s="11">
        <f>IF(AND(N122-'Outil Cibles'!$Z$7&lt;=60,N122-'Outil Cibles'!$Z$7&gt;=0), 'Outil Cibles'!$Z$17, 0)</f>
        <v>1.2366099769912016</v>
      </c>
      <c r="Y122" s="11">
        <f t="shared" si="6"/>
        <v>39.542678668513091</v>
      </c>
    </row>
    <row r="123" spans="1:25" x14ac:dyDescent="0.3">
      <c r="A123">
        <v>2057</v>
      </c>
      <c r="B123" s="11">
        <f>IF(AND($A123-'Outil Cibles'!D$7&lt;=60,$A123-'Outil Cibles'!D$7&gt;=0), B$3, 0)</f>
        <v>8610.7328044003007</v>
      </c>
      <c r="C123" s="11">
        <f>IF(AND($A123-'Outil Cibles'!E$7&lt;=60,$A123-'Outil Cibles'!E$7&gt;=0), C$3, 0)</f>
        <v>7587.9930148218064</v>
      </c>
      <c r="D123" s="11">
        <f>IF(AND($A123-'Outil Cibles'!F$7&lt;=60,$A123-'Outil Cibles'!F$7&gt;=0), D$3, 0)</f>
        <v>6596.593651504264</v>
      </c>
      <c r="E123" s="11">
        <f>IF(AND($A123-'Outil Cibles'!G$7&lt;=60,$A123-'Outil Cibles'!G$7&gt;=0), E$3, 0)</f>
        <v>5382.3222388442455</v>
      </c>
      <c r="F123" s="11">
        <f>IF(AND($A123-'Outil Cibles'!H$7&lt;=60,$A123-'Outil Cibles'!H$7&gt;=0), F$3, 0)</f>
        <v>4697.4836188392801</v>
      </c>
      <c r="G123" s="11">
        <f>IF(AND($A123-'Outil Cibles'!I$7&lt;=60,$A123-'Outil Cibles'!I$7&gt;=0), G$3, 0)</f>
        <v>4250.0459859961411</v>
      </c>
      <c r="H123" s="11">
        <f>IF(AND($A123-'Outil Cibles'!J$7&lt;=60,$A123-'Outil Cibles'!J$7&gt;=0), H$3, 0)</f>
        <v>3878.1564147749818</v>
      </c>
      <c r="I123" s="11">
        <f>IF(AND($A123-'Outil Cibles'!K$7&lt;=60,$A123-'Outil Cibles'!K$7&gt;=0), I$3, 0)</f>
        <v>3570.0965271108435</v>
      </c>
      <c r="J123" s="11">
        <f>IF(AND($A123-'Outil Cibles'!L$7&lt;=60,$A123-'Outil Cibles'!L$7&gt;=0), J$3, 0)</f>
        <v>2636.2497724001519</v>
      </c>
      <c r="K123" s="11">
        <f>IF(AND($A123-'Outil Cibles'!M$7&lt;=60,$A123-'Outil Cibles'!M$7&gt;=0), K$3, 0)</f>
        <v>2367.9176490853365</v>
      </c>
      <c r="L123" s="11">
        <f t="shared" si="5"/>
        <v>49577.591677777345</v>
      </c>
      <c r="N123">
        <v>2057</v>
      </c>
      <c r="O123" s="11">
        <f>IF(AND(N123-'Outil Cibles'!$Q$7&lt;=60,N123-'Outil Cibles'!$Q$7&gt;=0), 'Outil Cibles'!$Q$17, 0)</f>
        <v>9.2209307000221994</v>
      </c>
      <c r="P123" s="11">
        <f>IF(AND(N123-'Outil Cibles'!$R$7&lt;=60,N123-'Outil Cibles'!$R$7&gt;=0), 'Outil Cibles'!$R$17, 0)</f>
        <v>7.8928860244932029</v>
      </c>
      <c r="Q123" s="11">
        <f>IF(AND(N123-'Outil Cibles'!$S$7&lt;=60,N123-'Outil Cibles'!$S$7&gt;=0), 'Outil Cibles'!$S$17, 0)</f>
        <v>5.7861034181094277</v>
      </c>
      <c r="R123" s="11">
        <f>IF(AND(N123-'Outil Cibles'!$T$7&lt;=60,N123-'Outil Cibles'!$T$7&gt;=0), 'Outil Cibles'!$T$17, 0)</f>
        <v>3.9285483356528981</v>
      </c>
      <c r="S123" s="11">
        <f>IF(AND(N123-'Outil Cibles'!$U$7&lt;=60,N123-'Outil Cibles'!$U$7&gt;=0), 'Outil Cibles'!$U$17, 0)</f>
        <v>3.1156336157567535</v>
      </c>
      <c r="T123" s="11">
        <f>IF(AND(N123-'Outil Cibles'!$V$7&lt;=60,N123-'Outil Cibles'!$V$7&gt;=0), 'Outil Cibles'!$V$17, 0)</f>
        <v>2.6699626409394961</v>
      </c>
      <c r="U123" s="11">
        <f>IF(AND(N123-'Outil Cibles'!$W$7&lt;=60,N123-'Outil Cibles'!$W$7&gt;=0), 'Outil Cibles'!$W$17, 0)</f>
        <v>2.2883803860824354</v>
      </c>
      <c r="V123" s="11">
        <f>IF(AND(N123-'Outil Cibles'!$X$7&lt;=60,N123-'Outil Cibles'!$X$7&gt;=0), 'Outil Cibles'!$X$17, 0)</f>
        <v>1.9616157649480985</v>
      </c>
      <c r="W123" s="11">
        <f>IF(AND(N123-'Outil Cibles'!$Y$7&lt;=60,N123-'Outil Cibles'!$Y$7&gt;=0), 'Outil Cibles'!$Y$17, 0)</f>
        <v>1.4420078055173704</v>
      </c>
      <c r="X123" s="11">
        <f>IF(AND(N123-'Outil Cibles'!$Z$7&lt;=60,N123-'Outil Cibles'!$Z$7&gt;=0), 'Outil Cibles'!$Z$17, 0)</f>
        <v>1.2366099769912016</v>
      </c>
      <c r="Y123" s="11">
        <f t="shared" si="6"/>
        <v>39.542678668513091</v>
      </c>
    </row>
    <row r="124" spans="1:25" x14ac:dyDescent="0.3">
      <c r="A124" s="10">
        <v>2058</v>
      </c>
      <c r="B124" s="11">
        <f>IF(AND($A124-'Outil Cibles'!D$7&lt;=60,$A124-'Outil Cibles'!D$7&gt;=0), B$3, 0)</f>
        <v>8610.7328044003007</v>
      </c>
      <c r="C124" s="11">
        <f>IF(AND($A124-'Outil Cibles'!E$7&lt;=60,$A124-'Outil Cibles'!E$7&gt;=0), C$3, 0)</f>
        <v>7587.9930148218064</v>
      </c>
      <c r="D124" s="11">
        <f>IF(AND($A124-'Outil Cibles'!F$7&lt;=60,$A124-'Outil Cibles'!F$7&gt;=0), D$3, 0)</f>
        <v>6596.593651504264</v>
      </c>
      <c r="E124" s="11">
        <f>IF(AND($A124-'Outil Cibles'!G$7&lt;=60,$A124-'Outil Cibles'!G$7&gt;=0), E$3, 0)</f>
        <v>5382.3222388442455</v>
      </c>
      <c r="F124" s="11">
        <f>IF(AND($A124-'Outil Cibles'!H$7&lt;=60,$A124-'Outil Cibles'!H$7&gt;=0), F$3, 0)</f>
        <v>4697.4836188392801</v>
      </c>
      <c r="G124" s="11">
        <f>IF(AND($A124-'Outil Cibles'!I$7&lt;=60,$A124-'Outil Cibles'!I$7&gt;=0), G$3, 0)</f>
        <v>4250.0459859961411</v>
      </c>
      <c r="H124" s="11">
        <f>IF(AND($A124-'Outil Cibles'!J$7&lt;=60,$A124-'Outil Cibles'!J$7&gt;=0), H$3, 0)</f>
        <v>3878.1564147749818</v>
      </c>
      <c r="I124" s="11">
        <f>IF(AND($A124-'Outil Cibles'!K$7&lt;=60,$A124-'Outil Cibles'!K$7&gt;=0), I$3, 0)</f>
        <v>3570.0965271108435</v>
      </c>
      <c r="J124" s="11">
        <f>IF(AND($A124-'Outil Cibles'!L$7&lt;=60,$A124-'Outil Cibles'!L$7&gt;=0), J$3, 0)</f>
        <v>2636.2497724001519</v>
      </c>
      <c r="K124" s="11">
        <f>IF(AND($A124-'Outil Cibles'!M$7&lt;=60,$A124-'Outil Cibles'!M$7&gt;=0), K$3, 0)</f>
        <v>2367.9176490853365</v>
      </c>
      <c r="L124" s="11">
        <f t="shared" si="5"/>
        <v>49577.591677777345</v>
      </c>
      <c r="N124" s="10">
        <v>2058</v>
      </c>
      <c r="O124" s="11">
        <f>IF(AND(N124-'Outil Cibles'!$Q$7&lt;=60,N124-'Outil Cibles'!$Q$7&gt;=0), 'Outil Cibles'!$Q$17, 0)</f>
        <v>9.2209307000221994</v>
      </c>
      <c r="P124" s="11">
        <f>IF(AND(N124-'Outil Cibles'!$R$7&lt;=60,N124-'Outil Cibles'!$R$7&gt;=0), 'Outil Cibles'!$R$17, 0)</f>
        <v>7.8928860244932029</v>
      </c>
      <c r="Q124" s="11">
        <f>IF(AND(N124-'Outil Cibles'!$S$7&lt;=60,N124-'Outil Cibles'!$S$7&gt;=0), 'Outil Cibles'!$S$17, 0)</f>
        <v>5.7861034181094277</v>
      </c>
      <c r="R124" s="11">
        <f>IF(AND(N124-'Outil Cibles'!$T$7&lt;=60,N124-'Outil Cibles'!$T$7&gt;=0), 'Outil Cibles'!$T$17, 0)</f>
        <v>3.9285483356528981</v>
      </c>
      <c r="S124" s="11">
        <f>IF(AND(N124-'Outil Cibles'!$U$7&lt;=60,N124-'Outil Cibles'!$U$7&gt;=0), 'Outil Cibles'!$U$17, 0)</f>
        <v>3.1156336157567535</v>
      </c>
      <c r="T124" s="11">
        <f>IF(AND(N124-'Outil Cibles'!$V$7&lt;=60,N124-'Outil Cibles'!$V$7&gt;=0), 'Outil Cibles'!$V$17, 0)</f>
        <v>2.6699626409394961</v>
      </c>
      <c r="U124" s="11">
        <f>IF(AND(N124-'Outil Cibles'!$W$7&lt;=60,N124-'Outil Cibles'!$W$7&gt;=0), 'Outil Cibles'!$W$17, 0)</f>
        <v>2.2883803860824354</v>
      </c>
      <c r="V124" s="11">
        <f>IF(AND(N124-'Outil Cibles'!$X$7&lt;=60,N124-'Outil Cibles'!$X$7&gt;=0), 'Outil Cibles'!$X$17, 0)</f>
        <v>1.9616157649480985</v>
      </c>
      <c r="W124" s="11">
        <f>IF(AND(N124-'Outil Cibles'!$Y$7&lt;=60,N124-'Outil Cibles'!$Y$7&gt;=0), 'Outil Cibles'!$Y$17, 0)</f>
        <v>1.4420078055173704</v>
      </c>
      <c r="X124" s="11">
        <f>IF(AND(N124-'Outil Cibles'!$Z$7&lt;=60,N124-'Outil Cibles'!$Z$7&gt;=0), 'Outil Cibles'!$Z$17, 0)</f>
        <v>1.2366099769912016</v>
      </c>
      <c r="Y124" s="11">
        <f t="shared" si="6"/>
        <v>39.542678668513091</v>
      </c>
    </row>
    <row r="125" spans="1:25" x14ac:dyDescent="0.3">
      <c r="A125">
        <v>2059</v>
      </c>
      <c r="B125" s="11">
        <f>IF(AND($A125-'Outil Cibles'!D$7&lt;=60,$A125-'Outil Cibles'!D$7&gt;=0), B$3, 0)</f>
        <v>8610.7328044003007</v>
      </c>
      <c r="C125" s="11">
        <f>IF(AND($A125-'Outil Cibles'!E$7&lt;=60,$A125-'Outil Cibles'!E$7&gt;=0), C$3, 0)</f>
        <v>7587.9930148218064</v>
      </c>
      <c r="D125" s="11">
        <f>IF(AND($A125-'Outil Cibles'!F$7&lt;=60,$A125-'Outil Cibles'!F$7&gt;=0), D$3, 0)</f>
        <v>6596.593651504264</v>
      </c>
      <c r="E125" s="11">
        <f>IF(AND($A125-'Outil Cibles'!G$7&lt;=60,$A125-'Outil Cibles'!G$7&gt;=0), E$3, 0)</f>
        <v>5382.3222388442455</v>
      </c>
      <c r="F125" s="11">
        <f>IF(AND($A125-'Outil Cibles'!H$7&lt;=60,$A125-'Outil Cibles'!H$7&gt;=0), F$3, 0)</f>
        <v>4697.4836188392801</v>
      </c>
      <c r="G125" s="11">
        <f>IF(AND($A125-'Outil Cibles'!I$7&lt;=60,$A125-'Outil Cibles'!I$7&gt;=0), G$3, 0)</f>
        <v>4250.0459859961411</v>
      </c>
      <c r="H125" s="11">
        <f>IF(AND($A125-'Outil Cibles'!J$7&lt;=60,$A125-'Outil Cibles'!J$7&gt;=0), H$3, 0)</f>
        <v>3878.1564147749818</v>
      </c>
      <c r="I125" s="11">
        <f>IF(AND($A125-'Outil Cibles'!K$7&lt;=60,$A125-'Outil Cibles'!K$7&gt;=0), I$3, 0)</f>
        <v>3570.0965271108435</v>
      </c>
      <c r="J125" s="11">
        <f>IF(AND($A125-'Outil Cibles'!L$7&lt;=60,$A125-'Outil Cibles'!L$7&gt;=0), J$3, 0)</f>
        <v>2636.2497724001519</v>
      </c>
      <c r="K125" s="11">
        <f>IF(AND($A125-'Outil Cibles'!M$7&lt;=60,$A125-'Outil Cibles'!M$7&gt;=0), K$3, 0)</f>
        <v>2367.9176490853365</v>
      </c>
      <c r="L125" s="11">
        <f t="shared" si="5"/>
        <v>49577.591677777345</v>
      </c>
      <c r="N125">
        <v>2059</v>
      </c>
      <c r="O125" s="11">
        <f>IF(AND(N125-'Outil Cibles'!$Q$7&lt;=60,N125-'Outil Cibles'!$Q$7&gt;=0), 'Outil Cibles'!$Q$17, 0)</f>
        <v>9.2209307000221994</v>
      </c>
      <c r="P125" s="11">
        <f>IF(AND(N125-'Outil Cibles'!$R$7&lt;=60,N125-'Outil Cibles'!$R$7&gt;=0), 'Outil Cibles'!$R$17, 0)</f>
        <v>7.8928860244932029</v>
      </c>
      <c r="Q125" s="11">
        <f>IF(AND(N125-'Outil Cibles'!$S$7&lt;=60,N125-'Outil Cibles'!$S$7&gt;=0), 'Outil Cibles'!$S$17, 0)</f>
        <v>5.7861034181094277</v>
      </c>
      <c r="R125" s="11">
        <f>IF(AND(N125-'Outil Cibles'!$T$7&lt;=60,N125-'Outil Cibles'!$T$7&gt;=0), 'Outil Cibles'!$T$17, 0)</f>
        <v>3.9285483356528981</v>
      </c>
      <c r="S125" s="11">
        <f>IF(AND(N125-'Outil Cibles'!$U$7&lt;=60,N125-'Outil Cibles'!$U$7&gt;=0), 'Outil Cibles'!$U$17, 0)</f>
        <v>3.1156336157567535</v>
      </c>
      <c r="T125" s="11">
        <f>IF(AND(N125-'Outil Cibles'!$V$7&lt;=60,N125-'Outil Cibles'!$V$7&gt;=0), 'Outil Cibles'!$V$17, 0)</f>
        <v>2.6699626409394961</v>
      </c>
      <c r="U125" s="11">
        <f>IF(AND(N125-'Outil Cibles'!$W$7&lt;=60,N125-'Outil Cibles'!$W$7&gt;=0), 'Outil Cibles'!$W$17, 0)</f>
        <v>2.2883803860824354</v>
      </c>
      <c r="V125" s="11">
        <f>IF(AND(N125-'Outil Cibles'!$X$7&lt;=60,N125-'Outil Cibles'!$X$7&gt;=0), 'Outil Cibles'!$X$17, 0)</f>
        <v>1.9616157649480985</v>
      </c>
      <c r="W125" s="11">
        <f>IF(AND(N125-'Outil Cibles'!$Y$7&lt;=60,N125-'Outil Cibles'!$Y$7&gt;=0), 'Outil Cibles'!$Y$17, 0)</f>
        <v>1.4420078055173704</v>
      </c>
      <c r="X125" s="11">
        <f>IF(AND(N125-'Outil Cibles'!$Z$7&lt;=60,N125-'Outil Cibles'!$Z$7&gt;=0), 'Outil Cibles'!$Z$17, 0)</f>
        <v>1.2366099769912016</v>
      </c>
      <c r="Y125" s="11">
        <f t="shared" si="6"/>
        <v>39.542678668513091</v>
      </c>
    </row>
    <row r="126" spans="1:25" x14ac:dyDescent="0.3">
      <c r="A126">
        <v>2060</v>
      </c>
      <c r="B126" s="11">
        <f>IF(AND($A126-'Outil Cibles'!D$7&lt;=60,$A126-'Outil Cibles'!D$7&gt;=0), B$3, 0)</f>
        <v>8610.7328044003007</v>
      </c>
      <c r="C126" s="11">
        <f>IF(AND($A126-'Outil Cibles'!E$7&lt;=60,$A126-'Outil Cibles'!E$7&gt;=0), C$3, 0)</f>
        <v>7587.9930148218064</v>
      </c>
      <c r="D126" s="11">
        <f>IF(AND($A126-'Outil Cibles'!F$7&lt;=60,$A126-'Outil Cibles'!F$7&gt;=0), D$3, 0)</f>
        <v>6596.593651504264</v>
      </c>
      <c r="E126" s="11">
        <f>IF(AND($A126-'Outil Cibles'!G$7&lt;=60,$A126-'Outil Cibles'!G$7&gt;=0), E$3, 0)</f>
        <v>5382.3222388442455</v>
      </c>
      <c r="F126" s="11">
        <f>IF(AND($A126-'Outil Cibles'!H$7&lt;=60,$A126-'Outil Cibles'!H$7&gt;=0), F$3, 0)</f>
        <v>4697.4836188392801</v>
      </c>
      <c r="G126" s="11">
        <f>IF(AND($A126-'Outil Cibles'!I$7&lt;=60,$A126-'Outil Cibles'!I$7&gt;=0), G$3, 0)</f>
        <v>4250.0459859961411</v>
      </c>
      <c r="H126" s="11">
        <f>IF(AND($A126-'Outil Cibles'!J$7&lt;=60,$A126-'Outil Cibles'!J$7&gt;=0), H$3, 0)</f>
        <v>3878.1564147749818</v>
      </c>
      <c r="I126" s="11">
        <f>IF(AND($A126-'Outil Cibles'!K$7&lt;=60,$A126-'Outil Cibles'!K$7&gt;=0), I$3, 0)</f>
        <v>3570.0965271108435</v>
      </c>
      <c r="J126" s="11">
        <f>IF(AND($A126-'Outil Cibles'!L$7&lt;=60,$A126-'Outil Cibles'!L$7&gt;=0), J$3, 0)</f>
        <v>2636.2497724001519</v>
      </c>
      <c r="K126" s="11">
        <f>IF(AND($A126-'Outil Cibles'!M$7&lt;=60,$A126-'Outil Cibles'!M$7&gt;=0), K$3, 0)</f>
        <v>2367.9176490853365</v>
      </c>
      <c r="L126" s="11">
        <f t="shared" si="5"/>
        <v>49577.591677777345</v>
      </c>
      <c r="N126">
        <v>2060</v>
      </c>
      <c r="O126" s="11">
        <f>IF(AND(N126-'Outil Cibles'!$Q$7&lt;=60,N126-'Outil Cibles'!$Q$7&gt;=0), 'Outil Cibles'!$Q$17, 0)</f>
        <v>9.2209307000221994</v>
      </c>
      <c r="P126" s="11">
        <f>IF(AND(N126-'Outil Cibles'!$R$7&lt;=60,N126-'Outil Cibles'!$R$7&gt;=0), 'Outil Cibles'!$R$17, 0)</f>
        <v>7.8928860244932029</v>
      </c>
      <c r="Q126" s="11">
        <f>IF(AND(N126-'Outil Cibles'!$S$7&lt;=60,N126-'Outil Cibles'!$S$7&gt;=0), 'Outil Cibles'!$S$17, 0)</f>
        <v>5.7861034181094277</v>
      </c>
      <c r="R126" s="11">
        <f>IF(AND(N126-'Outil Cibles'!$T$7&lt;=60,N126-'Outil Cibles'!$T$7&gt;=0), 'Outil Cibles'!$T$17, 0)</f>
        <v>3.9285483356528981</v>
      </c>
      <c r="S126" s="11">
        <f>IF(AND(N126-'Outil Cibles'!$U$7&lt;=60,N126-'Outil Cibles'!$U$7&gt;=0), 'Outil Cibles'!$U$17, 0)</f>
        <v>3.1156336157567535</v>
      </c>
      <c r="T126" s="11">
        <f>IF(AND(N126-'Outil Cibles'!$V$7&lt;=60,N126-'Outil Cibles'!$V$7&gt;=0), 'Outil Cibles'!$V$17, 0)</f>
        <v>2.6699626409394961</v>
      </c>
      <c r="U126" s="11">
        <f>IF(AND(N126-'Outil Cibles'!$W$7&lt;=60,N126-'Outil Cibles'!$W$7&gt;=0), 'Outil Cibles'!$W$17, 0)</f>
        <v>2.2883803860824354</v>
      </c>
      <c r="V126" s="11">
        <f>IF(AND(N126-'Outil Cibles'!$X$7&lt;=60,N126-'Outil Cibles'!$X$7&gt;=0), 'Outil Cibles'!$X$17, 0)</f>
        <v>1.9616157649480985</v>
      </c>
      <c r="W126" s="11">
        <f>IF(AND(N126-'Outil Cibles'!$Y$7&lt;=60,N126-'Outil Cibles'!$Y$7&gt;=0), 'Outil Cibles'!$Y$17, 0)</f>
        <v>1.4420078055173704</v>
      </c>
      <c r="X126" s="11">
        <f>IF(AND(N126-'Outil Cibles'!$Z$7&lt;=60,N126-'Outil Cibles'!$Z$7&gt;=0), 'Outil Cibles'!$Z$17, 0)</f>
        <v>1.2366099769912016</v>
      </c>
      <c r="Y126" s="11">
        <f t="shared" si="6"/>
        <v>39.542678668513091</v>
      </c>
    </row>
    <row r="127" spans="1:25" x14ac:dyDescent="0.3">
      <c r="A127">
        <v>2061</v>
      </c>
      <c r="B127" s="11">
        <f>IF(AND($A127-'Outil Cibles'!D$7&lt;=60,$A127-'Outil Cibles'!D$7&gt;=0), B$3, 0)</f>
        <v>8610.7328044003007</v>
      </c>
      <c r="C127" s="11">
        <f>IF(AND($A127-'Outil Cibles'!E$7&lt;=60,$A127-'Outil Cibles'!E$7&gt;=0), C$3, 0)</f>
        <v>7587.9930148218064</v>
      </c>
      <c r="D127" s="11">
        <f>IF(AND($A127-'Outil Cibles'!F$7&lt;=60,$A127-'Outil Cibles'!F$7&gt;=0), D$3, 0)</f>
        <v>6596.593651504264</v>
      </c>
      <c r="E127" s="11">
        <f>IF(AND($A127-'Outil Cibles'!G$7&lt;=60,$A127-'Outil Cibles'!G$7&gt;=0), E$3, 0)</f>
        <v>5382.3222388442455</v>
      </c>
      <c r="F127" s="11">
        <f>IF(AND($A127-'Outil Cibles'!H$7&lt;=60,$A127-'Outil Cibles'!H$7&gt;=0), F$3, 0)</f>
        <v>4697.4836188392801</v>
      </c>
      <c r="G127" s="11">
        <f>IF(AND($A127-'Outil Cibles'!I$7&lt;=60,$A127-'Outil Cibles'!I$7&gt;=0), G$3, 0)</f>
        <v>4250.0459859961411</v>
      </c>
      <c r="H127" s="11">
        <f>IF(AND($A127-'Outil Cibles'!J$7&lt;=60,$A127-'Outil Cibles'!J$7&gt;=0), H$3, 0)</f>
        <v>3878.1564147749818</v>
      </c>
      <c r="I127" s="11">
        <f>IF(AND($A127-'Outil Cibles'!K$7&lt;=60,$A127-'Outil Cibles'!K$7&gt;=0), I$3, 0)</f>
        <v>3570.0965271108435</v>
      </c>
      <c r="J127" s="11">
        <f>IF(AND($A127-'Outil Cibles'!L$7&lt;=60,$A127-'Outil Cibles'!L$7&gt;=0), J$3, 0)</f>
        <v>2636.2497724001519</v>
      </c>
      <c r="K127" s="11">
        <f>IF(AND($A127-'Outil Cibles'!M$7&lt;=60,$A127-'Outil Cibles'!M$7&gt;=0), K$3, 0)</f>
        <v>2367.9176490853365</v>
      </c>
      <c r="L127" s="11">
        <f t="shared" si="5"/>
        <v>49577.591677777345</v>
      </c>
      <c r="N127">
        <v>2061</v>
      </c>
      <c r="O127" s="11">
        <f>IF(AND(N127-'Outil Cibles'!$Q$7&lt;=60,N127-'Outil Cibles'!$Q$7&gt;=0), 'Outil Cibles'!$Q$17, 0)</f>
        <v>9.2209307000221994</v>
      </c>
      <c r="P127" s="11">
        <f>IF(AND(N127-'Outil Cibles'!$R$7&lt;=60,N127-'Outil Cibles'!$R$7&gt;=0), 'Outil Cibles'!$R$17, 0)</f>
        <v>7.8928860244932029</v>
      </c>
      <c r="Q127" s="11">
        <f>IF(AND(N127-'Outil Cibles'!$S$7&lt;=60,N127-'Outil Cibles'!$S$7&gt;=0), 'Outil Cibles'!$S$17, 0)</f>
        <v>5.7861034181094277</v>
      </c>
      <c r="R127" s="11">
        <f>IF(AND(N127-'Outil Cibles'!$T$7&lt;=60,N127-'Outil Cibles'!$T$7&gt;=0), 'Outil Cibles'!$T$17, 0)</f>
        <v>3.9285483356528981</v>
      </c>
      <c r="S127" s="11">
        <f>IF(AND(N127-'Outil Cibles'!$U$7&lt;=60,N127-'Outil Cibles'!$U$7&gt;=0), 'Outil Cibles'!$U$17, 0)</f>
        <v>3.1156336157567535</v>
      </c>
      <c r="T127" s="11">
        <f>IF(AND(N127-'Outil Cibles'!$V$7&lt;=60,N127-'Outil Cibles'!$V$7&gt;=0), 'Outil Cibles'!$V$17, 0)</f>
        <v>2.6699626409394961</v>
      </c>
      <c r="U127" s="11">
        <f>IF(AND(N127-'Outil Cibles'!$W$7&lt;=60,N127-'Outil Cibles'!$W$7&gt;=0), 'Outil Cibles'!$W$17, 0)</f>
        <v>2.2883803860824354</v>
      </c>
      <c r="V127" s="11">
        <f>IF(AND(N127-'Outil Cibles'!$X$7&lt;=60,N127-'Outil Cibles'!$X$7&gt;=0), 'Outil Cibles'!$X$17, 0)</f>
        <v>1.9616157649480985</v>
      </c>
      <c r="W127" s="11">
        <f>IF(AND(N127-'Outil Cibles'!$Y$7&lt;=60,N127-'Outil Cibles'!$Y$7&gt;=0), 'Outil Cibles'!$Y$17, 0)</f>
        <v>1.4420078055173704</v>
      </c>
      <c r="X127" s="11">
        <f>IF(AND(N127-'Outil Cibles'!$Z$7&lt;=60,N127-'Outil Cibles'!$Z$7&gt;=0), 'Outil Cibles'!$Z$17, 0)</f>
        <v>1.2366099769912016</v>
      </c>
      <c r="Y127" s="11">
        <f t="shared" si="6"/>
        <v>39.542678668513091</v>
      </c>
    </row>
    <row r="128" spans="1:25" x14ac:dyDescent="0.3">
      <c r="A128" s="10">
        <v>2062</v>
      </c>
      <c r="B128" s="11">
        <f>IF(AND($A128-'Outil Cibles'!D$7&lt;=60,$A128-'Outil Cibles'!D$7&gt;=0), B$3, 0)</f>
        <v>8610.7328044003007</v>
      </c>
      <c r="C128" s="11">
        <f>IF(AND($A128-'Outil Cibles'!E$7&lt;=60,$A128-'Outil Cibles'!E$7&gt;=0), C$3, 0)</f>
        <v>7587.9930148218064</v>
      </c>
      <c r="D128" s="11">
        <f>IF(AND($A128-'Outil Cibles'!F$7&lt;=60,$A128-'Outil Cibles'!F$7&gt;=0), D$3, 0)</f>
        <v>6596.593651504264</v>
      </c>
      <c r="E128" s="11">
        <f>IF(AND($A128-'Outil Cibles'!G$7&lt;=60,$A128-'Outil Cibles'!G$7&gt;=0), E$3, 0)</f>
        <v>5382.3222388442455</v>
      </c>
      <c r="F128" s="11">
        <f>IF(AND($A128-'Outil Cibles'!H$7&lt;=60,$A128-'Outil Cibles'!H$7&gt;=0), F$3, 0)</f>
        <v>4697.4836188392801</v>
      </c>
      <c r="G128" s="11">
        <f>IF(AND($A128-'Outil Cibles'!I$7&lt;=60,$A128-'Outil Cibles'!I$7&gt;=0), G$3, 0)</f>
        <v>4250.0459859961411</v>
      </c>
      <c r="H128" s="11">
        <f>IF(AND($A128-'Outil Cibles'!J$7&lt;=60,$A128-'Outil Cibles'!J$7&gt;=0), H$3, 0)</f>
        <v>3878.1564147749818</v>
      </c>
      <c r="I128" s="11">
        <f>IF(AND($A128-'Outil Cibles'!K$7&lt;=60,$A128-'Outil Cibles'!K$7&gt;=0), I$3, 0)</f>
        <v>3570.0965271108435</v>
      </c>
      <c r="J128" s="11">
        <f>IF(AND($A128-'Outil Cibles'!L$7&lt;=60,$A128-'Outil Cibles'!L$7&gt;=0), J$3, 0)</f>
        <v>2636.2497724001519</v>
      </c>
      <c r="K128" s="11">
        <f>IF(AND($A128-'Outil Cibles'!M$7&lt;=60,$A128-'Outil Cibles'!M$7&gt;=0), K$3, 0)</f>
        <v>2367.9176490853365</v>
      </c>
      <c r="L128" s="11">
        <f t="shared" si="5"/>
        <v>49577.591677777345</v>
      </c>
      <c r="N128" s="10">
        <v>2062</v>
      </c>
      <c r="O128" s="11">
        <f>IF(AND(N128-'Outil Cibles'!$Q$7&lt;=60,N128-'Outil Cibles'!$Q$7&gt;=0), 'Outil Cibles'!$Q$17, 0)</f>
        <v>9.2209307000221994</v>
      </c>
      <c r="P128" s="11">
        <f>IF(AND(N128-'Outil Cibles'!$R$7&lt;=60,N128-'Outil Cibles'!$R$7&gt;=0), 'Outil Cibles'!$R$17, 0)</f>
        <v>7.8928860244932029</v>
      </c>
      <c r="Q128" s="11">
        <f>IF(AND(N128-'Outil Cibles'!$S$7&lt;=60,N128-'Outil Cibles'!$S$7&gt;=0), 'Outil Cibles'!$S$17, 0)</f>
        <v>5.7861034181094277</v>
      </c>
      <c r="R128" s="11">
        <f>IF(AND(N128-'Outil Cibles'!$T$7&lt;=60,N128-'Outil Cibles'!$T$7&gt;=0), 'Outil Cibles'!$T$17, 0)</f>
        <v>3.9285483356528981</v>
      </c>
      <c r="S128" s="11">
        <f>IF(AND(N128-'Outil Cibles'!$U$7&lt;=60,N128-'Outil Cibles'!$U$7&gt;=0), 'Outil Cibles'!$U$17, 0)</f>
        <v>3.1156336157567535</v>
      </c>
      <c r="T128" s="11">
        <f>IF(AND(N128-'Outil Cibles'!$V$7&lt;=60,N128-'Outil Cibles'!$V$7&gt;=0), 'Outil Cibles'!$V$17, 0)</f>
        <v>2.6699626409394961</v>
      </c>
      <c r="U128" s="11">
        <f>IF(AND(N128-'Outil Cibles'!$W$7&lt;=60,N128-'Outil Cibles'!$W$7&gt;=0), 'Outil Cibles'!$W$17, 0)</f>
        <v>2.2883803860824354</v>
      </c>
      <c r="V128" s="11">
        <f>IF(AND(N128-'Outil Cibles'!$X$7&lt;=60,N128-'Outil Cibles'!$X$7&gt;=0), 'Outil Cibles'!$X$17, 0)</f>
        <v>1.9616157649480985</v>
      </c>
      <c r="W128" s="11">
        <f>IF(AND(N128-'Outil Cibles'!$Y$7&lt;=60,N128-'Outil Cibles'!$Y$7&gt;=0), 'Outil Cibles'!$Y$17, 0)</f>
        <v>1.4420078055173704</v>
      </c>
      <c r="X128" s="11">
        <f>IF(AND(N128-'Outil Cibles'!$Z$7&lt;=60,N128-'Outil Cibles'!$Z$7&gt;=0), 'Outil Cibles'!$Z$17, 0)</f>
        <v>1.2366099769912016</v>
      </c>
      <c r="Y128" s="11">
        <f t="shared" si="6"/>
        <v>39.542678668513091</v>
      </c>
    </row>
    <row r="129" spans="1:25" x14ac:dyDescent="0.3">
      <c r="A129">
        <v>2063</v>
      </c>
      <c r="B129" s="11">
        <f>IF(AND($A129-'Outil Cibles'!D$7&lt;=60,$A129-'Outil Cibles'!D$7&gt;=0), B$3, 0)</f>
        <v>8610.7328044003007</v>
      </c>
      <c r="C129" s="11">
        <f>IF(AND($A129-'Outil Cibles'!E$7&lt;=60,$A129-'Outil Cibles'!E$7&gt;=0), C$3, 0)</f>
        <v>7587.9930148218064</v>
      </c>
      <c r="D129" s="11">
        <f>IF(AND($A129-'Outil Cibles'!F$7&lt;=60,$A129-'Outil Cibles'!F$7&gt;=0), D$3, 0)</f>
        <v>6596.593651504264</v>
      </c>
      <c r="E129" s="11">
        <f>IF(AND($A129-'Outil Cibles'!G$7&lt;=60,$A129-'Outil Cibles'!G$7&gt;=0), E$3, 0)</f>
        <v>5382.3222388442455</v>
      </c>
      <c r="F129" s="11">
        <f>IF(AND($A129-'Outil Cibles'!H$7&lt;=60,$A129-'Outil Cibles'!H$7&gt;=0), F$3, 0)</f>
        <v>4697.4836188392801</v>
      </c>
      <c r="G129" s="11">
        <f>IF(AND($A129-'Outil Cibles'!I$7&lt;=60,$A129-'Outil Cibles'!I$7&gt;=0), G$3, 0)</f>
        <v>4250.0459859961411</v>
      </c>
      <c r="H129" s="11">
        <f>IF(AND($A129-'Outil Cibles'!J$7&lt;=60,$A129-'Outil Cibles'!J$7&gt;=0), H$3, 0)</f>
        <v>3878.1564147749818</v>
      </c>
      <c r="I129" s="11">
        <f>IF(AND($A129-'Outil Cibles'!K$7&lt;=60,$A129-'Outil Cibles'!K$7&gt;=0), I$3, 0)</f>
        <v>3570.0965271108435</v>
      </c>
      <c r="J129" s="11">
        <f>IF(AND($A129-'Outil Cibles'!L$7&lt;=60,$A129-'Outil Cibles'!L$7&gt;=0), J$3, 0)</f>
        <v>2636.2497724001519</v>
      </c>
      <c r="K129" s="11">
        <f>IF(AND($A129-'Outil Cibles'!M$7&lt;=60,$A129-'Outil Cibles'!M$7&gt;=0), K$3, 0)</f>
        <v>2367.9176490853365</v>
      </c>
      <c r="L129" s="11">
        <f t="shared" si="5"/>
        <v>49577.591677777345</v>
      </c>
      <c r="N129">
        <v>2063</v>
      </c>
      <c r="O129" s="11">
        <f>IF(AND(N129-'Outil Cibles'!$Q$7&lt;=60,N129-'Outil Cibles'!$Q$7&gt;=0), 'Outil Cibles'!$Q$17, 0)</f>
        <v>9.2209307000221994</v>
      </c>
      <c r="P129" s="11">
        <f>IF(AND(N129-'Outil Cibles'!$R$7&lt;=60,N129-'Outil Cibles'!$R$7&gt;=0), 'Outil Cibles'!$R$17, 0)</f>
        <v>7.8928860244932029</v>
      </c>
      <c r="Q129" s="11">
        <f>IF(AND(N129-'Outil Cibles'!$S$7&lt;=60,N129-'Outil Cibles'!$S$7&gt;=0), 'Outil Cibles'!$S$17, 0)</f>
        <v>5.7861034181094277</v>
      </c>
      <c r="R129" s="11">
        <f>IF(AND(N129-'Outil Cibles'!$T$7&lt;=60,N129-'Outil Cibles'!$T$7&gt;=0), 'Outil Cibles'!$T$17, 0)</f>
        <v>3.9285483356528981</v>
      </c>
      <c r="S129" s="11">
        <f>IF(AND(N129-'Outil Cibles'!$U$7&lt;=60,N129-'Outil Cibles'!$U$7&gt;=0), 'Outil Cibles'!$U$17, 0)</f>
        <v>3.1156336157567535</v>
      </c>
      <c r="T129" s="11">
        <f>IF(AND(N129-'Outil Cibles'!$V$7&lt;=60,N129-'Outil Cibles'!$V$7&gt;=0), 'Outil Cibles'!$V$17, 0)</f>
        <v>2.6699626409394961</v>
      </c>
      <c r="U129" s="11">
        <f>IF(AND(N129-'Outil Cibles'!$W$7&lt;=60,N129-'Outil Cibles'!$W$7&gt;=0), 'Outil Cibles'!$W$17, 0)</f>
        <v>2.2883803860824354</v>
      </c>
      <c r="V129" s="11">
        <f>IF(AND(N129-'Outil Cibles'!$X$7&lt;=60,N129-'Outil Cibles'!$X$7&gt;=0), 'Outil Cibles'!$X$17, 0)</f>
        <v>1.9616157649480985</v>
      </c>
      <c r="W129" s="11">
        <f>IF(AND(N129-'Outil Cibles'!$Y$7&lt;=60,N129-'Outil Cibles'!$Y$7&gt;=0), 'Outil Cibles'!$Y$17, 0)</f>
        <v>1.4420078055173704</v>
      </c>
      <c r="X129" s="11">
        <f>IF(AND(N129-'Outil Cibles'!$Z$7&lt;=60,N129-'Outil Cibles'!$Z$7&gt;=0), 'Outil Cibles'!$Z$17, 0)</f>
        <v>1.2366099769912016</v>
      </c>
      <c r="Y129" s="11">
        <f t="shared" si="6"/>
        <v>39.542678668513091</v>
      </c>
    </row>
    <row r="130" spans="1:25" x14ac:dyDescent="0.3">
      <c r="A130">
        <v>2064</v>
      </c>
      <c r="B130" s="11">
        <f>IF(AND($A130-'Outil Cibles'!D$7&lt;=60,$A130-'Outil Cibles'!D$7&gt;=0), B$3, 0)</f>
        <v>8610.7328044003007</v>
      </c>
      <c r="C130" s="11">
        <f>IF(AND($A130-'Outil Cibles'!E$7&lt;=60,$A130-'Outil Cibles'!E$7&gt;=0), C$3, 0)</f>
        <v>7587.9930148218064</v>
      </c>
      <c r="D130" s="11">
        <f>IF(AND($A130-'Outil Cibles'!F$7&lt;=60,$A130-'Outil Cibles'!F$7&gt;=0), D$3, 0)</f>
        <v>6596.593651504264</v>
      </c>
      <c r="E130" s="11">
        <f>IF(AND($A130-'Outil Cibles'!G$7&lt;=60,$A130-'Outil Cibles'!G$7&gt;=0), E$3, 0)</f>
        <v>5382.3222388442455</v>
      </c>
      <c r="F130" s="11">
        <f>IF(AND($A130-'Outil Cibles'!H$7&lt;=60,$A130-'Outil Cibles'!H$7&gt;=0), F$3, 0)</f>
        <v>4697.4836188392801</v>
      </c>
      <c r="G130" s="11">
        <f>IF(AND($A130-'Outil Cibles'!I$7&lt;=60,$A130-'Outil Cibles'!I$7&gt;=0), G$3, 0)</f>
        <v>4250.0459859961411</v>
      </c>
      <c r="H130" s="11">
        <f>IF(AND($A130-'Outil Cibles'!J$7&lt;=60,$A130-'Outil Cibles'!J$7&gt;=0), H$3, 0)</f>
        <v>3878.1564147749818</v>
      </c>
      <c r="I130" s="11">
        <f>IF(AND($A130-'Outil Cibles'!K$7&lt;=60,$A130-'Outil Cibles'!K$7&gt;=0), I$3, 0)</f>
        <v>3570.0965271108435</v>
      </c>
      <c r="J130" s="11">
        <f>IF(AND($A130-'Outil Cibles'!L$7&lt;=60,$A130-'Outil Cibles'!L$7&gt;=0), J$3, 0)</f>
        <v>2636.2497724001519</v>
      </c>
      <c r="K130" s="11">
        <f>IF(AND($A130-'Outil Cibles'!M$7&lt;=60,$A130-'Outil Cibles'!M$7&gt;=0), K$3, 0)</f>
        <v>2367.9176490853365</v>
      </c>
      <c r="L130" s="11">
        <f t="shared" si="5"/>
        <v>49577.591677777345</v>
      </c>
      <c r="N130">
        <v>2064</v>
      </c>
      <c r="O130" s="11">
        <f>IF(AND(N130-'Outil Cibles'!$Q$7&lt;=60,N130-'Outil Cibles'!$Q$7&gt;=0), 'Outil Cibles'!$Q$17, 0)</f>
        <v>9.2209307000221994</v>
      </c>
      <c r="P130" s="11">
        <f>IF(AND(N130-'Outil Cibles'!$R$7&lt;=60,N130-'Outil Cibles'!$R$7&gt;=0), 'Outil Cibles'!$R$17, 0)</f>
        <v>7.8928860244932029</v>
      </c>
      <c r="Q130" s="11">
        <f>IF(AND(N130-'Outil Cibles'!$S$7&lt;=60,N130-'Outil Cibles'!$S$7&gt;=0), 'Outil Cibles'!$S$17, 0)</f>
        <v>5.7861034181094277</v>
      </c>
      <c r="R130" s="11">
        <f>IF(AND(N130-'Outil Cibles'!$T$7&lt;=60,N130-'Outil Cibles'!$T$7&gt;=0), 'Outil Cibles'!$T$17, 0)</f>
        <v>3.9285483356528981</v>
      </c>
      <c r="S130" s="11">
        <f>IF(AND(N130-'Outil Cibles'!$U$7&lt;=60,N130-'Outil Cibles'!$U$7&gt;=0), 'Outil Cibles'!$U$17, 0)</f>
        <v>3.1156336157567535</v>
      </c>
      <c r="T130" s="11">
        <f>IF(AND(N130-'Outil Cibles'!$V$7&lt;=60,N130-'Outil Cibles'!$V$7&gt;=0), 'Outil Cibles'!$V$17, 0)</f>
        <v>2.6699626409394961</v>
      </c>
      <c r="U130" s="11">
        <f>IF(AND(N130-'Outil Cibles'!$W$7&lt;=60,N130-'Outil Cibles'!$W$7&gt;=0), 'Outil Cibles'!$W$17, 0)</f>
        <v>2.2883803860824354</v>
      </c>
      <c r="V130" s="11">
        <f>IF(AND(N130-'Outil Cibles'!$X$7&lt;=60,N130-'Outil Cibles'!$X$7&gt;=0), 'Outil Cibles'!$X$17, 0)</f>
        <v>1.9616157649480985</v>
      </c>
      <c r="W130" s="11">
        <f>IF(AND(N130-'Outil Cibles'!$Y$7&lt;=60,N130-'Outil Cibles'!$Y$7&gt;=0), 'Outil Cibles'!$Y$17, 0)</f>
        <v>1.4420078055173704</v>
      </c>
      <c r="X130" s="11">
        <f>IF(AND(N130-'Outil Cibles'!$Z$7&lt;=60,N130-'Outil Cibles'!$Z$7&gt;=0), 'Outil Cibles'!$Z$17, 0)</f>
        <v>1.2366099769912016</v>
      </c>
      <c r="Y130" s="11">
        <f t="shared" si="6"/>
        <v>39.542678668513091</v>
      </c>
    </row>
    <row r="131" spans="1:25" x14ac:dyDescent="0.3">
      <c r="A131">
        <v>2065</v>
      </c>
      <c r="B131" s="11">
        <f>IF(AND($A131-'Outil Cibles'!D$7&lt;=60,$A131-'Outil Cibles'!D$7&gt;=0), B$3, 0)</f>
        <v>8610.7328044003007</v>
      </c>
      <c r="C131" s="11">
        <f>IF(AND($A131-'Outil Cibles'!E$7&lt;=60,$A131-'Outil Cibles'!E$7&gt;=0), C$3, 0)</f>
        <v>7587.9930148218064</v>
      </c>
      <c r="D131" s="11">
        <f>IF(AND($A131-'Outil Cibles'!F$7&lt;=60,$A131-'Outil Cibles'!F$7&gt;=0), D$3, 0)</f>
        <v>6596.593651504264</v>
      </c>
      <c r="E131" s="11">
        <f>IF(AND($A131-'Outil Cibles'!G$7&lt;=60,$A131-'Outil Cibles'!G$7&gt;=0), E$3, 0)</f>
        <v>5382.3222388442455</v>
      </c>
      <c r="F131" s="11">
        <f>IF(AND($A131-'Outil Cibles'!H$7&lt;=60,$A131-'Outil Cibles'!H$7&gt;=0), F$3, 0)</f>
        <v>4697.4836188392801</v>
      </c>
      <c r="G131" s="11">
        <f>IF(AND($A131-'Outil Cibles'!I$7&lt;=60,$A131-'Outil Cibles'!I$7&gt;=0), G$3, 0)</f>
        <v>4250.0459859961411</v>
      </c>
      <c r="H131" s="11">
        <f>IF(AND($A131-'Outil Cibles'!J$7&lt;=60,$A131-'Outil Cibles'!J$7&gt;=0), H$3, 0)</f>
        <v>3878.1564147749818</v>
      </c>
      <c r="I131" s="11">
        <f>IF(AND($A131-'Outil Cibles'!K$7&lt;=60,$A131-'Outil Cibles'!K$7&gt;=0), I$3, 0)</f>
        <v>3570.0965271108435</v>
      </c>
      <c r="J131" s="11">
        <f>IF(AND($A131-'Outil Cibles'!L$7&lt;=60,$A131-'Outil Cibles'!L$7&gt;=0), J$3, 0)</f>
        <v>2636.2497724001519</v>
      </c>
      <c r="K131" s="11">
        <f>IF(AND($A131-'Outil Cibles'!M$7&lt;=60,$A131-'Outil Cibles'!M$7&gt;=0), K$3, 0)</f>
        <v>2367.9176490853365</v>
      </c>
      <c r="L131" s="11">
        <f t="shared" si="5"/>
        <v>49577.591677777345</v>
      </c>
      <c r="N131">
        <v>2065</v>
      </c>
      <c r="O131" s="11">
        <f>IF(AND(N131-'Outil Cibles'!$Q$7&lt;=60,N131-'Outil Cibles'!$Q$7&gt;=0), 'Outil Cibles'!$Q$17, 0)</f>
        <v>9.2209307000221994</v>
      </c>
      <c r="P131" s="11">
        <f>IF(AND(N131-'Outil Cibles'!$R$7&lt;=60,N131-'Outil Cibles'!$R$7&gt;=0), 'Outil Cibles'!$R$17, 0)</f>
        <v>7.8928860244932029</v>
      </c>
      <c r="Q131" s="11">
        <f>IF(AND(N131-'Outil Cibles'!$S$7&lt;=60,N131-'Outil Cibles'!$S$7&gt;=0), 'Outil Cibles'!$S$17, 0)</f>
        <v>5.7861034181094277</v>
      </c>
      <c r="R131" s="11">
        <f>IF(AND(N131-'Outil Cibles'!$T$7&lt;=60,N131-'Outil Cibles'!$T$7&gt;=0), 'Outil Cibles'!$T$17, 0)</f>
        <v>3.9285483356528981</v>
      </c>
      <c r="S131" s="11">
        <f>IF(AND(N131-'Outil Cibles'!$U$7&lt;=60,N131-'Outil Cibles'!$U$7&gt;=0), 'Outil Cibles'!$U$17, 0)</f>
        <v>3.1156336157567535</v>
      </c>
      <c r="T131" s="11">
        <f>IF(AND(N131-'Outil Cibles'!$V$7&lt;=60,N131-'Outil Cibles'!$V$7&gt;=0), 'Outil Cibles'!$V$17, 0)</f>
        <v>2.6699626409394961</v>
      </c>
      <c r="U131" s="11">
        <f>IF(AND(N131-'Outil Cibles'!$W$7&lt;=60,N131-'Outil Cibles'!$W$7&gt;=0), 'Outil Cibles'!$W$17, 0)</f>
        <v>2.2883803860824354</v>
      </c>
      <c r="V131" s="11">
        <f>IF(AND(N131-'Outil Cibles'!$X$7&lt;=60,N131-'Outil Cibles'!$X$7&gt;=0), 'Outil Cibles'!$X$17, 0)</f>
        <v>1.9616157649480985</v>
      </c>
      <c r="W131" s="11">
        <f>IF(AND(N131-'Outil Cibles'!$Y$7&lt;=60,N131-'Outil Cibles'!$Y$7&gt;=0), 'Outil Cibles'!$Y$17, 0)</f>
        <v>1.4420078055173704</v>
      </c>
      <c r="X131" s="11">
        <f>IF(AND(N131-'Outil Cibles'!$Z$7&lt;=60,N131-'Outil Cibles'!$Z$7&gt;=0), 'Outil Cibles'!$Z$17, 0)</f>
        <v>1.2366099769912016</v>
      </c>
      <c r="Y131" s="11">
        <f t="shared" si="6"/>
        <v>39.542678668513091</v>
      </c>
    </row>
    <row r="132" spans="1:25" x14ac:dyDescent="0.3">
      <c r="A132" s="10">
        <v>2066</v>
      </c>
      <c r="B132" s="11">
        <f>IF(AND($A132-'Outil Cibles'!D$7&lt;=60,$A132-'Outil Cibles'!D$7&gt;=0), B$3, 0)</f>
        <v>8610.7328044003007</v>
      </c>
      <c r="C132" s="11">
        <f>IF(AND($A132-'Outil Cibles'!E$7&lt;=60,$A132-'Outil Cibles'!E$7&gt;=0), C$3, 0)</f>
        <v>7587.9930148218064</v>
      </c>
      <c r="D132" s="11">
        <f>IF(AND($A132-'Outil Cibles'!F$7&lt;=60,$A132-'Outil Cibles'!F$7&gt;=0), D$3, 0)</f>
        <v>6596.593651504264</v>
      </c>
      <c r="E132" s="11">
        <f>IF(AND($A132-'Outil Cibles'!G$7&lt;=60,$A132-'Outil Cibles'!G$7&gt;=0), E$3, 0)</f>
        <v>5382.3222388442455</v>
      </c>
      <c r="F132" s="11">
        <f>IF(AND($A132-'Outil Cibles'!H$7&lt;=60,$A132-'Outil Cibles'!H$7&gt;=0), F$3, 0)</f>
        <v>4697.4836188392801</v>
      </c>
      <c r="G132" s="11">
        <f>IF(AND($A132-'Outil Cibles'!I$7&lt;=60,$A132-'Outil Cibles'!I$7&gt;=0), G$3, 0)</f>
        <v>4250.0459859961411</v>
      </c>
      <c r="H132" s="11">
        <f>IF(AND($A132-'Outil Cibles'!J$7&lt;=60,$A132-'Outil Cibles'!J$7&gt;=0), H$3, 0)</f>
        <v>3878.1564147749818</v>
      </c>
      <c r="I132" s="11">
        <f>IF(AND($A132-'Outil Cibles'!K$7&lt;=60,$A132-'Outil Cibles'!K$7&gt;=0), I$3, 0)</f>
        <v>3570.0965271108435</v>
      </c>
      <c r="J132" s="11">
        <f>IF(AND($A132-'Outil Cibles'!L$7&lt;=60,$A132-'Outil Cibles'!L$7&gt;=0), J$3, 0)</f>
        <v>2636.2497724001519</v>
      </c>
      <c r="K132" s="11">
        <f>IF(AND($A132-'Outil Cibles'!M$7&lt;=60,$A132-'Outil Cibles'!M$7&gt;=0), K$3, 0)</f>
        <v>2367.9176490853365</v>
      </c>
      <c r="L132" s="11">
        <f t="shared" si="5"/>
        <v>49577.591677777345</v>
      </c>
      <c r="N132" s="10">
        <v>2066</v>
      </c>
      <c r="O132" s="11">
        <f>IF(AND(N132-'Outil Cibles'!$Q$7&lt;=60,N132-'Outil Cibles'!$Q$7&gt;=0), 'Outil Cibles'!$Q$17, 0)</f>
        <v>9.2209307000221994</v>
      </c>
      <c r="P132" s="11">
        <f>IF(AND(N132-'Outil Cibles'!$R$7&lt;=60,N132-'Outil Cibles'!$R$7&gt;=0), 'Outil Cibles'!$R$17, 0)</f>
        <v>7.8928860244932029</v>
      </c>
      <c r="Q132" s="11">
        <f>IF(AND(N132-'Outil Cibles'!$S$7&lt;=60,N132-'Outil Cibles'!$S$7&gt;=0), 'Outil Cibles'!$S$17, 0)</f>
        <v>5.7861034181094277</v>
      </c>
      <c r="R132" s="11">
        <f>IF(AND(N132-'Outil Cibles'!$T$7&lt;=60,N132-'Outil Cibles'!$T$7&gt;=0), 'Outil Cibles'!$T$17, 0)</f>
        <v>3.9285483356528981</v>
      </c>
      <c r="S132" s="11">
        <f>IF(AND(N132-'Outil Cibles'!$U$7&lt;=60,N132-'Outil Cibles'!$U$7&gt;=0), 'Outil Cibles'!$U$17, 0)</f>
        <v>3.1156336157567535</v>
      </c>
      <c r="T132" s="11">
        <f>IF(AND(N132-'Outil Cibles'!$V$7&lt;=60,N132-'Outil Cibles'!$V$7&gt;=0), 'Outil Cibles'!$V$17, 0)</f>
        <v>2.6699626409394961</v>
      </c>
      <c r="U132" s="11">
        <f>IF(AND(N132-'Outil Cibles'!$W$7&lt;=60,N132-'Outil Cibles'!$W$7&gt;=0), 'Outil Cibles'!$W$17, 0)</f>
        <v>2.2883803860824354</v>
      </c>
      <c r="V132" s="11">
        <f>IF(AND(N132-'Outil Cibles'!$X$7&lt;=60,N132-'Outil Cibles'!$X$7&gt;=0), 'Outil Cibles'!$X$17, 0)</f>
        <v>1.9616157649480985</v>
      </c>
      <c r="W132" s="11">
        <f>IF(AND(N132-'Outil Cibles'!$Y$7&lt;=60,N132-'Outil Cibles'!$Y$7&gt;=0), 'Outil Cibles'!$Y$17, 0)</f>
        <v>1.4420078055173704</v>
      </c>
      <c r="X132" s="11">
        <f>IF(AND(N132-'Outil Cibles'!$Z$7&lt;=60,N132-'Outil Cibles'!$Z$7&gt;=0), 'Outil Cibles'!$Z$17, 0)</f>
        <v>1.2366099769912016</v>
      </c>
      <c r="Y132" s="11">
        <f t="shared" si="6"/>
        <v>39.542678668513091</v>
      </c>
    </row>
    <row r="133" spans="1:25" x14ac:dyDescent="0.3">
      <c r="A133">
        <v>2067</v>
      </c>
      <c r="B133" s="11">
        <f>IF(AND($A133-'Outil Cibles'!D$7&lt;=60,$A133-'Outil Cibles'!D$7&gt;=0), B$3, 0)</f>
        <v>8610.7328044003007</v>
      </c>
      <c r="C133" s="11">
        <f>IF(AND($A133-'Outil Cibles'!E$7&lt;=60,$A133-'Outil Cibles'!E$7&gt;=0), C$3, 0)</f>
        <v>7587.9930148218064</v>
      </c>
      <c r="D133" s="11">
        <f>IF(AND($A133-'Outil Cibles'!F$7&lt;=60,$A133-'Outil Cibles'!F$7&gt;=0), D$3, 0)</f>
        <v>6596.593651504264</v>
      </c>
      <c r="E133" s="11">
        <f>IF(AND($A133-'Outil Cibles'!G$7&lt;=60,$A133-'Outil Cibles'!G$7&gt;=0), E$3, 0)</f>
        <v>5382.3222388442455</v>
      </c>
      <c r="F133" s="11">
        <f>IF(AND($A133-'Outil Cibles'!H$7&lt;=60,$A133-'Outil Cibles'!H$7&gt;=0), F$3, 0)</f>
        <v>4697.4836188392801</v>
      </c>
      <c r="G133" s="11">
        <f>IF(AND($A133-'Outil Cibles'!I$7&lt;=60,$A133-'Outil Cibles'!I$7&gt;=0), G$3, 0)</f>
        <v>4250.0459859961411</v>
      </c>
      <c r="H133" s="11">
        <f>IF(AND($A133-'Outil Cibles'!J$7&lt;=60,$A133-'Outil Cibles'!J$7&gt;=0), H$3, 0)</f>
        <v>3878.1564147749818</v>
      </c>
      <c r="I133" s="11">
        <f>IF(AND($A133-'Outil Cibles'!K$7&lt;=60,$A133-'Outil Cibles'!K$7&gt;=0), I$3, 0)</f>
        <v>3570.0965271108435</v>
      </c>
      <c r="J133" s="11">
        <f>IF(AND($A133-'Outil Cibles'!L$7&lt;=60,$A133-'Outil Cibles'!L$7&gt;=0), J$3, 0)</f>
        <v>2636.2497724001519</v>
      </c>
      <c r="K133" s="11">
        <f>IF(AND($A133-'Outil Cibles'!M$7&lt;=60,$A133-'Outil Cibles'!M$7&gt;=0), K$3, 0)</f>
        <v>2367.9176490853365</v>
      </c>
      <c r="L133" s="11">
        <f t="shared" si="5"/>
        <v>49577.591677777345</v>
      </c>
      <c r="N133">
        <v>2067</v>
      </c>
      <c r="O133" s="11">
        <f>IF(AND(N133-'Outil Cibles'!$Q$7&lt;=60,N133-'Outil Cibles'!$Q$7&gt;=0), 'Outil Cibles'!$Q$17, 0)</f>
        <v>9.2209307000221994</v>
      </c>
      <c r="P133" s="11">
        <f>IF(AND(N133-'Outil Cibles'!$R$7&lt;=60,N133-'Outil Cibles'!$R$7&gt;=0), 'Outil Cibles'!$R$17, 0)</f>
        <v>7.8928860244932029</v>
      </c>
      <c r="Q133" s="11">
        <f>IF(AND(N133-'Outil Cibles'!$S$7&lt;=60,N133-'Outil Cibles'!$S$7&gt;=0), 'Outil Cibles'!$S$17, 0)</f>
        <v>5.7861034181094277</v>
      </c>
      <c r="R133" s="11">
        <f>IF(AND(N133-'Outil Cibles'!$T$7&lt;=60,N133-'Outil Cibles'!$T$7&gt;=0), 'Outil Cibles'!$T$17, 0)</f>
        <v>3.9285483356528981</v>
      </c>
      <c r="S133" s="11">
        <f>IF(AND(N133-'Outil Cibles'!$U$7&lt;=60,N133-'Outil Cibles'!$U$7&gt;=0), 'Outil Cibles'!$U$17, 0)</f>
        <v>3.1156336157567535</v>
      </c>
      <c r="T133" s="11">
        <f>IF(AND(N133-'Outil Cibles'!$V$7&lt;=60,N133-'Outil Cibles'!$V$7&gt;=0), 'Outil Cibles'!$V$17, 0)</f>
        <v>2.6699626409394961</v>
      </c>
      <c r="U133" s="11">
        <f>IF(AND(N133-'Outil Cibles'!$W$7&lt;=60,N133-'Outil Cibles'!$W$7&gt;=0), 'Outil Cibles'!$W$17, 0)</f>
        <v>2.2883803860824354</v>
      </c>
      <c r="V133" s="11">
        <f>IF(AND(N133-'Outil Cibles'!$X$7&lt;=60,N133-'Outil Cibles'!$X$7&gt;=0), 'Outil Cibles'!$X$17, 0)</f>
        <v>1.9616157649480985</v>
      </c>
      <c r="W133" s="11">
        <f>IF(AND(N133-'Outil Cibles'!$Y$7&lt;=60,N133-'Outil Cibles'!$Y$7&gt;=0), 'Outil Cibles'!$Y$17, 0)</f>
        <v>1.4420078055173704</v>
      </c>
      <c r="X133" s="11">
        <f>IF(AND(N133-'Outil Cibles'!$Z$7&lt;=60,N133-'Outil Cibles'!$Z$7&gt;=0), 'Outil Cibles'!$Z$17, 0)</f>
        <v>1.2366099769912016</v>
      </c>
      <c r="Y133" s="11">
        <f t="shared" si="6"/>
        <v>39.542678668513091</v>
      </c>
    </row>
    <row r="134" spans="1:25" x14ac:dyDescent="0.3">
      <c r="A134">
        <v>2068</v>
      </c>
      <c r="B134" s="11">
        <f>IF(AND($A134-'Outil Cibles'!D$7&lt;=60,$A134-'Outil Cibles'!D$7&gt;=0), B$3, 0)</f>
        <v>8610.7328044003007</v>
      </c>
      <c r="C134" s="11">
        <f>IF(AND($A134-'Outil Cibles'!E$7&lt;=60,$A134-'Outil Cibles'!E$7&gt;=0), C$3, 0)</f>
        <v>7587.9930148218064</v>
      </c>
      <c r="D134" s="11">
        <f>IF(AND($A134-'Outil Cibles'!F$7&lt;=60,$A134-'Outil Cibles'!F$7&gt;=0), D$3, 0)</f>
        <v>6596.593651504264</v>
      </c>
      <c r="E134" s="11">
        <f>IF(AND($A134-'Outil Cibles'!G$7&lt;=60,$A134-'Outil Cibles'!G$7&gt;=0), E$3, 0)</f>
        <v>5382.3222388442455</v>
      </c>
      <c r="F134" s="11">
        <f>IF(AND($A134-'Outil Cibles'!H$7&lt;=60,$A134-'Outil Cibles'!H$7&gt;=0), F$3, 0)</f>
        <v>4697.4836188392801</v>
      </c>
      <c r="G134" s="11">
        <f>IF(AND($A134-'Outil Cibles'!I$7&lt;=60,$A134-'Outil Cibles'!I$7&gt;=0), G$3, 0)</f>
        <v>4250.0459859961411</v>
      </c>
      <c r="H134" s="11">
        <f>IF(AND($A134-'Outil Cibles'!J$7&lt;=60,$A134-'Outil Cibles'!J$7&gt;=0), H$3, 0)</f>
        <v>3878.1564147749818</v>
      </c>
      <c r="I134" s="11">
        <f>IF(AND($A134-'Outil Cibles'!K$7&lt;=60,$A134-'Outil Cibles'!K$7&gt;=0), I$3, 0)</f>
        <v>3570.0965271108435</v>
      </c>
      <c r="J134" s="11">
        <f>IF(AND($A134-'Outil Cibles'!L$7&lt;=60,$A134-'Outil Cibles'!L$7&gt;=0), J$3, 0)</f>
        <v>2636.2497724001519</v>
      </c>
      <c r="K134" s="11">
        <f>IF(AND($A134-'Outil Cibles'!M$7&lt;=60,$A134-'Outil Cibles'!M$7&gt;=0), K$3, 0)</f>
        <v>2367.9176490853365</v>
      </c>
      <c r="L134" s="11">
        <f t="shared" si="5"/>
        <v>49577.591677777345</v>
      </c>
      <c r="N134">
        <v>2068</v>
      </c>
      <c r="O134" s="11">
        <f>IF(AND(N134-'Outil Cibles'!$Q$7&lt;=60,N134-'Outil Cibles'!$Q$7&gt;=0), 'Outil Cibles'!$Q$17, 0)</f>
        <v>9.2209307000221994</v>
      </c>
      <c r="P134" s="11">
        <f>IF(AND(N134-'Outil Cibles'!$R$7&lt;=60,N134-'Outil Cibles'!$R$7&gt;=0), 'Outil Cibles'!$R$17, 0)</f>
        <v>7.8928860244932029</v>
      </c>
      <c r="Q134" s="11">
        <f>IF(AND(N134-'Outil Cibles'!$S$7&lt;=60,N134-'Outil Cibles'!$S$7&gt;=0), 'Outil Cibles'!$S$17, 0)</f>
        <v>5.7861034181094277</v>
      </c>
      <c r="R134" s="11">
        <f>IF(AND(N134-'Outil Cibles'!$T$7&lt;=60,N134-'Outil Cibles'!$T$7&gt;=0), 'Outil Cibles'!$T$17, 0)</f>
        <v>3.9285483356528981</v>
      </c>
      <c r="S134" s="11">
        <f>IF(AND(N134-'Outil Cibles'!$U$7&lt;=60,N134-'Outil Cibles'!$U$7&gt;=0), 'Outil Cibles'!$U$17, 0)</f>
        <v>3.1156336157567535</v>
      </c>
      <c r="T134" s="11">
        <f>IF(AND(N134-'Outil Cibles'!$V$7&lt;=60,N134-'Outil Cibles'!$V$7&gt;=0), 'Outil Cibles'!$V$17, 0)</f>
        <v>2.6699626409394961</v>
      </c>
      <c r="U134" s="11">
        <f>IF(AND(N134-'Outil Cibles'!$W$7&lt;=60,N134-'Outil Cibles'!$W$7&gt;=0), 'Outil Cibles'!$W$17, 0)</f>
        <v>2.2883803860824354</v>
      </c>
      <c r="V134" s="11">
        <f>IF(AND(N134-'Outil Cibles'!$X$7&lt;=60,N134-'Outil Cibles'!$X$7&gt;=0), 'Outil Cibles'!$X$17, 0)</f>
        <v>1.9616157649480985</v>
      </c>
      <c r="W134" s="11">
        <f>IF(AND(N134-'Outil Cibles'!$Y$7&lt;=60,N134-'Outil Cibles'!$Y$7&gt;=0), 'Outil Cibles'!$Y$17, 0)</f>
        <v>1.4420078055173704</v>
      </c>
      <c r="X134" s="11">
        <f>IF(AND(N134-'Outil Cibles'!$Z$7&lt;=60,N134-'Outil Cibles'!$Z$7&gt;=0), 'Outil Cibles'!$Z$17, 0)</f>
        <v>1.2366099769912016</v>
      </c>
      <c r="Y134" s="11">
        <f t="shared" si="6"/>
        <v>39.542678668513091</v>
      </c>
    </row>
    <row r="135" spans="1:25" x14ac:dyDescent="0.3">
      <c r="A135">
        <v>2069</v>
      </c>
      <c r="B135" s="11">
        <f>IF(AND($A135-'Outil Cibles'!D$7&lt;=60,$A135-'Outil Cibles'!D$7&gt;=0), B$3, 0)</f>
        <v>8610.7328044003007</v>
      </c>
      <c r="C135" s="11">
        <f>IF(AND($A135-'Outil Cibles'!E$7&lt;=60,$A135-'Outil Cibles'!E$7&gt;=0), C$3, 0)</f>
        <v>7587.9930148218064</v>
      </c>
      <c r="D135" s="11">
        <f>IF(AND($A135-'Outil Cibles'!F$7&lt;=60,$A135-'Outil Cibles'!F$7&gt;=0), D$3, 0)</f>
        <v>6596.593651504264</v>
      </c>
      <c r="E135" s="11">
        <f>IF(AND($A135-'Outil Cibles'!G$7&lt;=60,$A135-'Outil Cibles'!G$7&gt;=0), E$3, 0)</f>
        <v>5382.3222388442455</v>
      </c>
      <c r="F135" s="11">
        <f>IF(AND($A135-'Outil Cibles'!H$7&lt;=60,$A135-'Outil Cibles'!H$7&gt;=0), F$3, 0)</f>
        <v>4697.4836188392801</v>
      </c>
      <c r="G135" s="11">
        <f>IF(AND($A135-'Outil Cibles'!I$7&lt;=60,$A135-'Outil Cibles'!I$7&gt;=0), G$3, 0)</f>
        <v>4250.0459859961411</v>
      </c>
      <c r="H135" s="11">
        <f>IF(AND($A135-'Outil Cibles'!J$7&lt;=60,$A135-'Outil Cibles'!J$7&gt;=0), H$3, 0)</f>
        <v>3878.1564147749818</v>
      </c>
      <c r="I135" s="11">
        <f>IF(AND($A135-'Outil Cibles'!K$7&lt;=60,$A135-'Outil Cibles'!K$7&gt;=0), I$3, 0)</f>
        <v>3570.0965271108435</v>
      </c>
      <c r="J135" s="11">
        <f>IF(AND($A135-'Outil Cibles'!L$7&lt;=60,$A135-'Outil Cibles'!L$7&gt;=0), J$3, 0)</f>
        <v>2636.2497724001519</v>
      </c>
      <c r="K135" s="11">
        <f>IF(AND($A135-'Outil Cibles'!M$7&lt;=60,$A135-'Outil Cibles'!M$7&gt;=0), K$3, 0)</f>
        <v>2367.9176490853365</v>
      </c>
      <c r="L135" s="11">
        <f t="shared" si="5"/>
        <v>49577.591677777345</v>
      </c>
      <c r="N135">
        <v>2069</v>
      </c>
      <c r="O135" s="11">
        <f>IF(AND(N135-'Outil Cibles'!$Q$7&lt;=60,N135-'Outil Cibles'!$Q$7&gt;=0), 'Outil Cibles'!$Q$17, 0)</f>
        <v>9.2209307000221994</v>
      </c>
      <c r="P135" s="11">
        <f>IF(AND(N135-'Outil Cibles'!$R$7&lt;=60,N135-'Outil Cibles'!$R$7&gt;=0), 'Outil Cibles'!$R$17, 0)</f>
        <v>7.8928860244932029</v>
      </c>
      <c r="Q135" s="11">
        <f>IF(AND(N135-'Outil Cibles'!$S$7&lt;=60,N135-'Outil Cibles'!$S$7&gt;=0), 'Outil Cibles'!$S$17, 0)</f>
        <v>5.7861034181094277</v>
      </c>
      <c r="R135" s="11">
        <f>IF(AND(N135-'Outil Cibles'!$T$7&lt;=60,N135-'Outil Cibles'!$T$7&gt;=0), 'Outil Cibles'!$T$17, 0)</f>
        <v>3.9285483356528981</v>
      </c>
      <c r="S135" s="11">
        <f>IF(AND(N135-'Outil Cibles'!$U$7&lt;=60,N135-'Outil Cibles'!$U$7&gt;=0), 'Outil Cibles'!$U$17, 0)</f>
        <v>3.1156336157567535</v>
      </c>
      <c r="T135" s="11">
        <f>IF(AND(N135-'Outil Cibles'!$V$7&lt;=60,N135-'Outil Cibles'!$V$7&gt;=0), 'Outil Cibles'!$V$17, 0)</f>
        <v>2.6699626409394961</v>
      </c>
      <c r="U135" s="11">
        <f>IF(AND(N135-'Outil Cibles'!$W$7&lt;=60,N135-'Outil Cibles'!$W$7&gt;=0), 'Outil Cibles'!$W$17, 0)</f>
        <v>2.2883803860824354</v>
      </c>
      <c r="V135" s="11">
        <f>IF(AND(N135-'Outil Cibles'!$X$7&lt;=60,N135-'Outil Cibles'!$X$7&gt;=0), 'Outil Cibles'!$X$17, 0)</f>
        <v>1.9616157649480985</v>
      </c>
      <c r="W135" s="11">
        <f>IF(AND(N135-'Outil Cibles'!$Y$7&lt;=60,N135-'Outil Cibles'!$Y$7&gt;=0), 'Outil Cibles'!$Y$17, 0)</f>
        <v>1.4420078055173704</v>
      </c>
      <c r="X135" s="11">
        <f>IF(AND(N135-'Outil Cibles'!$Z$7&lt;=60,N135-'Outil Cibles'!$Z$7&gt;=0), 'Outil Cibles'!$Z$17, 0)</f>
        <v>1.2366099769912016</v>
      </c>
      <c r="Y135" s="11">
        <f t="shared" si="6"/>
        <v>39.542678668513091</v>
      </c>
    </row>
    <row r="136" spans="1:25" x14ac:dyDescent="0.3">
      <c r="A136">
        <v>2070</v>
      </c>
      <c r="B136" s="11">
        <f>IF(AND($A136-'Outil Cibles'!D$7&lt;=60,$A136-'Outil Cibles'!D$7&gt;=0), B$3, 0)</f>
        <v>8610.7328044003007</v>
      </c>
      <c r="C136" s="11">
        <f>IF(AND($A136-'Outil Cibles'!E$7&lt;=60,$A136-'Outil Cibles'!E$7&gt;=0), C$3, 0)</f>
        <v>7587.9930148218064</v>
      </c>
      <c r="D136" s="11">
        <f>IF(AND($A136-'Outil Cibles'!F$7&lt;=60,$A136-'Outil Cibles'!F$7&gt;=0), D$3, 0)</f>
        <v>6596.593651504264</v>
      </c>
      <c r="E136" s="11">
        <f>IF(AND($A136-'Outil Cibles'!G$7&lt;=60,$A136-'Outil Cibles'!G$7&gt;=0), E$3, 0)</f>
        <v>5382.3222388442455</v>
      </c>
      <c r="F136" s="11">
        <f>IF(AND($A136-'Outil Cibles'!H$7&lt;=60,$A136-'Outil Cibles'!H$7&gt;=0), F$3, 0)</f>
        <v>4697.4836188392801</v>
      </c>
      <c r="G136" s="11">
        <f>IF(AND($A136-'Outil Cibles'!I$7&lt;=60,$A136-'Outil Cibles'!I$7&gt;=0), G$3, 0)</f>
        <v>4250.0459859961411</v>
      </c>
      <c r="H136" s="11">
        <f>IF(AND($A136-'Outil Cibles'!J$7&lt;=60,$A136-'Outil Cibles'!J$7&gt;=0), H$3, 0)</f>
        <v>3878.1564147749818</v>
      </c>
      <c r="I136" s="11">
        <f>IF(AND($A136-'Outil Cibles'!K$7&lt;=60,$A136-'Outil Cibles'!K$7&gt;=0), I$3, 0)</f>
        <v>3570.0965271108435</v>
      </c>
      <c r="J136" s="11">
        <f>IF(AND($A136-'Outil Cibles'!L$7&lt;=60,$A136-'Outil Cibles'!L$7&gt;=0), J$3, 0)</f>
        <v>2636.2497724001519</v>
      </c>
      <c r="K136" s="11">
        <f>IF(AND($A136-'Outil Cibles'!M$7&lt;=60,$A136-'Outil Cibles'!M$7&gt;=0), K$3, 0)</f>
        <v>2367.9176490853365</v>
      </c>
      <c r="L136" s="11">
        <f t="shared" si="5"/>
        <v>49577.591677777345</v>
      </c>
      <c r="N136">
        <v>2070</v>
      </c>
      <c r="O136" s="11">
        <f>IF(AND(N136-'Outil Cibles'!$Q$7&lt;=60,N136-'Outil Cibles'!$Q$7&gt;=0), 'Outil Cibles'!$Q$17, 0)</f>
        <v>9.2209307000221994</v>
      </c>
      <c r="P136" s="11">
        <f>IF(AND(N136-'Outil Cibles'!$R$7&lt;=60,N136-'Outil Cibles'!$R$7&gt;=0), 'Outil Cibles'!$R$17, 0)</f>
        <v>7.8928860244932029</v>
      </c>
      <c r="Q136" s="11">
        <f>IF(AND(N136-'Outil Cibles'!$S$7&lt;=60,N136-'Outil Cibles'!$S$7&gt;=0), 'Outil Cibles'!$S$17, 0)</f>
        <v>5.7861034181094277</v>
      </c>
      <c r="R136" s="11">
        <f>IF(AND(N136-'Outil Cibles'!$T$7&lt;=60,N136-'Outil Cibles'!$T$7&gt;=0), 'Outil Cibles'!$T$17, 0)</f>
        <v>3.9285483356528981</v>
      </c>
      <c r="S136" s="11">
        <f>IF(AND(N136-'Outil Cibles'!$U$7&lt;=60,N136-'Outil Cibles'!$U$7&gt;=0), 'Outil Cibles'!$U$17, 0)</f>
        <v>3.1156336157567535</v>
      </c>
      <c r="T136" s="11">
        <f>IF(AND(N136-'Outil Cibles'!$V$7&lt;=60,N136-'Outil Cibles'!$V$7&gt;=0), 'Outil Cibles'!$V$17, 0)</f>
        <v>2.6699626409394961</v>
      </c>
      <c r="U136" s="11">
        <f>IF(AND(N136-'Outil Cibles'!$W$7&lt;=60,N136-'Outil Cibles'!$W$7&gt;=0), 'Outil Cibles'!$W$17, 0)</f>
        <v>2.2883803860824354</v>
      </c>
      <c r="V136" s="11">
        <f>IF(AND(N136-'Outil Cibles'!$X$7&lt;=60,N136-'Outil Cibles'!$X$7&gt;=0), 'Outil Cibles'!$X$17, 0)</f>
        <v>1.9616157649480985</v>
      </c>
      <c r="W136" s="11">
        <f>IF(AND(N136-'Outil Cibles'!$Y$7&lt;=60,N136-'Outil Cibles'!$Y$7&gt;=0), 'Outil Cibles'!$Y$17, 0)</f>
        <v>1.4420078055173704</v>
      </c>
      <c r="X136" s="11">
        <f>IF(AND(N136-'Outil Cibles'!$Z$7&lt;=60,N136-'Outil Cibles'!$Z$7&gt;=0), 'Outil Cibles'!$Z$17, 0)</f>
        <v>1.2366099769912016</v>
      </c>
      <c r="Y136" s="11">
        <f t="shared" si="6"/>
        <v>39.542678668513091</v>
      </c>
    </row>
    <row r="137" spans="1:25" x14ac:dyDescent="0.3">
      <c r="A137">
        <v>2071</v>
      </c>
      <c r="B137" s="11">
        <f>IF(AND($A137-'Outil Cibles'!D$7&lt;=60,$A137-'Outil Cibles'!D$7&gt;=0), B$3, 0)</f>
        <v>8610.7328044003007</v>
      </c>
      <c r="C137" s="11">
        <f>IF(AND($A137-'Outil Cibles'!E$7&lt;=60,$A137-'Outil Cibles'!E$7&gt;=0), C$3, 0)</f>
        <v>7587.9930148218064</v>
      </c>
      <c r="D137" s="11">
        <f>IF(AND($A137-'Outil Cibles'!F$7&lt;=60,$A137-'Outil Cibles'!F$7&gt;=0), D$3, 0)</f>
        <v>6596.593651504264</v>
      </c>
      <c r="E137" s="11">
        <f>IF(AND($A137-'Outil Cibles'!G$7&lt;=60,$A137-'Outil Cibles'!G$7&gt;=0), E$3, 0)</f>
        <v>5382.3222388442455</v>
      </c>
      <c r="F137" s="11">
        <f>IF(AND($A137-'Outil Cibles'!H$7&lt;=60,$A137-'Outil Cibles'!H$7&gt;=0), F$3, 0)</f>
        <v>4697.4836188392801</v>
      </c>
      <c r="G137" s="11">
        <f>IF(AND($A137-'Outil Cibles'!I$7&lt;=60,$A137-'Outil Cibles'!I$7&gt;=0), G$3, 0)</f>
        <v>4250.0459859961411</v>
      </c>
      <c r="H137" s="11">
        <f>IF(AND($A137-'Outil Cibles'!J$7&lt;=60,$A137-'Outil Cibles'!J$7&gt;=0), H$3, 0)</f>
        <v>3878.1564147749818</v>
      </c>
      <c r="I137" s="11">
        <f>IF(AND($A137-'Outil Cibles'!K$7&lt;=60,$A137-'Outil Cibles'!K$7&gt;=0), I$3, 0)</f>
        <v>3570.0965271108435</v>
      </c>
      <c r="J137" s="11">
        <f>IF(AND($A137-'Outil Cibles'!L$7&lt;=60,$A137-'Outil Cibles'!L$7&gt;=0), J$3, 0)</f>
        <v>2636.2497724001519</v>
      </c>
      <c r="K137" s="11">
        <f>IF(AND($A137-'Outil Cibles'!M$7&lt;=60,$A137-'Outil Cibles'!M$7&gt;=0), K$3, 0)</f>
        <v>2367.9176490853365</v>
      </c>
      <c r="L137" s="11">
        <f t="shared" si="5"/>
        <v>49577.591677777345</v>
      </c>
      <c r="N137">
        <v>2071</v>
      </c>
      <c r="O137" s="11">
        <f>IF(AND(N137-'Outil Cibles'!$Q$7&lt;=60,N137-'Outil Cibles'!$Q$7&gt;=0), 'Outil Cibles'!$Q$17, 0)</f>
        <v>9.2209307000221994</v>
      </c>
      <c r="P137" s="11">
        <f>IF(AND(N137-'Outil Cibles'!$R$7&lt;=60,N137-'Outil Cibles'!$R$7&gt;=0), 'Outil Cibles'!$R$17, 0)</f>
        <v>7.8928860244932029</v>
      </c>
      <c r="Q137" s="11">
        <f>IF(AND(N137-'Outil Cibles'!$S$7&lt;=60,N137-'Outil Cibles'!$S$7&gt;=0), 'Outil Cibles'!$S$17, 0)</f>
        <v>5.7861034181094277</v>
      </c>
      <c r="R137" s="11">
        <f>IF(AND(N137-'Outil Cibles'!$T$7&lt;=60,N137-'Outil Cibles'!$T$7&gt;=0), 'Outil Cibles'!$T$17, 0)</f>
        <v>3.9285483356528981</v>
      </c>
      <c r="S137" s="11">
        <f>IF(AND(N137-'Outil Cibles'!$U$7&lt;=60,N137-'Outil Cibles'!$U$7&gt;=0), 'Outil Cibles'!$U$17, 0)</f>
        <v>3.1156336157567535</v>
      </c>
      <c r="T137" s="11">
        <f>IF(AND(N137-'Outil Cibles'!$V$7&lt;=60,N137-'Outil Cibles'!$V$7&gt;=0), 'Outil Cibles'!$V$17, 0)</f>
        <v>2.6699626409394961</v>
      </c>
      <c r="U137" s="11">
        <f>IF(AND(N137-'Outil Cibles'!$W$7&lt;=60,N137-'Outil Cibles'!$W$7&gt;=0), 'Outil Cibles'!$W$17, 0)</f>
        <v>2.2883803860824354</v>
      </c>
      <c r="V137" s="11">
        <f>IF(AND(N137-'Outil Cibles'!$X$7&lt;=60,N137-'Outil Cibles'!$X$7&gt;=0), 'Outil Cibles'!$X$17, 0)</f>
        <v>1.9616157649480985</v>
      </c>
      <c r="W137" s="11">
        <f>IF(AND(N137-'Outil Cibles'!$Y$7&lt;=60,N137-'Outil Cibles'!$Y$7&gt;=0), 'Outil Cibles'!$Y$17, 0)</f>
        <v>1.4420078055173704</v>
      </c>
      <c r="X137" s="11">
        <f>IF(AND(N137-'Outil Cibles'!$Z$7&lt;=60,N137-'Outil Cibles'!$Z$7&gt;=0), 'Outil Cibles'!$Z$17, 0)</f>
        <v>1.2366099769912016</v>
      </c>
      <c r="Y137" s="11">
        <f t="shared" si="6"/>
        <v>39.542678668513091</v>
      </c>
    </row>
    <row r="138" spans="1:25" x14ac:dyDescent="0.3">
      <c r="A138">
        <v>2072</v>
      </c>
      <c r="B138" s="11">
        <f>IF(AND($A138-'Outil Cibles'!D$7&lt;=60,$A138-'Outil Cibles'!D$7&gt;=0), B$3, 0)</f>
        <v>8610.7328044003007</v>
      </c>
      <c r="C138" s="11">
        <f>IF(AND($A138-'Outil Cibles'!E$7&lt;=60,$A138-'Outil Cibles'!E$7&gt;=0), C$3, 0)</f>
        <v>7587.9930148218064</v>
      </c>
      <c r="D138" s="11">
        <f>IF(AND($A138-'Outil Cibles'!F$7&lt;=60,$A138-'Outil Cibles'!F$7&gt;=0), D$3, 0)</f>
        <v>6596.593651504264</v>
      </c>
      <c r="E138" s="11">
        <f>IF(AND($A138-'Outil Cibles'!G$7&lt;=60,$A138-'Outil Cibles'!G$7&gt;=0), E$3, 0)</f>
        <v>5382.3222388442455</v>
      </c>
      <c r="F138" s="11">
        <f>IF(AND($A138-'Outil Cibles'!H$7&lt;=60,$A138-'Outil Cibles'!H$7&gt;=0), F$3, 0)</f>
        <v>4697.4836188392801</v>
      </c>
      <c r="G138" s="11">
        <f>IF(AND($A138-'Outil Cibles'!I$7&lt;=60,$A138-'Outil Cibles'!I$7&gt;=0), G$3, 0)</f>
        <v>4250.0459859961411</v>
      </c>
      <c r="H138" s="11">
        <f>IF(AND($A138-'Outil Cibles'!J$7&lt;=60,$A138-'Outil Cibles'!J$7&gt;=0), H$3, 0)</f>
        <v>3878.1564147749818</v>
      </c>
      <c r="I138" s="11">
        <f>IF(AND($A138-'Outil Cibles'!K$7&lt;=60,$A138-'Outil Cibles'!K$7&gt;=0), I$3, 0)</f>
        <v>3570.0965271108435</v>
      </c>
      <c r="J138" s="11">
        <f>IF(AND($A138-'Outil Cibles'!L$7&lt;=60,$A138-'Outil Cibles'!L$7&gt;=0), J$3, 0)</f>
        <v>2636.2497724001519</v>
      </c>
      <c r="K138" s="11">
        <f>IF(AND($A138-'Outil Cibles'!M$7&lt;=60,$A138-'Outil Cibles'!M$7&gt;=0), K$3, 0)</f>
        <v>2367.9176490853365</v>
      </c>
      <c r="L138" s="11">
        <f t="shared" si="5"/>
        <v>49577.591677777345</v>
      </c>
      <c r="N138">
        <v>2072</v>
      </c>
      <c r="O138" s="11">
        <f>IF(AND(N138-'Outil Cibles'!$Q$7&lt;=60,N138-'Outil Cibles'!$Q$7&gt;=0), 'Outil Cibles'!$Q$17, 0)</f>
        <v>9.2209307000221994</v>
      </c>
      <c r="P138" s="11">
        <f>IF(AND(N138-'Outil Cibles'!$R$7&lt;=60,N138-'Outil Cibles'!$R$7&gt;=0), 'Outil Cibles'!$R$17, 0)</f>
        <v>7.8928860244932029</v>
      </c>
      <c r="Q138" s="11">
        <f>IF(AND(N138-'Outil Cibles'!$S$7&lt;=60,N138-'Outil Cibles'!$S$7&gt;=0), 'Outil Cibles'!$S$17, 0)</f>
        <v>5.7861034181094277</v>
      </c>
      <c r="R138" s="11">
        <f>IF(AND(N138-'Outil Cibles'!$T$7&lt;=60,N138-'Outil Cibles'!$T$7&gt;=0), 'Outil Cibles'!$T$17, 0)</f>
        <v>3.9285483356528981</v>
      </c>
      <c r="S138" s="11">
        <f>IF(AND(N138-'Outil Cibles'!$U$7&lt;=60,N138-'Outil Cibles'!$U$7&gt;=0), 'Outil Cibles'!$U$17, 0)</f>
        <v>3.1156336157567535</v>
      </c>
      <c r="T138" s="11">
        <f>IF(AND(N138-'Outil Cibles'!$V$7&lt;=60,N138-'Outil Cibles'!$V$7&gt;=0), 'Outil Cibles'!$V$17, 0)</f>
        <v>2.6699626409394961</v>
      </c>
      <c r="U138" s="11">
        <f>IF(AND(N138-'Outil Cibles'!$W$7&lt;=60,N138-'Outil Cibles'!$W$7&gt;=0), 'Outil Cibles'!$W$17, 0)</f>
        <v>2.2883803860824354</v>
      </c>
      <c r="V138" s="11">
        <f>IF(AND(N138-'Outil Cibles'!$X$7&lt;=60,N138-'Outil Cibles'!$X$7&gt;=0), 'Outil Cibles'!$X$17, 0)</f>
        <v>1.9616157649480985</v>
      </c>
      <c r="W138" s="11">
        <f>IF(AND(N138-'Outil Cibles'!$Y$7&lt;=60,N138-'Outil Cibles'!$Y$7&gt;=0), 'Outil Cibles'!$Y$17, 0)</f>
        <v>1.4420078055173704</v>
      </c>
      <c r="X138" s="11">
        <f>IF(AND(N138-'Outil Cibles'!$Z$7&lt;=60,N138-'Outil Cibles'!$Z$7&gt;=0), 'Outil Cibles'!$Z$17, 0)</f>
        <v>1.2366099769912016</v>
      </c>
      <c r="Y138" s="11">
        <f t="shared" si="6"/>
        <v>39.542678668513091</v>
      </c>
    </row>
    <row r="139" spans="1:25" x14ac:dyDescent="0.3">
      <c r="A139" s="10">
        <v>2073</v>
      </c>
      <c r="B139" s="11">
        <f>IF(AND($A139-'Outil Cibles'!D$7&lt;=60,$A139-'Outil Cibles'!D$7&gt;=0), B$3, 0)</f>
        <v>8610.7328044003007</v>
      </c>
      <c r="C139" s="11">
        <f>IF(AND($A139-'Outil Cibles'!E$7&lt;=60,$A139-'Outil Cibles'!E$7&gt;=0), C$3, 0)</f>
        <v>7587.9930148218064</v>
      </c>
      <c r="D139" s="11">
        <f>IF(AND($A139-'Outil Cibles'!F$7&lt;=60,$A139-'Outil Cibles'!F$7&gt;=0), D$3, 0)</f>
        <v>6596.593651504264</v>
      </c>
      <c r="E139" s="11">
        <f>IF(AND($A139-'Outil Cibles'!G$7&lt;=60,$A139-'Outil Cibles'!G$7&gt;=0), E$3, 0)</f>
        <v>5382.3222388442455</v>
      </c>
      <c r="F139" s="11">
        <f>IF(AND($A139-'Outil Cibles'!H$7&lt;=60,$A139-'Outil Cibles'!H$7&gt;=0), F$3, 0)</f>
        <v>4697.4836188392801</v>
      </c>
      <c r="G139" s="11">
        <f>IF(AND($A139-'Outil Cibles'!I$7&lt;=60,$A139-'Outil Cibles'!I$7&gt;=0), G$3, 0)</f>
        <v>4250.0459859961411</v>
      </c>
      <c r="H139" s="11">
        <f>IF(AND($A139-'Outil Cibles'!J$7&lt;=60,$A139-'Outil Cibles'!J$7&gt;=0), H$3, 0)</f>
        <v>3878.1564147749818</v>
      </c>
      <c r="I139" s="11">
        <f>IF(AND($A139-'Outil Cibles'!K$7&lt;=60,$A139-'Outil Cibles'!K$7&gt;=0), I$3, 0)</f>
        <v>3570.0965271108435</v>
      </c>
      <c r="J139" s="11">
        <f>IF(AND($A139-'Outil Cibles'!L$7&lt;=60,$A139-'Outil Cibles'!L$7&gt;=0), J$3, 0)</f>
        <v>2636.2497724001519</v>
      </c>
      <c r="K139" s="11">
        <f>IF(AND($A139-'Outil Cibles'!M$7&lt;=60,$A139-'Outil Cibles'!M$7&gt;=0), K$3, 0)</f>
        <v>2367.9176490853365</v>
      </c>
      <c r="L139" s="11">
        <f t="shared" si="5"/>
        <v>49577.591677777345</v>
      </c>
      <c r="N139" s="10">
        <v>2073</v>
      </c>
      <c r="O139" s="11">
        <f>IF(AND(N139-'Outil Cibles'!$Q$7&lt;=60,N139-'Outil Cibles'!$Q$7&gt;=0), 'Outil Cibles'!$Q$17, 0)</f>
        <v>9.2209307000221994</v>
      </c>
      <c r="P139" s="11">
        <f>IF(AND(N139-'Outil Cibles'!$R$7&lt;=60,N139-'Outil Cibles'!$R$7&gt;=0), 'Outil Cibles'!$R$17, 0)</f>
        <v>7.8928860244932029</v>
      </c>
      <c r="Q139" s="11">
        <f>IF(AND(N139-'Outil Cibles'!$S$7&lt;=60,N139-'Outil Cibles'!$S$7&gt;=0), 'Outil Cibles'!$S$17, 0)</f>
        <v>5.7861034181094277</v>
      </c>
      <c r="R139" s="11">
        <f>IF(AND(N139-'Outil Cibles'!$T$7&lt;=60,N139-'Outil Cibles'!$T$7&gt;=0), 'Outil Cibles'!$T$17, 0)</f>
        <v>3.9285483356528981</v>
      </c>
      <c r="S139" s="11">
        <f>IF(AND(N139-'Outil Cibles'!$U$7&lt;=60,N139-'Outil Cibles'!$U$7&gt;=0), 'Outil Cibles'!$U$17, 0)</f>
        <v>3.1156336157567535</v>
      </c>
      <c r="T139" s="11">
        <f>IF(AND(N139-'Outil Cibles'!$V$7&lt;=60,N139-'Outil Cibles'!$V$7&gt;=0), 'Outil Cibles'!$V$17, 0)</f>
        <v>2.6699626409394961</v>
      </c>
      <c r="U139" s="11">
        <f>IF(AND(N139-'Outil Cibles'!$W$7&lt;=60,N139-'Outil Cibles'!$W$7&gt;=0), 'Outil Cibles'!$W$17, 0)</f>
        <v>2.2883803860824354</v>
      </c>
      <c r="V139" s="11">
        <f>IF(AND(N139-'Outil Cibles'!$X$7&lt;=60,N139-'Outil Cibles'!$X$7&gt;=0), 'Outil Cibles'!$X$17, 0)</f>
        <v>1.9616157649480985</v>
      </c>
      <c r="W139" s="11">
        <f>IF(AND(N139-'Outil Cibles'!$Y$7&lt;=60,N139-'Outil Cibles'!$Y$7&gt;=0), 'Outil Cibles'!$Y$17, 0)</f>
        <v>1.4420078055173704</v>
      </c>
      <c r="X139" s="11">
        <f>IF(AND(N139-'Outil Cibles'!$Z$7&lt;=60,N139-'Outil Cibles'!$Z$7&gt;=0), 'Outil Cibles'!$Z$17, 0)</f>
        <v>1.2366099769912016</v>
      </c>
      <c r="Y139" s="11">
        <f t="shared" si="6"/>
        <v>39.542678668513091</v>
      </c>
    </row>
    <row r="140" spans="1:25" x14ac:dyDescent="0.3">
      <c r="A140">
        <v>2074</v>
      </c>
      <c r="B140" s="11">
        <f>IF(AND($A140-'Outil Cibles'!D$7&lt;=60,$A140-'Outil Cibles'!D$7&gt;=0), B$3, 0)</f>
        <v>8610.7328044003007</v>
      </c>
      <c r="C140" s="11">
        <f>IF(AND($A140-'Outil Cibles'!E$7&lt;=60,$A140-'Outil Cibles'!E$7&gt;=0), C$3, 0)</f>
        <v>7587.9930148218064</v>
      </c>
      <c r="D140" s="11">
        <f>IF(AND($A140-'Outil Cibles'!F$7&lt;=60,$A140-'Outil Cibles'!F$7&gt;=0), D$3, 0)</f>
        <v>6596.593651504264</v>
      </c>
      <c r="E140" s="11">
        <f>IF(AND($A140-'Outil Cibles'!G$7&lt;=60,$A140-'Outil Cibles'!G$7&gt;=0), E$3, 0)</f>
        <v>5382.3222388442455</v>
      </c>
      <c r="F140" s="11">
        <f>IF(AND($A140-'Outil Cibles'!H$7&lt;=60,$A140-'Outil Cibles'!H$7&gt;=0), F$3, 0)</f>
        <v>4697.4836188392801</v>
      </c>
      <c r="G140" s="11">
        <f>IF(AND($A140-'Outil Cibles'!I$7&lt;=60,$A140-'Outil Cibles'!I$7&gt;=0), G$3, 0)</f>
        <v>4250.0459859961411</v>
      </c>
      <c r="H140" s="11">
        <f>IF(AND($A140-'Outil Cibles'!J$7&lt;=60,$A140-'Outil Cibles'!J$7&gt;=0), H$3, 0)</f>
        <v>3878.1564147749818</v>
      </c>
      <c r="I140" s="11">
        <f>IF(AND($A140-'Outil Cibles'!K$7&lt;=60,$A140-'Outil Cibles'!K$7&gt;=0), I$3, 0)</f>
        <v>3570.0965271108435</v>
      </c>
      <c r="J140" s="11">
        <f>IF(AND($A140-'Outil Cibles'!L$7&lt;=60,$A140-'Outil Cibles'!L$7&gt;=0), J$3, 0)</f>
        <v>2636.2497724001519</v>
      </c>
      <c r="K140" s="11">
        <f>IF(AND($A140-'Outil Cibles'!M$7&lt;=60,$A140-'Outil Cibles'!M$7&gt;=0), K$3, 0)</f>
        <v>2367.9176490853365</v>
      </c>
      <c r="L140" s="11">
        <f t="shared" si="5"/>
        <v>49577.591677777345</v>
      </c>
      <c r="N140">
        <v>2074</v>
      </c>
      <c r="O140" s="11">
        <f>IF(AND(N140-'Outil Cibles'!$Q$7&lt;=60,N140-'Outil Cibles'!$Q$7&gt;=0), 'Outil Cibles'!$Q$17, 0)</f>
        <v>9.2209307000221994</v>
      </c>
      <c r="P140" s="11">
        <f>IF(AND(N140-'Outil Cibles'!$R$7&lt;=60,N140-'Outil Cibles'!$R$7&gt;=0), 'Outil Cibles'!$R$17, 0)</f>
        <v>7.8928860244932029</v>
      </c>
      <c r="Q140" s="11">
        <f>IF(AND(N140-'Outil Cibles'!$S$7&lt;=60,N140-'Outil Cibles'!$S$7&gt;=0), 'Outil Cibles'!$S$17, 0)</f>
        <v>5.7861034181094277</v>
      </c>
      <c r="R140" s="11">
        <f>IF(AND(N140-'Outil Cibles'!$T$7&lt;=60,N140-'Outil Cibles'!$T$7&gt;=0), 'Outil Cibles'!$T$17, 0)</f>
        <v>3.9285483356528981</v>
      </c>
      <c r="S140" s="11">
        <f>IF(AND(N140-'Outil Cibles'!$U$7&lt;=60,N140-'Outil Cibles'!$U$7&gt;=0), 'Outil Cibles'!$U$17, 0)</f>
        <v>3.1156336157567535</v>
      </c>
      <c r="T140" s="11">
        <f>IF(AND(N140-'Outil Cibles'!$V$7&lt;=60,N140-'Outil Cibles'!$V$7&gt;=0), 'Outil Cibles'!$V$17, 0)</f>
        <v>2.6699626409394961</v>
      </c>
      <c r="U140" s="11">
        <f>IF(AND(N140-'Outil Cibles'!$W$7&lt;=60,N140-'Outil Cibles'!$W$7&gt;=0), 'Outil Cibles'!$W$17, 0)</f>
        <v>2.2883803860824354</v>
      </c>
      <c r="V140" s="11">
        <f>IF(AND(N140-'Outil Cibles'!$X$7&lt;=60,N140-'Outil Cibles'!$X$7&gt;=0), 'Outil Cibles'!$X$17, 0)</f>
        <v>1.9616157649480985</v>
      </c>
      <c r="W140" s="11">
        <f>IF(AND(N140-'Outil Cibles'!$Y$7&lt;=60,N140-'Outil Cibles'!$Y$7&gt;=0), 'Outil Cibles'!$Y$17, 0)</f>
        <v>1.4420078055173704</v>
      </c>
      <c r="X140" s="11">
        <f>IF(AND(N140-'Outil Cibles'!$Z$7&lt;=60,N140-'Outil Cibles'!$Z$7&gt;=0), 'Outil Cibles'!$Z$17, 0)</f>
        <v>1.2366099769912016</v>
      </c>
      <c r="Y140" s="11">
        <f t="shared" si="6"/>
        <v>39.542678668513091</v>
      </c>
    </row>
    <row r="141" spans="1:25" x14ac:dyDescent="0.3">
      <c r="A141">
        <v>2075</v>
      </c>
      <c r="B141" s="11">
        <f>IF(AND($A141-'Outil Cibles'!D$7&lt;=60,$A141-'Outil Cibles'!D$7&gt;=0), B$3, 0)</f>
        <v>8610.7328044003007</v>
      </c>
      <c r="C141" s="11">
        <f>IF(AND($A141-'Outil Cibles'!E$7&lt;=60,$A141-'Outil Cibles'!E$7&gt;=0), C$3, 0)</f>
        <v>7587.9930148218064</v>
      </c>
      <c r="D141" s="11">
        <f>IF(AND($A141-'Outil Cibles'!F$7&lt;=60,$A141-'Outil Cibles'!F$7&gt;=0), D$3, 0)</f>
        <v>6596.593651504264</v>
      </c>
      <c r="E141" s="11">
        <f>IF(AND($A141-'Outil Cibles'!G$7&lt;=60,$A141-'Outil Cibles'!G$7&gt;=0), E$3, 0)</f>
        <v>5382.3222388442455</v>
      </c>
      <c r="F141" s="11">
        <f>IF(AND($A141-'Outil Cibles'!H$7&lt;=60,$A141-'Outil Cibles'!H$7&gt;=0), F$3, 0)</f>
        <v>4697.4836188392801</v>
      </c>
      <c r="G141" s="11">
        <f>IF(AND($A141-'Outil Cibles'!I$7&lt;=60,$A141-'Outil Cibles'!I$7&gt;=0), G$3, 0)</f>
        <v>4250.0459859961411</v>
      </c>
      <c r="H141" s="11">
        <f>IF(AND($A141-'Outil Cibles'!J$7&lt;=60,$A141-'Outil Cibles'!J$7&gt;=0), H$3, 0)</f>
        <v>3878.1564147749818</v>
      </c>
      <c r="I141" s="11">
        <f>IF(AND($A141-'Outil Cibles'!K$7&lt;=60,$A141-'Outil Cibles'!K$7&gt;=0), I$3, 0)</f>
        <v>3570.0965271108435</v>
      </c>
      <c r="J141" s="11">
        <f>IF(AND($A141-'Outil Cibles'!L$7&lt;=60,$A141-'Outil Cibles'!L$7&gt;=0), J$3, 0)</f>
        <v>2636.2497724001519</v>
      </c>
      <c r="K141" s="11">
        <f>IF(AND($A141-'Outil Cibles'!M$7&lt;=60,$A141-'Outil Cibles'!M$7&gt;=0), K$3, 0)</f>
        <v>2367.9176490853365</v>
      </c>
      <c r="L141" s="11">
        <f t="shared" si="5"/>
        <v>49577.591677777345</v>
      </c>
      <c r="N141">
        <v>2075</v>
      </c>
      <c r="O141" s="11">
        <f>IF(AND(N141-'Outil Cibles'!$Q$7&lt;=60,N141-'Outil Cibles'!$Q$7&gt;=0), 'Outil Cibles'!$Q$17, 0)</f>
        <v>9.2209307000221994</v>
      </c>
      <c r="P141" s="11">
        <f>IF(AND(N141-'Outil Cibles'!$R$7&lt;=60,N141-'Outil Cibles'!$R$7&gt;=0), 'Outil Cibles'!$R$17, 0)</f>
        <v>7.8928860244932029</v>
      </c>
      <c r="Q141" s="11">
        <f>IF(AND(N141-'Outil Cibles'!$S$7&lt;=60,N141-'Outil Cibles'!$S$7&gt;=0), 'Outil Cibles'!$S$17, 0)</f>
        <v>5.7861034181094277</v>
      </c>
      <c r="R141" s="11">
        <f>IF(AND(N141-'Outil Cibles'!$T$7&lt;=60,N141-'Outil Cibles'!$T$7&gt;=0), 'Outil Cibles'!$T$17, 0)</f>
        <v>3.9285483356528981</v>
      </c>
      <c r="S141" s="11">
        <f>IF(AND(N141-'Outil Cibles'!$U$7&lt;=60,N141-'Outil Cibles'!$U$7&gt;=0), 'Outil Cibles'!$U$17, 0)</f>
        <v>3.1156336157567535</v>
      </c>
      <c r="T141" s="11">
        <f>IF(AND(N141-'Outil Cibles'!$V$7&lt;=60,N141-'Outil Cibles'!$V$7&gt;=0), 'Outil Cibles'!$V$17, 0)</f>
        <v>2.6699626409394961</v>
      </c>
      <c r="U141" s="11">
        <f>IF(AND(N141-'Outil Cibles'!$W$7&lt;=60,N141-'Outil Cibles'!$W$7&gt;=0), 'Outil Cibles'!$W$17, 0)</f>
        <v>2.2883803860824354</v>
      </c>
      <c r="V141" s="11">
        <f>IF(AND(N141-'Outil Cibles'!$X$7&lt;=60,N141-'Outil Cibles'!$X$7&gt;=0), 'Outil Cibles'!$X$17, 0)</f>
        <v>1.9616157649480985</v>
      </c>
      <c r="W141" s="11">
        <f>IF(AND(N141-'Outil Cibles'!$Y$7&lt;=60,N141-'Outil Cibles'!$Y$7&gt;=0), 'Outil Cibles'!$Y$17, 0)</f>
        <v>1.4420078055173704</v>
      </c>
      <c r="X141" s="11">
        <f>IF(AND(N141-'Outil Cibles'!$Z$7&lt;=60,N141-'Outil Cibles'!$Z$7&gt;=0), 'Outil Cibles'!$Z$17, 0)</f>
        <v>1.2366099769912016</v>
      </c>
      <c r="Y141" s="11">
        <f t="shared" si="6"/>
        <v>39.542678668513091</v>
      </c>
    </row>
    <row r="142" spans="1:25" x14ac:dyDescent="0.3">
      <c r="A142">
        <v>2076</v>
      </c>
      <c r="B142" s="11">
        <f>IF(AND($A142-'Outil Cibles'!D$7&lt;=60,$A142-'Outil Cibles'!D$7&gt;=0), B$3, 0)</f>
        <v>8610.7328044003007</v>
      </c>
      <c r="C142" s="11">
        <f>IF(AND($A142-'Outil Cibles'!E$7&lt;=60,$A142-'Outil Cibles'!E$7&gt;=0), C$3, 0)</f>
        <v>7587.9930148218064</v>
      </c>
      <c r="D142" s="11">
        <f>IF(AND($A142-'Outil Cibles'!F$7&lt;=60,$A142-'Outil Cibles'!F$7&gt;=0), D$3, 0)</f>
        <v>6596.593651504264</v>
      </c>
      <c r="E142" s="11">
        <f>IF(AND($A142-'Outil Cibles'!G$7&lt;=60,$A142-'Outil Cibles'!G$7&gt;=0), E$3, 0)</f>
        <v>5382.3222388442455</v>
      </c>
      <c r="F142" s="11">
        <f>IF(AND($A142-'Outil Cibles'!H$7&lt;=60,$A142-'Outil Cibles'!H$7&gt;=0), F$3, 0)</f>
        <v>4697.4836188392801</v>
      </c>
      <c r="G142" s="11">
        <f>IF(AND($A142-'Outil Cibles'!I$7&lt;=60,$A142-'Outil Cibles'!I$7&gt;=0), G$3, 0)</f>
        <v>4250.0459859961411</v>
      </c>
      <c r="H142" s="11">
        <f>IF(AND($A142-'Outil Cibles'!J$7&lt;=60,$A142-'Outil Cibles'!J$7&gt;=0), H$3, 0)</f>
        <v>3878.1564147749818</v>
      </c>
      <c r="I142" s="11">
        <f>IF(AND($A142-'Outil Cibles'!K$7&lt;=60,$A142-'Outil Cibles'!K$7&gt;=0), I$3, 0)</f>
        <v>3570.0965271108435</v>
      </c>
      <c r="J142" s="11">
        <f>IF(AND($A142-'Outil Cibles'!L$7&lt;=60,$A142-'Outil Cibles'!L$7&gt;=0), J$3, 0)</f>
        <v>2636.2497724001519</v>
      </c>
      <c r="K142" s="11">
        <f>IF(AND($A142-'Outil Cibles'!M$7&lt;=60,$A142-'Outil Cibles'!M$7&gt;=0), K$3, 0)</f>
        <v>2367.9176490853365</v>
      </c>
      <c r="L142" s="11">
        <f t="shared" si="5"/>
        <v>49577.591677777345</v>
      </c>
      <c r="N142">
        <v>2076</v>
      </c>
      <c r="O142" s="11">
        <f>IF(AND(N142-'Outil Cibles'!$Q$7&lt;=60,N142-'Outil Cibles'!$Q$7&gt;=0), 'Outil Cibles'!$Q$17, 0)</f>
        <v>9.2209307000221994</v>
      </c>
      <c r="P142" s="11">
        <f>IF(AND(N142-'Outil Cibles'!$R$7&lt;=60,N142-'Outil Cibles'!$R$7&gt;=0), 'Outil Cibles'!$R$17, 0)</f>
        <v>7.8928860244932029</v>
      </c>
      <c r="Q142" s="11">
        <f>IF(AND(N142-'Outil Cibles'!$S$7&lt;=60,N142-'Outil Cibles'!$S$7&gt;=0), 'Outil Cibles'!$S$17, 0)</f>
        <v>5.7861034181094277</v>
      </c>
      <c r="R142" s="11">
        <f>IF(AND(N142-'Outil Cibles'!$T$7&lt;=60,N142-'Outil Cibles'!$T$7&gt;=0), 'Outil Cibles'!$T$17, 0)</f>
        <v>3.9285483356528981</v>
      </c>
      <c r="S142" s="11">
        <f>IF(AND(N142-'Outil Cibles'!$U$7&lt;=60,N142-'Outil Cibles'!$U$7&gt;=0), 'Outil Cibles'!$U$17, 0)</f>
        <v>3.1156336157567535</v>
      </c>
      <c r="T142" s="11">
        <f>IF(AND(N142-'Outil Cibles'!$V$7&lt;=60,N142-'Outil Cibles'!$V$7&gt;=0), 'Outil Cibles'!$V$17, 0)</f>
        <v>2.6699626409394961</v>
      </c>
      <c r="U142" s="11">
        <f>IF(AND(N142-'Outil Cibles'!$W$7&lt;=60,N142-'Outil Cibles'!$W$7&gt;=0), 'Outil Cibles'!$W$17, 0)</f>
        <v>2.2883803860824354</v>
      </c>
      <c r="V142" s="11">
        <f>IF(AND(N142-'Outil Cibles'!$X$7&lt;=60,N142-'Outil Cibles'!$X$7&gt;=0), 'Outil Cibles'!$X$17, 0)</f>
        <v>1.9616157649480985</v>
      </c>
      <c r="W142" s="11">
        <f>IF(AND(N142-'Outil Cibles'!$Y$7&lt;=60,N142-'Outil Cibles'!$Y$7&gt;=0), 'Outil Cibles'!$Y$17, 0)</f>
        <v>1.4420078055173704</v>
      </c>
      <c r="X142" s="11">
        <f>IF(AND(N142-'Outil Cibles'!$Z$7&lt;=60,N142-'Outil Cibles'!$Z$7&gt;=0), 'Outil Cibles'!$Z$17, 0)</f>
        <v>1.2366099769912016</v>
      </c>
      <c r="Y142" s="11">
        <f t="shared" si="6"/>
        <v>39.542678668513091</v>
      </c>
    </row>
    <row r="143" spans="1:25" x14ac:dyDescent="0.3">
      <c r="A143" s="10">
        <v>2077</v>
      </c>
      <c r="B143" s="11">
        <f>IF(AND($A143-'Outil Cibles'!D$7&lt;=60,$A143-'Outil Cibles'!D$7&gt;=0), B$3, 0)</f>
        <v>8610.7328044003007</v>
      </c>
      <c r="C143" s="11">
        <f>IF(AND($A143-'Outil Cibles'!E$7&lt;=60,$A143-'Outil Cibles'!E$7&gt;=0), C$3, 0)</f>
        <v>7587.9930148218064</v>
      </c>
      <c r="D143" s="11">
        <f>IF(AND($A143-'Outil Cibles'!F$7&lt;=60,$A143-'Outil Cibles'!F$7&gt;=0), D$3, 0)</f>
        <v>6596.593651504264</v>
      </c>
      <c r="E143" s="11">
        <f>IF(AND($A143-'Outil Cibles'!G$7&lt;=60,$A143-'Outil Cibles'!G$7&gt;=0), E$3, 0)</f>
        <v>5382.3222388442455</v>
      </c>
      <c r="F143" s="11">
        <f>IF(AND($A143-'Outil Cibles'!H$7&lt;=60,$A143-'Outil Cibles'!H$7&gt;=0), F$3, 0)</f>
        <v>4697.4836188392801</v>
      </c>
      <c r="G143" s="11">
        <f>IF(AND($A143-'Outil Cibles'!I$7&lt;=60,$A143-'Outil Cibles'!I$7&gt;=0), G$3, 0)</f>
        <v>4250.0459859961411</v>
      </c>
      <c r="H143" s="11">
        <f>IF(AND($A143-'Outil Cibles'!J$7&lt;=60,$A143-'Outil Cibles'!J$7&gt;=0), H$3, 0)</f>
        <v>3878.1564147749818</v>
      </c>
      <c r="I143" s="11">
        <f>IF(AND($A143-'Outil Cibles'!K$7&lt;=60,$A143-'Outil Cibles'!K$7&gt;=0), I$3, 0)</f>
        <v>3570.0965271108435</v>
      </c>
      <c r="J143" s="11">
        <f>IF(AND($A143-'Outil Cibles'!L$7&lt;=60,$A143-'Outil Cibles'!L$7&gt;=0), J$3, 0)</f>
        <v>2636.2497724001519</v>
      </c>
      <c r="K143" s="11">
        <f>IF(AND($A143-'Outil Cibles'!M$7&lt;=60,$A143-'Outil Cibles'!M$7&gt;=0), K$3, 0)</f>
        <v>2367.9176490853365</v>
      </c>
      <c r="L143" s="11">
        <f t="shared" si="5"/>
        <v>49577.591677777345</v>
      </c>
      <c r="N143" s="10">
        <v>2077</v>
      </c>
      <c r="O143" s="11">
        <f>IF(AND(N143-'Outil Cibles'!$Q$7&lt;=60,N143-'Outil Cibles'!$Q$7&gt;=0), 'Outil Cibles'!$Q$17, 0)</f>
        <v>9.2209307000221994</v>
      </c>
      <c r="P143" s="11">
        <f>IF(AND(N143-'Outil Cibles'!$R$7&lt;=60,N143-'Outil Cibles'!$R$7&gt;=0), 'Outil Cibles'!$R$17, 0)</f>
        <v>7.8928860244932029</v>
      </c>
      <c r="Q143" s="11">
        <f>IF(AND(N143-'Outil Cibles'!$S$7&lt;=60,N143-'Outil Cibles'!$S$7&gt;=0), 'Outil Cibles'!$S$17, 0)</f>
        <v>5.7861034181094277</v>
      </c>
      <c r="R143" s="11">
        <f>IF(AND(N143-'Outil Cibles'!$T$7&lt;=60,N143-'Outil Cibles'!$T$7&gt;=0), 'Outil Cibles'!$T$17, 0)</f>
        <v>3.9285483356528981</v>
      </c>
      <c r="S143" s="11">
        <f>IF(AND(N143-'Outil Cibles'!$U$7&lt;=60,N143-'Outil Cibles'!$U$7&gt;=0), 'Outil Cibles'!$U$17, 0)</f>
        <v>3.1156336157567535</v>
      </c>
      <c r="T143" s="11">
        <f>IF(AND(N143-'Outil Cibles'!$V$7&lt;=60,N143-'Outil Cibles'!$V$7&gt;=0), 'Outil Cibles'!$V$17, 0)</f>
        <v>2.6699626409394961</v>
      </c>
      <c r="U143" s="11">
        <f>IF(AND(N143-'Outil Cibles'!$W$7&lt;=60,N143-'Outil Cibles'!$W$7&gt;=0), 'Outil Cibles'!$W$17, 0)</f>
        <v>2.2883803860824354</v>
      </c>
      <c r="V143" s="11">
        <f>IF(AND(N143-'Outil Cibles'!$X$7&lt;=60,N143-'Outil Cibles'!$X$7&gt;=0), 'Outil Cibles'!$X$17, 0)</f>
        <v>1.9616157649480985</v>
      </c>
      <c r="W143" s="11">
        <f>IF(AND(N143-'Outil Cibles'!$Y$7&lt;=60,N143-'Outil Cibles'!$Y$7&gt;=0), 'Outil Cibles'!$Y$17, 0)</f>
        <v>1.4420078055173704</v>
      </c>
      <c r="X143" s="11">
        <f>IF(AND(N143-'Outil Cibles'!$Z$7&lt;=60,N143-'Outil Cibles'!$Z$7&gt;=0), 'Outil Cibles'!$Z$17, 0)</f>
        <v>1.2366099769912016</v>
      </c>
      <c r="Y143" s="11">
        <f t="shared" si="6"/>
        <v>39.542678668513091</v>
      </c>
    </row>
    <row r="144" spans="1:25" x14ac:dyDescent="0.3">
      <c r="A144">
        <v>2078</v>
      </c>
      <c r="B144" s="11">
        <f>IF(AND($A144-'Outil Cibles'!D$7&lt;=60,$A144-'Outil Cibles'!D$7&gt;=0), B$3, 0)</f>
        <v>8610.7328044003007</v>
      </c>
      <c r="C144" s="11">
        <f>IF(AND($A144-'Outil Cibles'!E$7&lt;=60,$A144-'Outil Cibles'!E$7&gt;=0), C$3, 0)</f>
        <v>7587.9930148218064</v>
      </c>
      <c r="D144" s="11">
        <f>IF(AND($A144-'Outil Cibles'!F$7&lt;=60,$A144-'Outil Cibles'!F$7&gt;=0), D$3, 0)</f>
        <v>6596.593651504264</v>
      </c>
      <c r="E144" s="11">
        <f>IF(AND($A144-'Outil Cibles'!G$7&lt;=60,$A144-'Outil Cibles'!G$7&gt;=0), E$3, 0)</f>
        <v>5382.3222388442455</v>
      </c>
      <c r="F144" s="11">
        <f>IF(AND($A144-'Outil Cibles'!H$7&lt;=60,$A144-'Outil Cibles'!H$7&gt;=0), F$3, 0)</f>
        <v>4697.4836188392801</v>
      </c>
      <c r="G144" s="11">
        <f>IF(AND($A144-'Outil Cibles'!I$7&lt;=60,$A144-'Outil Cibles'!I$7&gt;=0), G$3, 0)</f>
        <v>4250.0459859961411</v>
      </c>
      <c r="H144" s="11">
        <f>IF(AND($A144-'Outil Cibles'!J$7&lt;=60,$A144-'Outil Cibles'!J$7&gt;=0), H$3, 0)</f>
        <v>3878.1564147749818</v>
      </c>
      <c r="I144" s="11">
        <f>IF(AND($A144-'Outil Cibles'!K$7&lt;=60,$A144-'Outil Cibles'!K$7&gt;=0), I$3, 0)</f>
        <v>3570.0965271108435</v>
      </c>
      <c r="J144" s="11">
        <f>IF(AND($A144-'Outil Cibles'!L$7&lt;=60,$A144-'Outil Cibles'!L$7&gt;=0), J$3, 0)</f>
        <v>2636.2497724001519</v>
      </c>
      <c r="K144" s="11">
        <f>IF(AND($A144-'Outil Cibles'!M$7&lt;=60,$A144-'Outil Cibles'!M$7&gt;=0), K$3, 0)</f>
        <v>2367.9176490853365</v>
      </c>
      <c r="L144" s="11">
        <f t="shared" si="5"/>
        <v>49577.591677777345</v>
      </c>
      <c r="N144">
        <v>2078</v>
      </c>
      <c r="O144" s="11">
        <f>IF(AND(N144-'Outil Cibles'!$Q$7&lt;=60,N144-'Outil Cibles'!$Q$7&gt;=0), 'Outil Cibles'!$Q$17, 0)</f>
        <v>9.2209307000221994</v>
      </c>
      <c r="P144" s="11">
        <f>IF(AND(N144-'Outil Cibles'!$R$7&lt;=60,N144-'Outil Cibles'!$R$7&gt;=0), 'Outil Cibles'!$R$17, 0)</f>
        <v>7.8928860244932029</v>
      </c>
      <c r="Q144" s="11">
        <f>IF(AND(N144-'Outil Cibles'!$S$7&lt;=60,N144-'Outil Cibles'!$S$7&gt;=0), 'Outil Cibles'!$S$17, 0)</f>
        <v>5.7861034181094277</v>
      </c>
      <c r="R144" s="11">
        <f>IF(AND(N144-'Outil Cibles'!$T$7&lt;=60,N144-'Outil Cibles'!$T$7&gt;=0), 'Outil Cibles'!$T$17, 0)</f>
        <v>3.9285483356528981</v>
      </c>
      <c r="S144" s="11">
        <f>IF(AND(N144-'Outil Cibles'!$U$7&lt;=60,N144-'Outil Cibles'!$U$7&gt;=0), 'Outil Cibles'!$U$17, 0)</f>
        <v>3.1156336157567535</v>
      </c>
      <c r="T144" s="11">
        <f>IF(AND(N144-'Outil Cibles'!$V$7&lt;=60,N144-'Outil Cibles'!$V$7&gt;=0), 'Outil Cibles'!$V$17, 0)</f>
        <v>2.6699626409394961</v>
      </c>
      <c r="U144" s="11">
        <f>IF(AND(N144-'Outil Cibles'!$W$7&lt;=60,N144-'Outil Cibles'!$W$7&gt;=0), 'Outil Cibles'!$W$17, 0)</f>
        <v>2.2883803860824354</v>
      </c>
      <c r="V144" s="11">
        <f>IF(AND(N144-'Outil Cibles'!$X$7&lt;=60,N144-'Outil Cibles'!$X$7&gt;=0), 'Outil Cibles'!$X$17, 0)</f>
        <v>1.9616157649480985</v>
      </c>
      <c r="W144" s="11">
        <f>IF(AND(N144-'Outil Cibles'!$Y$7&lt;=60,N144-'Outil Cibles'!$Y$7&gt;=0), 'Outil Cibles'!$Y$17, 0)</f>
        <v>1.4420078055173704</v>
      </c>
      <c r="X144" s="11">
        <f>IF(AND(N144-'Outil Cibles'!$Z$7&lt;=60,N144-'Outil Cibles'!$Z$7&gt;=0), 'Outil Cibles'!$Z$17, 0)</f>
        <v>1.2366099769912016</v>
      </c>
      <c r="Y144" s="11">
        <f t="shared" si="6"/>
        <v>39.542678668513091</v>
      </c>
    </row>
    <row r="145" spans="1:25" x14ac:dyDescent="0.3">
      <c r="A145">
        <v>2079</v>
      </c>
      <c r="B145" s="11">
        <f>IF(AND($A145-'Outil Cibles'!D$7&lt;=60,$A145-'Outil Cibles'!D$7&gt;=0), B$3, 0)</f>
        <v>8610.7328044003007</v>
      </c>
      <c r="C145" s="11">
        <f>IF(AND($A145-'Outil Cibles'!E$7&lt;=60,$A145-'Outil Cibles'!E$7&gt;=0), C$3, 0)</f>
        <v>7587.9930148218064</v>
      </c>
      <c r="D145" s="11">
        <f>IF(AND($A145-'Outil Cibles'!F$7&lt;=60,$A145-'Outil Cibles'!F$7&gt;=0), D$3, 0)</f>
        <v>6596.593651504264</v>
      </c>
      <c r="E145" s="11">
        <f>IF(AND($A145-'Outil Cibles'!G$7&lt;=60,$A145-'Outil Cibles'!G$7&gt;=0), E$3, 0)</f>
        <v>5382.3222388442455</v>
      </c>
      <c r="F145" s="11">
        <f>IF(AND($A145-'Outil Cibles'!H$7&lt;=60,$A145-'Outil Cibles'!H$7&gt;=0), F$3, 0)</f>
        <v>4697.4836188392801</v>
      </c>
      <c r="G145" s="11">
        <f>IF(AND($A145-'Outil Cibles'!I$7&lt;=60,$A145-'Outil Cibles'!I$7&gt;=0), G$3, 0)</f>
        <v>4250.0459859961411</v>
      </c>
      <c r="H145" s="11">
        <f>IF(AND($A145-'Outil Cibles'!J$7&lt;=60,$A145-'Outil Cibles'!J$7&gt;=0), H$3, 0)</f>
        <v>3878.1564147749818</v>
      </c>
      <c r="I145" s="11">
        <f>IF(AND($A145-'Outil Cibles'!K$7&lt;=60,$A145-'Outil Cibles'!K$7&gt;=0), I$3, 0)</f>
        <v>3570.0965271108435</v>
      </c>
      <c r="J145" s="11">
        <f>IF(AND($A145-'Outil Cibles'!L$7&lt;=60,$A145-'Outil Cibles'!L$7&gt;=0), J$3, 0)</f>
        <v>2636.2497724001519</v>
      </c>
      <c r="K145" s="11">
        <f>IF(AND($A145-'Outil Cibles'!M$7&lt;=60,$A145-'Outil Cibles'!M$7&gt;=0), K$3, 0)</f>
        <v>2367.9176490853365</v>
      </c>
      <c r="L145" s="11">
        <f t="shared" si="5"/>
        <v>49577.591677777345</v>
      </c>
      <c r="N145">
        <v>2079</v>
      </c>
      <c r="O145" s="11">
        <f>IF(AND(N145-'Outil Cibles'!$Q$7&lt;=60,N145-'Outil Cibles'!$Q$7&gt;=0), 'Outil Cibles'!$Q$17, 0)</f>
        <v>9.2209307000221994</v>
      </c>
      <c r="P145" s="11">
        <f>IF(AND(N145-'Outil Cibles'!$R$7&lt;=60,N145-'Outil Cibles'!$R$7&gt;=0), 'Outil Cibles'!$R$17, 0)</f>
        <v>7.8928860244932029</v>
      </c>
      <c r="Q145" s="11">
        <f>IF(AND(N145-'Outil Cibles'!$S$7&lt;=60,N145-'Outil Cibles'!$S$7&gt;=0), 'Outil Cibles'!$S$17, 0)</f>
        <v>5.7861034181094277</v>
      </c>
      <c r="R145" s="11">
        <f>IF(AND(N145-'Outil Cibles'!$T$7&lt;=60,N145-'Outil Cibles'!$T$7&gt;=0), 'Outil Cibles'!$T$17, 0)</f>
        <v>3.9285483356528981</v>
      </c>
      <c r="S145" s="11">
        <f>IF(AND(N145-'Outil Cibles'!$U$7&lt;=60,N145-'Outil Cibles'!$U$7&gt;=0), 'Outil Cibles'!$U$17, 0)</f>
        <v>3.1156336157567535</v>
      </c>
      <c r="T145" s="11">
        <f>IF(AND(N145-'Outil Cibles'!$V$7&lt;=60,N145-'Outil Cibles'!$V$7&gt;=0), 'Outil Cibles'!$V$17, 0)</f>
        <v>2.6699626409394961</v>
      </c>
      <c r="U145" s="11">
        <f>IF(AND(N145-'Outil Cibles'!$W$7&lt;=60,N145-'Outil Cibles'!$W$7&gt;=0), 'Outil Cibles'!$W$17, 0)</f>
        <v>2.2883803860824354</v>
      </c>
      <c r="V145" s="11">
        <f>IF(AND(N145-'Outil Cibles'!$X$7&lt;=60,N145-'Outil Cibles'!$X$7&gt;=0), 'Outil Cibles'!$X$17, 0)</f>
        <v>1.9616157649480985</v>
      </c>
      <c r="W145" s="11">
        <f>IF(AND(N145-'Outil Cibles'!$Y$7&lt;=60,N145-'Outil Cibles'!$Y$7&gt;=0), 'Outil Cibles'!$Y$17, 0)</f>
        <v>1.4420078055173704</v>
      </c>
      <c r="X145" s="11">
        <f>IF(AND(N145-'Outil Cibles'!$Z$7&lt;=60,N145-'Outil Cibles'!$Z$7&gt;=0), 'Outil Cibles'!$Z$17, 0)</f>
        <v>1.2366099769912016</v>
      </c>
      <c r="Y145" s="11">
        <f t="shared" si="6"/>
        <v>39.542678668513091</v>
      </c>
    </row>
    <row r="146" spans="1:25" x14ac:dyDescent="0.3">
      <c r="A146">
        <v>2080</v>
      </c>
      <c r="B146" s="11">
        <f>IF(AND($A146-'Outil Cibles'!D$7&lt;=60,$A146-'Outil Cibles'!D$7&gt;=0), B$3, 0)</f>
        <v>8610.7328044003007</v>
      </c>
      <c r="C146" s="11">
        <f>IF(AND($A146-'Outil Cibles'!E$7&lt;=60,$A146-'Outil Cibles'!E$7&gt;=0), C$3, 0)</f>
        <v>7587.9930148218064</v>
      </c>
      <c r="D146" s="11">
        <f>IF(AND($A146-'Outil Cibles'!F$7&lt;=60,$A146-'Outil Cibles'!F$7&gt;=0), D$3, 0)</f>
        <v>6596.593651504264</v>
      </c>
      <c r="E146" s="11">
        <f>IF(AND($A146-'Outil Cibles'!G$7&lt;=60,$A146-'Outil Cibles'!G$7&gt;=0), E$3, 0)</f>
        <v>5382.3222388442455</v>
      </c>
      <c r="F146" s="11">
        <f>IF(AND($A146-'Outil Cibles'!H$7&lt;=60,$A146-'Outil Cibles'!H$7&gt;=0), F$3, 0)</f>
        <v>4697.4836188392801</v>
      </c>
      <c r="G146" s="11">
        <f>IF(AND($A146-'Outil Cibles'!I$7&lt;=60,$A146-'Outil Cibles'!I$7&gt;=0), G$3, 0)</f>
        <v>4250.0459859961411</v>
      </c>
      <c r="H146" s="11">
        <f>IF(AND($A146-'Outil Cibles'!J$7&lt;=60,$A146-'Outil Cibles'!J$7&gt;=0), H$3, 0)</f>
        <v>3878.1564147749818</v>
      </c>
      <c r="I146" s="11">
        <f>IF(AND($A146-'Outil Cibles'!K$7&lt;=60,$A146-'Outil Cibles'!K$7&gt;=0), I$3, 0)</f>
        <v>3570.0965271108435</v>
      </c>
      <c r="J146" s="11">
        <f>IF(AND($A146-'Outil Cibles'!L$7&lt;=60,$A146-'Outil Cibles'!L$7&gt;=0), J$3, 0)</f>
        <v>2636.2497724001519</v>
      </c>
      <c r="K146" s="11">
        <f>IF(AND($A146-'Outil Cibles'!M$7&lt;=60,$A146-'Outil Cibles'!M$7&gt;=0), K$3, 0)</f>
        <v>2367.9176490853365</v>
      </c>
      <c r="L146" s="11">
        <f t="shared" si="5"/>
        <v>49577.591677777345</v>
      </c>
      <c r="N146">
        <v>2080</v>
      </c>
      <c r="O146" s="11">
        <f>IF(AND(N146-'Outil Cibles'!$Q$7&lt;=60,N146-'Outil Cibles'!$Q$7&gt;=0), 'Outil Cibles'!$Q$17, 0)</f>
        <v>9.2209307000221994</v>
      </c>
      <c r="P146" s="11">
        <f>IF(AND(N146-'Outil Cibles'!$R$7&lt;=60,N146-'Outil Cibles'!$R$7&gt;=0), 'Outil Cibles'!$R$17, 0)</f>
        <v>7.8928860244932029</v>
      </c>
      <c r="Q146" s="11">
        <f>IF(AND(N146-'Outil Cibles'!$S$7&lt;=60,N146-'Outil Cibles'!$S$7&gt;=0), 'Outil Cibles'!$S$17, 0)</f>
        <v>5.7861034181094277</v>
      </c>
      <c r="R146" s="11">
        <f>IF(AND(N146-'Outil Cibles'!$T$7&lt;=60,N146-'Outil Cibles'!$T$7&gt;=0), 'Outil Cibles'!$T$17, 0)</f>
        <v>3.9285483356528981</v>
      </c>
      <c r="S146" s="11">
        <f>IF(AND(N146-'Outil Cibles'!$U$7&lt;=60,N146-'Outil Cibles'!$U$7&gt;=0), 'Outil Cibles'!$U$17, 0)</f>
        <v>3.1156336157567535</v>
      </c>
      <c r="T146" s="11">
        <f>IF(AND(N146-'Outil Cibles'!$V$7&lt;=60,N146-'Outil Cibles'!$V$7&gt;=0), 'Outil Cibles'!$V$17, 0)</f>
        <v>2.6699626409394961</v>
      </c>
      <c r="U146" s="11">
        <f>IF(AND(N146-'Outil Cibles'!$W$7&lt;=60,N146-'Outil Cibles'!$W$7&gt;=0), 'Outil Cibles'!$W$17, 0)</f>
        <v>2.2883803860824354</v>
      </c>
      <c r="V146" s="11">
        <f>IF(AND(N146-'Outil Cibles'!$X$7&lt;=60,N146-'Outil Cibles'!$X$7&gt;=0), 'Outil Cibles'!$X$17, 0)</f>
        <v>1.9616157649480985</v>
      </c>
      <c r="W146" s="11">
        <f>IF(AND(N146-'Outil Cibles'!$Y$7&lt;=60,N146-'Outil Cibles'!$Y$7&gt;=0), 'Outil Cibles'!$Y$17, 0)</f>
        <v>1.4420078055173704</v>
      </c>
      <c r="X146" s="11">
        <f>IF(AND(N146-'Outil Cibles'!$Z$7&lt;=60,N146-'Outil Cibles'!$Z$7&gt;=0), 'Outil Cibles'!$Z$17, 0)</f>
        <v>1.2366099769912016</v>
      </c>
      <c r="Y146" s="11">
        <f t="shared" si="6"/>
        <v>39.542678668513091</v>
      </c>
    </row>
    <row r="147" spans="1:25" x14ac:dyDescent="0.3">
      <c r="A147" s="10">
        <v>2081</v>
      </c>
      <c r="B147" s="11">
        <f>IF(AND($A147-'Outil Cibles'!D$7&lt;=60,$A147-'Outil Cibles'!D$7&gt;=0), B$3, 0)</f>
        <v>8610.7328044003007</v>
      </c>
      <c r="C147" s="11">
        <f>IF(AND($A147-'Outil Cibles'!E$7&lt;=60,$A147-'Outil Cibles'!E$7&gt;=0), C$3, 0)</f>
        <v>7587.9930148218064</v>
      </c>
      <c r="D147" s="11">
        <f>IF(AND($A147-'Outil Cibles'!F$7&lt;=60,$A147-'Outil Cibles'!F$7&gt;=0), D$3, 0)</f>
        <v>6596.593651504264</v>
      </c>
      <c r="E147" s="11">
        <f>IF(AND($A147-'Outil Cibles'!G$7&lt;=60,$A147-'Outil Cibles'!G$7&gt;=0), E$3, 0)</f>
        <v>5382.3222388442455</v>
      </c>
      <c r="F147" s="11">
        <f>IF(AND($A147-'Outil Cibles'!H$7&lt;=60,$A147-'Outil Cibles'!H$7&gt;=0), F$3, 0)</f>
        <v>4697.4836188392801</v>
      </c>
      <c r="G147" s="11">
        <f>IF(AND($A147-'Outil Cibles'!I$7&lt;=60,$A147-'Outil Cibles'!I$7&gt;=0), G$3, 0)</f>
        <v>4250.0459859961411</v>
      </c>
      <c r="H147" s="11">
        <f>IF(AND($A147-'Outil Cibles'!J$7&lt;=60,$A147-'Outil Cibles'!J$7&gt;=0), H$3, 0)</f>
        <v>3878.1564147749818</v>
      </c>
      <c r="I147" s="11">
        <f>IF(AND($A147-'Outil Cibles'!K$7&lt;=60,$A147-'Outil Cibles'!K$7&gt;=0), I$3, 0)</f>
        <v>3570.0965271108435</v>
      </c>
      <c r="J147" s="11">
        <f>IF(AND($A147-'Outil Cibles'!L$7&lt;=60,$A147-'Outil Cibles'!L$7&gt;=0), J$3, 0)</f>
        <v>2636.2497724001519</v>
      </c>
      <c r="K147" s="11">
        <f>IF(AND($A147-'Outil Cibles'!M$7&lt;=60,$A147-'Outil Cibles'!M$7&gt;=0), K$3, 0)</f>
        <v>2367.9176490853365</v>
      </c>
      <c r="L147" s="11">
        <f t="shared" si="5"/>
        <v>49577.591677777345</v>
      </c>
      <c r="N147" s="10">
        <v>2081</v>
      </c>
      <c r="O147" s="11">
        <f>IF(AND(N147-'Outil Cibles'!$Q$7&lt;=60,N147-'Outil Cibles'!$Q$7&gt;=0), 'Outil Cibles'!$Q$17, 0)</f>
        <v>9.2209307000221994</v>
      </c>
      <c r="P147" s="11">
        <f>IF(AND(N147-'Outil Cibles'!$R$7&lt;=60,N147-'Outil Cibles'!$R$7&gt;=0), 'Outil Cibles'!$R$17, 0)</f>
        <v>7.8928860244932029</v>
      </c>
      <c r="Q147" s="11">
        <f>IF(AND(N147-'Outil Cibles'!$S$7&lt;=60,N147-'Outil Cibles'!$S$7&gt;=0), 'Outil Cibles'!$S$17, 0)</f>
        <v>5.7861034181094277</v>
      </c>
      <c r="R147" s="11">
        <f>IF(AND(N147-'Outil Cibles'!$T$7&lt;=60,N147-'Outil Cibles'!$T$7&gt;=0), 'Outil Cibles'!$T$17, 0)</f>
        <v>3.9285483356528981</v>
      </c>
      <c r="S147" s="11">
        <f>IF(AND(N147-'Outil Cibles'!$U$7&lt;=60,N147-'Outil Cibles'!$U$7&gt;=0), 'Outil Cibles'!$U$17, 0)</f>
        <v>3.1156336157567535</v>
      </c>
      <c r="T147" s="11">
        <f>IF(AND(N147-'Outil Cibles'!$V$7&lt;=60,N147-'Outil Cibles'!$V$7&gt;=0), 'Outil Cibles'!$V$17, 0)</f>
        <v>2.6699626409394961</v>
      </c>
      <c r="U147" s="11">
        <f>IF(AND(N147-'Outil Cibles'!$W$7&lt;=60,N147-'Outil Cibles'!$W$7&gt;=0), 'Outil Cibles'!$W$17, 0)</f>
        <v>2.2883803860824354</v>
      </c>
      <c r="V147" s="11">
        <f>IF(AND(N147-'Outil Cibles'!$X$7&lt;=60,N147-'Outil Cibles'!$X$7&gt;=0), 'Outil Cibles'!$X$17, 0)</f>
        <v>1.9616157649480985</v>
      </c>
      <c r="W147" s="11">
        <f>IF(AND(N147-'Outil Cibles'!$Y$7&lt;=60,N147-'Outil Cibles'!$Y$7&gt;=0), 'Outil Cibles'!$Y$17, 0)</f>
        <v>1.4420078055173704</v>
      </c>
      <c r="X147" s="11">
        <f>IF(AND(N147-'Outil Cibles'!$Z$7&lt;=60,N147-'Outil Cibles'!$Z$7&gt;=0), 'Outil Cibles'!$Z$17, 0)</f>
        <v>1.2366099769912016</v>
      </c>
      <c r="Y147" s="11">
        <f t="shared" si="6"/>
        <v>39.542678668513091</v>
      </c>
    </row>
    <row r="148" spans="1:25" x14ac:dyDescent="0.3">
      <c r="A148">
        <v>2082</v>
      </c>
      <c r="B148" s="11">
        <f>IF(AND($A148-'Outil Cibles'!D$7&lt;=60,$A148-'Outil Cibles'!D$7&gt;=0), B$3, 0)</f>
        <v>8610.7328044003007</v>
      </c>
      <c r="C148" s="11">
        <f>IF(AND($A148-'Outil Cibles'!E$7&lt;=60,$A148-'Outil Cibles'!E$7&gt;=0), C$3, 0)</f>
        <v>7587.9930148218064</v>
      </c>
      <c r="D148" s="11">
        <f>IF(AND($A148-'Outil Cibles'!F$7&lt;=60,$A148-'Outil Cibles'!F$7&gt;=0), D$3, 0)</f>
        <v>6596.593651504264</v>
      </c>
      <c r="E148" s="11">
        <f>IF(AND($A148-'Outil Cibles'!G$7&lt;=60,$A148-'Outil Cibles'!G$7&gt;=0), E$3, 0)</f>
        <v>5382.3222388442455</v>
      </c>
      <c r="F148" s="11">
        <f>IF(AND($A148-'Outil Cibles'!H$7&lt;=60,$A148-'Outil Cibles'!H$7&gt;=0), F$3, 0)</f>
        <v>4697.4836188392801</v>
      </c>
      <c r="G148" s="11">
        <f>IF(AND($A148-'Outil Cibles'!I$7&lt;=60,$A148-'Outil Cibles'!I$7&gt;=0), G$3, 0)</f>
        <v>4250.0459859961411</v>
      </c>
      <c r="H148" s="11">
        <f>IF(AND($A148-'Outil Cibles'!J$7&lt;=60,$A148-'Outil Cibles'!J$7&gt;=0), H$3, 0)</f>
        <v>3878.1564147749818</v>
      </c>
      <c r="I148" s="11">
        <f>IF(AND($A148-'Outil Cibles'!K$7&lt;=60,$A148-'Outil Cibles'!K$7&gt;=0), I$3, 0)</f>
        <v>3570.0965271108435</v>
      </c>
      <c r="J148" s="11">
        <f>IF(AND($A148-'Outil Cibles'!L$7&lt;=60,$A148-'Outil Cibles'!L$7&gt;=0), J$3, 0)</f>
        <v>2636.2497724001519</v>
      </c>
      <c r="K148" s="11">
        <f>IF(AND($A148-'Outil Cibles'!M$7&lt;=60,$A148-'Outil Cibles'!M$7&gt;=0), K$3, 0)</f>
        <v>2367.9176490853365</v>
      </c>
      <c r="L148" s="11">
        <f t="shared" si="5"/>
        <v>49577.591677777345</v>
      </c>
      <c r="N148">
        <v>2082</v>
      </c>
      <c r="O148" s="11">
        <f>IF(AND(N148-'Outil Cibles'!$Q$7&lt;=60,N148-'Outil Cibles'!$Q$7&gt;=0), 'Outil Cibles'!$Q$17, 0)</f>
        <v>9.2209307000221994</v>
      </c>
      <c r="P148" s="11">
        <f>IF(AND(N148-'Outil Cibles'!$R$7&lt;=60,N148-'Outil Cibles'!$R$7&gt;=0), 'Outil Cibles'!$R$17, 0)</f>
        <v>7.8928860244932029</v>
      </c>
      <c r="Q148" s="11">
        <f>IF(AND(N148-'Outil Cibles'!$S$7&lt;=60,N148-'Outil Cibles'!$S$7&gt;=0), 'Outil Cibles'!$S$17, 0)</f>
        <v>5.7861034181094277</v>
      </c>
      <c r="R148" s="11">
        <f>IF(AND(N148-'Outil Cibles'!$T$7&lt;=60,N148-'Outil Cibles'!$T$7&gt;=0), 'Outil Cibles'!$T$17, 0)</f>
        <v>3.9285483356528981</v>
      </c>
      <c r="S148" s="11">
        <f>IF(AND(N148-'Outil Cibles'!$U$7&lt;=60,N148-'Outil Cibles'!$U$7&gt;=0), 'Outil Cibles'!$U$17, 0)</f>
        <v>3.1156336157567535</v>
      </c>
      <c r="T148" s="11">
        <f>IF(AND(N148-'Outil Cibles'!$V$7&lt;=60,N148-'Outil Cibles'!$V$7&gt;=0), 'Outil Cibles'!$V$17, 0)</f>
        <v>2.6699626409394961</v>
      </c>
      <c r="U148" s="11">
        <f>IF(AND(N148-'Outil Cibles'!$W$7&lt;=60,N148-'Outil Cibles'!$W$7&gt;=0), 'Outil Cibles'!$W$17, 0)</f>
        <v>2.2883803860824354</v>
      </c>
      <c r="V148" s="11">
        <f>IF(AND(N148-'Outil Cibles'!$X$7&lt;=60,N148-'Outil Cibles'!$X$7&gt;=0), 'Outil Cibles'!$X$17, 0)</f>
        <v>1.9616157649480985</v>
      </c>
      <c r="W148" s="11">
        <f>IF(AND(N148-'Outil Cibles'!$Y$7&lt;=60,N148-'Outil Cibles'!$Y$7&gt;=0), 'Outil Cibles'!$Y$17, 0)</f>
        <v>1.4420078055173704</v>
      </c>
      <c r="X148" s="11">
        <f>IF(AND(N148-'Outil Cibles'!$Z$7&lt;=60,N148-'Outil Cibles'!$Z$7&gt;=0), 'Outil Cibles'!$Z$17, 0)</f>
        <v>1.2366099769912016</v>
      </c>
      <c r="Y148" s="11">
        <f t="shared" si="6"/>
        <v>39.542678668513091</v>
      </c>
    </row>
    <row r="149" spans="1:25" x14ac:dyDescent="0.3">
      <c r="A149">
        <v>2083</v>
      </c>
      <c r="B149" s="11">
        <f>IF(AND($A149-'Outil Cibles'!D$7&lt;=60,$A149-'Outil Cibles'!D$7&gt;=0), B$3, 0)</f>
        <v>8610.7328044003007</v>
      </c>
      <c r="C149" s="11">
        <f>IF(AND($A149-'Outil Cibles'!E$7&lt;=60,$A149-'Outil Cibles'!E$7&gt;=0), C$3, 0)</f>
        <v>7587.9930148218064</v>
      </c>
      <c r="D149" s="11">
        <f>IF(AND($A149-'Outil Cibles'!F$7&lt;=60,$A149-'Outil Cibles'!F$7&gt;=0), D$3, 0)</f>
        <v>6596.593651504264</v>
      </c>
      <c r="E149" s="11">
        <f>IF(AND($A149-'Outil Cibles'!G$7&lt;=60,$A149-'Outil Cibles'!G$7&gt;=0), E$3, 0)</f>
        <v>5382.3222388442455</v>
      </c>
      <c r="F149" s="11">
        <f>IF(AND($A149-'Outil Cibles'!H$7&lt;=60,$A149-'Outil Cibles'!H$7&gt;=0), F$3, 0)</f>
        <v>4697.4836188392801</v>
      </c>
      <c r="G149" s="11">
        <f>IF(AND($A149-'Outil Cibles'!I$7&lt;=60,$A149-'Outil Cibles'!I$7&gt;=0), G$3, 0)</f>
        <v>4250.0459859961411</v>
      </c>
      <c r="H149" s="11">
        <f>IF(AND($A149-'Outil Cibles'!J$7&lt;=60,$A149-'Outil Cibles'!J$7&gt;=0), H$3, 0)</f>
        <v>3878.1564147749818</v>
      </c>
      <c r="I149" s="11">
        <f>IF(AND($A149-'Outil Cibles'!K$7&lt;=60,$A149-'Outil Cibles'!K$7&gt;=0), I$3, 0)</f>
        <v>3570.0965271108435</v>
      </c>
      <c r="J149" s="11">
        <f>IF(AND($A149-'Outil Cibles'!L$7&lt;=60,$A149-'Outil Cibles'!L$7&gt;=0), J$3, 0)</f>
        <v>2636.2497724001519</v>
      </c>
      <c r="K149" s="11">
        <f>IF(AND($A149-'Outil Cibles'!M$7&lt;=60,$A149-'Outil Cibles'!M$7&gt;=0), K$3, 0)</f>
        <v>2367.9176490853365</v>
      </c>
      <c r="L149" s="11">
        <f t="shared" si="5"/>
        <v>49577.591677777345</v>
      </c>
      <c r="N149">
        <v>2083</v>
      </c>
      <c r="O149" s="11">
        <f>IF(AND(N149-'Outil Cibles'!$Q$7&lt;=60,N149-'Outil Cibles'!$Q$7&gt;=0), 'Outil Cibles'!$Q$17, 0)</f>
        <v>9.2209307000221994</v>
      </c>
      <c r="P149" s="11">
        <f>IF(AND(N149-'Outil Cibles'!$R$7&lt;=60,N149-'Outil Cibles'!$R$7&gt;=0), 'Outil Cibles'!$R$17, 0)</f>
        <v>7.8928860244932029</v>
      </c>
      <c r="Q149" s="11">
        <f>IF(AND(N149-'Outil Cibles'!$S$7&lt;=60,N149-'Outil Cibles'!$S$7&gt;=0), 'Outil Cibles'!$S$17, 0)</f>
        <v>5.7861034181094277</v>
      </c>
      <c r="R149" s="11">
        <f>IF(AND(N149-'Outil Cibles'!$T$7&lt;=60,N149-'Outil Cibles'!$T$7&gt;=0), 'Outil Cibles'!$T$17, 0)</f>
        <v>3.9285483356528981</v>
      </c>
      <c r="S149" s="11">
        <f>IF(AND(N149-'Outil Cibles'!$U$7&lt;=60,N149-'Outil Cibles'!$U$7&gt;=0), 'Outil Cibles'!$U$17, 0)</f>
        <v>3.1156336157567535</v>
      </c>
      <c r="T149" s="11">
        <f>IF(AND(N149-'Outil Cibles'!$V$7&lt;=60,N149-'Outil Cibles'!$V$7&gt;=0), 'Outil Cibles'!$V$17, 0)</f>
        <v>2.6699626409394961</v>
      </c>
      <c r="U149" s="11">
        <f>IF(AND(N149-'Outil Cibles'!$W$7&lt;=60,N149-'Outil Cibles'!$W$7&gt;=0), 'Outil Cibles'!$W$17, 0)</f>
        <v>2.2883803860824354</v>
      </c>
      <c r="V149" s="11">
        <f>IF(AND(N149-'Outil Cibles'!$X$7&lt;=60,N149-'Outil Cibles'!$X$7&gt;=0), 'Outil Cibles'!$X$17, 0)</f>
        <v>1.9616157649480985</v>
      </c>
      <c r="W149" s="11">
        <f>IF(AND(N149-'Outil Cibles'!$Y$7&lt;=60,N149-'Outil Cibles'!$Y$7&gt;=0), 'Outil Cibles'!$Y$17, 0)</f>
        <v>1.4420078055173704</v>
      </c>
      <c r="X149" s="11">
        <f>IF(AND(N149-'Outil Cibles'!$Z$7&lt;=60,N149-'Outil Cibles'!$Z$7&gt;=0), 'Outil Cibles'!$Z$17, 0)</f>
        <v>1.2366099769912016</v>
      </c>
      <c r="Y149" s="11">
        <f t="shared" si="6"/>
        <v>39.542678668513091</v>
      </c>
    </row>
    <row r="150" spans="1:25" x14ac:dyDescent="0.3">
      <c r="A150">
        <v>2084</v>
      </c>
      <c r="B150" s="11">
        <f>IF(AND($A150-'Outil Cibles'!D$7&lt;=60,$A150-'Outil Cibles'!D$7&gt;=0), B$3, 0)</f>
        <v>8610.7328044003007</v>
      </c>
      <c r="C150" s="11">
        <f>IF(AND($A150-'Outil Cibles'!E$7&lt;=60,$A150-'Outil Cibles'!E$7&gt;=0), C$3, 0)</f>
        <v>7587.9930148218064</v>
      </c>
      <c r="D150" s="11">
        <f>IF(AND($A150-'Outil Cibles'!F$7&lt;=60,$A150-'Outil Cibles'!F$7&gt;=0), D$3, 0)</f>
        <v>6596.593651504264</v>
      </c>
      <c r="E150" s="11">
        <f>IF(AND($A150-'Outil Cibles'!G$7&lt;=60,$A150-'Outil Cibles'!G$7&gt;=0), E$3, 0)</f>
        <v>5382.3222388442455</v>
      </c>
      <c r="F150" s="11">
        <f>IF(AND($A150-'Outil Cibles'!H$7&lt;=60,$A150-'Outil Cibles'!H$7&gt;=0), F$3, 0)</f>
        <v>4697.4836188392801</v>
      </c>
      <c r="G150" s="11">
        <f>IF(AND($A150-'Outil Cibles'!I$7&lt;=60,$A150-'Outil Cibles'!I$7&gt;=0), G$3, 0)</f>
        <v>4250.0459859961411</v>
      </c>
      <c r="H150" s="11">
        <f>IF(AND($A150-'Outil Cibles'!J$7&lt;=60,$A150-'Outil Cibles'!J$7&gt;=0), H$3, 0)</f>
        <v>3878.1564147749818</v>
      </c>
      <c r="I150" s="11">
        <f>IF(AND($A150-'Outil Cibles'!K$7&lt;=60,$A150-'Outil Cibles'!K$7&gt;=0), I$3, 0)</f>
        <v>3570.0965271108435</v>
      </c>
      <c r="J150" s="11">
        <f>IF(AND($A150-'Outil Cibles'!L$7&lt;=60,$A150-'Outil Cibles'!L$7&gt;=0), J$3, 0)</f>
        <v>2636.2497724001519</v>
      </c>
      <c r="K150" s="11">
        <f>IF(AND($A150-'Outil Cibles'!M$7&lt;=60,$A150-'Outil Cibles'!M$7&gt;=0), K$3, 0)</f>
        <v>2367.9176490853365</v>
      </c>
      <c r="L150" s="11">
        <f t="shared" si="5"/>
        <v>49577.591677777345</v>
      </c>
      <c r="N150">
        <v>2084</v>
      </c>
      <c r="O150" s="11">
        <f>IF(AND(N150-'Outil Cibles'!$Q$7&lt;=60,N150-'Outil Cibles'!$Q$7&gt;=0), 'Outil Cibles'!$Q$17, 0)</f>
        <v>9.2209307000221994</v>
      </c>
      <c r="P150" s="11">
        <f>IF(AND(N150-'Outil Cibles'!$R$7&lt;=60,N150-'Outil Cibles'!$R$7&gt;=0), 'Outil Cibles'!$R$17, 0)</f>
        <v>7.8928860244932029</v>
      </c>
      <c r="Q150" s="11">
        <f>IF(AND(N150-'Outil Cibles'!$S$7&lt;=60,N150-'Outil Cibles'!$S$7&gt;=0), 'Outil Cibles'!$S$17, 0)</f>
        <v>5.7861034181094277</v>
      </c>
      <c r="R150" s="11">
        <f>IF(AND(N150-'Outil Cibles'!$T$7&lt;=60,N150-'Outil Cibles'!$T$7&gt;=0), 'Outil Cibles'!$T$17, 0)</f>
        <v>3.9285483356528981</v>
      </c>
      <c r="S150" s="11">
        <f>IF(AND(N150-'Outil Cibles'!$U$7&lt;=60,N150-'Outil Cibles'!$U$7&gt;=0), 'Outil Cibles'!$U$17, 0)</f>
        <v>3.1156336157567535</v>
      </c>
      <c r="T150" s="11">
        <f>IF(AND(N150-'Outil Cibles'!$V$7&lt;=60,N150-'Outil Cibles'!$V$7&gt;=0), 'Outil Cibles'!$V$17, 0)</f>
        <v>2.6699626409394961</v>
      </c>
      <c r="U150" s="11">
        <f>IF(AND(N150-'Outil Cibles'!$W$7&lt;=60,N150-'Outil Cibles'!$W$7&gt;=0), 'Outil Cibles'!$W$17, 0)</f>
        <v>2.2883803860824354</v>
      </c>
      <c r="V150" s="11">
        <f>IF(AND(N150-'Outil Cibles'!$X$7&lt;=60,N150-'Outil Cibles'!$X$7&gt;=0), 'Outil Cibles'!$X$17, 0)</f>
        <v>1.9616157649480985</v>
      </c>
      <c r="W150" s="11">
        <f>IF(AND(N150-'Outil Cibles'!$Y$7&lt;=60,N150-'Outil Cibles'!$Y$7&gt;=0), 'Outil Cibles'!$Y$17, 0)</f>
        <v>1.4420078055173704</v>
      </c>
      <c r="X150" s="11">
        <f>IF(AND(N150-'Outil Cibles'!$Z$7&lt;=60,N150-'Outil Cibles'!$Z$7&gt;=0), 'Outil Cibles'!$Z$17, 0)</f>
        <v>1.2366099769912016</v>
      </c>
      <c r="Y150" s="11">
        <f t="shared" si="6"/>
        <v>39.542678668513091</v>
      </c>
    </row>
    <row r="151" spans="1:25" x14ac:dyDescent="0.3">
      <c r="A151" s="10">
        <v>2085</v>
      </c>
      <c r="B151" s="11">
        <f>IF(AND($A151-'Outil Cibles'!D$7&lt;=60,$A151-'Outil Cibles'!D$7&gt;=0), B$3, 0)</f>
        <v>0</v>
      </c>
      <c r="C151" s="11">
        <f>IF(AND($A151-'Outil Cibles'!E$7&lt;=60,$A151-'Outil Cibles'!E$7&gt;=0), C$3, 0)</f>
        <v>7587.9930148218064</v>
      </c>
      <c r="D151" s="11">
        <f>IF(AND($A151-'Outil Cibles'!F$7&lt;=60,$A151-'Outil Cibles'!F$7&gt;=0), D$3, 0)</f>
        <v>6596.593651504264</v>
      </c>
      <c r="E151" s="11">
        <f>IF(AND($A151-'Outil Cibles'!G$7&lt;=60,$A151-'Outil Cibles'!G$7&gt;=0), E$3, 0)</f>
        <v>5382.3222388442455</v>
      </c>
      <c r="F151" s="11">
        <f>IF(AND($A151-'Outil Cibles'!H$7&lt;=60,$A151-'Outil Cibles'!H$7&gt;=0), F$3, 0)</f>
        <v>4697.4836188392801</v>
      </c>
      <c r="G151" s="11">
        <f>IF(AND($A151-'Outil Cibles'!I$7&lt;=60,$A151-'Outil Cibles'!I$7&gt;=0), G$3, 0)</f>
        <v>4250.0459859961411</v>
      </c>
      <c r="H151" s="11">
        <f>IF(AND($A151-'Outil Cibles'!J$7&lt;=60,$A151-'Outil Cibles'!J$7&gt;=0), H$3, 0)</f>
        <v>3878.1564147749818</v>
      </c>
      <c r="I151" s="11">
        <f>IF(AND($A151-'Outil Cibles'!K$7&lt;=60,$A151-'Outil Cibles'!K$7&gt;=0), I$3, 0)</f>
        <v>3570.0965271108435</v>
      </c>
      <c r="J151" s="11">
        <f>IF(AND($A151-'Outil Cibles'!L$7&lt;=60,$A151-'Outil Cibles'!L$7&gt;=0), J$3, 0)</f>
        <v>2636.2497724001519</v>
      </c>
      <c r="K151" s="11">
        <f>IF(AND($A151-'Outil Cibles'!M$7&lt;=60,$A151-'Outil Cibles'!M$7&gt;=0), K$3, 0)</f>
        <v>2367.9176490853365</v>
      </c>
      <c r="L151" s="11">
        <f t="shared" si="5"/>
        <v>40966.858873377045</v>
      </c>
      <c r="N151" s="10">
        <v>2085</v>
      </c>
      <c r="O151" s="11">
        <f>IF(AND(N151-'Outil Cibles'!$Q$7&lt;=60,N151-'Outil Cibles'!$Q$7&gt;=0), 'Outil Cibles'!$Q$17, 0)</f>
        <v>0</v>
      </c>
      <c r="P151" s="11">
        <f>IF(AND(N151-'Outil Cibles'!$R$7&lt;=60,N151-'Outil Cibles'!$R$7&gt;=0), 'Outil Cibles'!$R$17, 0)</f>
        <v>7.8928860244932029</v>
      </c>
      <c r="Q151" s="11">
        <f>IF(AND(N151-'Outil Cibles'!$S$7&lt;=60,N151-'Outil Cibles'!$S$7&gt;=0), 'Outil Cibles'!$S$17, 0)</f>
        <v>5.7861034181094277</v>
      </c>
      <c r="R151" s="11">
        <f>IF(AND(N151-'Outil Cibles'!$T$7&lt;=60,N151-'Outil Cibles'!$T$7&gt;=0), 'Outil Cibles'!$T$17, 0)</f>
        <v>3.9285483356528981</v>
      </c>
      <c r="S151" s="11">
        <f>IF(AND(N151-'Outil Cibles'!$U$7&lt;=60,N151-'Outil Cibles'!$U$7&gt;=0), 'Outil Cibles'!$U$17, 0)</f>
        <v>3.1156336157567535</v>
      </c>
      <c r="T151" s="11">
        <f>IF(AND(N151-'Outil Cibles'!$V$7&lt;=60,N151-'Outil Cibles'!$V$7&gt;=0), 'Outil Cibles'!$V$17, 0)</f>
        <v>2.6699626409394961</v>
      </c>
      <c r="U151" s="11">
        <f>IF(AND(N151-'Outil Cibles'!$W$7&lt;=60,N151-'Outil Cibles'!$W$7&gt;=0), 'Outil Cibles'!$W$17, 0)</f>
        <v>2.2883803860824354</v>
      </c>
      <c r="V151" s="11">
        <f>IF(AND(N151-'Outil Cibles'!$X$7&lt;=60,N151-'Outil Cibles'!$X$7&gt;=0), 'Outil Cibles'!$X$17, 0)</f>
        <v>1.9616157649480985</v>
      </c>
      <c r="W151" s="11">
        <f>IF(AND(N151-'Outil Cibles'!$Y$7&lt;=60,N151-'Outil Cibles'!$Y$7&gt;=0), 'Outil Cibles'!$Y$17, 0)</f>
        <v>1.4420078055173704</v>
      </c>
      <c r="X151" s="11">
        <f>IF(AND(N151-'Outil Cibles'!$Z$7&lt;=60,N151-'Outil Cibles'!$Z$7&gt;=0), 'Outil Cibles'!$Z$17, 0)</f>
        <v>1.2366099769912016</v>
      </c>
      <c r="Y151" s="11">
        <f t="shared" si="6"/>
        <v>30.321747968490886</v>
      </c>
    </row>
    <row r="152" spans="1:25" x14ac:dyDescent="0.3">
      <c r="A152">
        <v>2086</v>
      </c>
      <c r="B152" s="11">
        <f>IF(AND($A152-'Outil Cibles'!D$7&lt;=60,$A152-'Outil Cibles'!D$7&gt;=0), B$3, 0)</f>
        <v>0</v>
      </c>
      <c r="C152" s="11">
        <f>IF(AND($A152-'Outil Cibles'!E$7&lt;=60,$A152-'Outil Cibles'!E$7&gt;=0), C$3, 0)</f>
        <v>7587.9930148218064</v>
      </c>
      <c r="D152" s="11">
        <f>IF(AND($A152-'Outil Cibles'!F$7&lt;=60,$A152-'Outil Cibles'!F$7&gt;=0), D$3, 0)</f>
        <v>6596.593651504264</v>
      </c>
      <c r="E152" s="11">
        <f>IF(AND($A152-'Outil Cibles'!G$7&lt;=60,$A152-'Outil Cibles'!G$7&gt;=0), E$3, 0)</f>
        <v>5382.3222388442455</v>
      </c>
      <c r="F152" s="11">
        <f>IF(AND($A152-'Outil Cibles'!H$7&lt;=60,$A152-'Outil Cibles'!H$7&gt;=0), F$3, 0)</f>
        <v>4697.4836188392801</v>
      </c>
      <c r="G152" s="11">
        <f>IF(AND($A152-'Outil Cibles'!I$7&lt;=60,$A152-'Outil Cibles'!I$7&gt;=0), G$3, 0)</f>
        <v>4250.0459859961411</v>
      </c>
      <c r="H152" s="11">
        <f>IF(AND($A152-'Outil Cibles'!J$7&lt;=60,$A152-'Outil Cibles'!J$7&gt;=0), H$3, 0)</f>
        <v>3878.1564147749818</v>
      </c>
      <c r="I152" s="11">
        <f>IF(AND($A152-'Outil Cibles'!K$7&lt;=60,$A152-'Outil Cibles'!K$7&gt;=0), I$3, 0)</f>
        <v>3570.0965271108435</v>
      </c>
      <c r="J152" s="11">
        <f>IF(AND($A152-'Outil Cibles'!L$7&lt;=60,$A152-'Outil Cibles'!L$7&gt;=0), J$3, 0)</f>
        <v>2636.2497724001519</v>
      </c>
      <c r="K152" s="11">
        <f>IF(AND($A152-'Outil Cibles'!M$7&lt;=60,$A152-'Outil Cibles'!M$7&gt;=0), K$3, 0)</f>
        <v>2367.9176490853365</v>
      </c>
      <c r="L152" s="11">
        <f t="shared" si="5"/>
        <v>40966.858873377045</v>
      </c>
      <c r="N152">
        <v>2086</v>
      </c>
      <c r="O152" s="11">
        <f>IF(AND(N152-'Outil Cibles'!$Q$7&lt;=60,N152-'Outil Cibles'!$Q$7&gt;=0), 'Outil Cibles'!$Q$17, 0)</f>
        <v>0</v>
      </c>
      <c r="P152" s="11">
        <f>IF(AND(N152-'Outil Cibles'!$R$7&lt;=60,N152-'Outil Cibles'!$R$7&gt;=0), 'Outil Cibles'!$R$17, 0)</f>
        <v>7.8928860244932029</v>
      </c>
      <c r="Q152" s="11">
        <f>IF(AND(N152-'Outil Cibles'!$S$7&lt;=60,N152-'Outil Cibles'!$S$7&gt;=0), 'Outil Cibles'!$S$17, 0)</f>
        <v>5.7861034181094277</v>
      </c>
      <c r="R152" s="11">
        <f>IF(AND(N152-'Outil Cibles'!$T$7&lt;=60,N152-'Outil Cibles'!$T$7&gt;=0), 'Outil Cibles'!$T$17, 0)</f>
        <v>3.9285483356528981</v>
      </c>
      <c r="S152" s="11">
        <f>IF(AND(N152-'Outil Cibles'!$U$7&lt;=60,N152-'Outil Cibles'!$U$7&gt;=0), 'Outil Cibles'!$U$17, 0)</f>
        <v>3.1156336157567535</v>
      </c>
      <c r="T152" s="11">
        <f>IF(AND(N152-'Outil Cibles'!$V$7&lt;=60,N152-'Outil Cibles'!$V$7&gt;=0), 'Outil Cibles'!$V$17, 0)</f>
        <v>2.6699626409394961</v>
      </c>
      <c r="U152" s="11">
        <f>IF(AND(N152-'Outil Cibles'!$W$7&lt;=60,N152-'Outil Cibles'!$W$7&gt;=0), 'Outil Cibles'!$W$17, 0)</f>
        <v>2.2883803860824354</v>
      </c>
      <c r="V152" s="11">
        <f>IF(AND(N152-'Outil Cibles'!$X$7&lt;=60,N152-'Outil Cibles'!$X$7&gt;=0), 'Outil Cibles'!$X$17, 0)</f>
        <v>1.9616157649480985</v>
      </c>
      <c r="W152" s="11">
        <f>IF(AND(N152-'Outil Cibles'!$Y$7&lt;=60,N152-'Outil Cibles'!$Y$7&gt;=0), 'Outil Cibles'!$Y$17, 0)</f>
        <v>1.4420078055173704</v>
      </c>
      <c r="X152" s="11">
        <f>IF(AND(N152-'Outil Cibles'!$Z$7&lt;=60,N152-'Outil Cibles'!$Z$7&gt;=0), 'Outil Cibles'!$Z$17, 0)</f>
        <v>1.2366099769912016</v>
      </c>
      <c r="Y152" s="11">
        <f t="shared" si="6"/>
        <v>30.321747968490886</v>
      </c>
    </row>
    <row r="153" spans="1:25" x14ac:dyDescent="0.3">
      <c r="A153">
        <v>2087</v>
      </c>
      <c r="B153" s="11">
        <f>IF(AND($A153-'Outil Cibles'!D$7&lt;=60,$A153-'Outil Cibles'!D$7&gt;=0), B$3, 0)</f>
        <v>0</v>
      </c>
      <c r="C153" s="11">
        <f>IF(AND($A153-'Outil Cibles'!E$7&lt;=60,$A153-'Outil Cibles'!E$7&gt;=0), C$3, 0)</f>
        <v>0</v>
      </c>
      <c r="D153" s="11">
        <f>IF(AND($A153-'Outil Cibles'!F$7&lt;=60,$A153-'Outil Cibles'!F$7&gt;=0), D$3, 0)</f>
        <v>6596.593651504264</v>
      </c>
      <c r="E153" s="11">
        <f>IF(AND($A153-'Outil Cibles'!G$7&lt;=60,$A153-'Outil Cibles'!G$7&gt;=0), E$3, 0)</f>
        <v>5382.3222388442455</v>
      </c>
      <c r="F153" s="11">
        <f>IF(AND($A153-'Outil Cibles'!H$7&lt;=60,$A153-'Outil Cibles'!H$7&gt;=0), F$3, 0)</f>
        <v>4697.4836188392801</v>
      </c>
      <c r="G153" s="11">
        <f>IF(AND($A153-'Outil Cibles'!I$7&lt;=60,$A153-'Outil Cibles'!I$7&gt;=0), G$3, 0)</f>
        <v>4250.0459859961411</v>
      </c>
      <c r="H153" s="11">
        <f>IF(AND($A153-'Outil Cibles'!J$7&lt;=60,$A153-'Outil Cibles'!J$7&gt;=0), H$3, 0)</f>
        <v>3878.1564147749818</v>
      </c>
      <c r="I153" s="11">
        <f>IF(AND($A153-'Outil Cibles'!K$7&lt;=60,$A153-'Outil Cibles'!K$7&gt;=0), I$3, 0)</f>
        <v>3570.0965271108435</v>
      </c>
      <c r="J153" s="11">
        <f>IF(AND($A153-'Outil Cibles'!L$7&lt;=60,$A153-'Outil Cibles'!L$7&gt;=0), J$3, 0)</f>
        <v>2636.2497724001519</v>
      </c>
      <c r="K153" s="11">
        <f>IF(AND($A153-'Outil Cibles'!M$7&lt;=60,$A153-'Outil Cibles'!M$7&gt;=0), K$3, 0)</f>
        <v>2367.9176490853365</v>
      </c>
      <c r="L153" s="11">
        <f t="shared" ref="L153:L166" si="7">SUM(B153:K153)</f>
        <v>33378.86585855524</v>
      </c>
      <c r="N153">
        <v>2087</v>
      </c>
      <c r="O153" s="11">
        <f>IF(AND(N153-'Outil Cibles'!$Q$7&lt;=60,N153-'Outil Cibles'!$Q$7&gt;=0), 'Outil Cibles'!$Q$17, 0)</f>
        <v>0</v>
      </c>
      <c r="P153" s="11">
        <f>IF(AND(N153-'Outil Cibles'!$R$7&lt;=60,N153-'Outil Cibles'!$R$7&gt;=0), 'Outil Cibles'!$R$17, 0)</f>
        <v>0</v>
      </c>
      <c r="Q153" s="11">
        <f>IF(AND(N153-'Outil Cibles'!$S$7&lt;=60,N153-'Outil Cibles'!$S$7&gt;=0), 'Outil Cibles'!$S$17, 0)</f>
        <v>5.7861034181094277</v>
      </c>
      <c r="R153" s="11">
        <f>IF(AND(N153-'Outil Cibles'!$T$7&lt;=60,N153-'Outil Cibles'!$T$7&gt;=0), 'Outil Cibles'!$T$17, 0)</f>
        <v>3.9285483356528981</v>
      </c>
      <c r="S153" s="11">
        <f>IF(AND(N153-'Outil Cibles'!$U$7&lt;=60,N153-'Outil Cibles'!$U$7&gt;=0), 'Outil Cibles'!$U$17, 0)</f>
        <v>3.1156336157567535</v>
      </c>
      <c r="T153" s="11">
        <f>IF(AND(N153-'Outil Cibles'!$V$7&lt;=60,N153-'Outil Cibles'!$V$7&gt;=0), 'Outil Cibles'!$V$17, 0)</f>
        <v>2.6699626409394961</v>
      </c>
      <c r="U153" s="11">
        <f>IF(AND(N153-'Outil Cibles'!$W$7&lt;=60,N153-'Outil Cibles'!$W$7&gt;=0), 'Outil Cibles'!$W$17, 0)</f>
        <v>2.2883803860824354</v>
      </c>
      <c r="V153" s="11">
        <f>IF(AND(N153-'Outil Cibles'!$X$7&lt;=60,N153-'Outil Cibles'!$X$7&gt;=0), 'Outil Cibles'!$X$17, 0)</f>
        <v>1.9616157649480985</v>
      </c>
      <c r="W153" s="11">
        <f>IF(AND(N153-'Outil Cibles'!$Y$7&lt;=60,N153-'Outil Cibles'!$Y$7&gt;=0), 'Outil Cibles'!$Y$17, 0)</f>
        <v>1.4420078055173704</v>
      </c>
      <c r="X153" s="11">
        <f>IF(AND(N153-'Outil Cibles'!$Z$7&lt;=60,N153-'Outil Cibles'!$Z$7&gt;=0), 'Outil Cibles'!$Z$17, 0)</f>
        <v>1.2366099769912016</v>
      </c>
      <c r="Y153" s="11">
        <f t="shared" ref="Y153:Y166" si="8">SUM(O153:X153)</f>
        <v>22.428861943997678</v>
      </c>
    </row>
    <row r="154" spans="1:25" x14ac:dyDescent="0.3">
      <c r="A154">
        <v>2088</v>
      </c>
      <c r="B154" s="11">
        <f>IF(AND($A154-'Outil Cibles'!D$7&lt;=60,$A154-'Outil Cibles'!D$7&gt;=0), B$3, 0)</f>
        <v>0</v>
      </c>
      <c r="C154" s="11">
        <f>IF(AND($A154-'Outil Cibles'!E$7&lt;=60,$A154-'Outil Cibles'!E$7&gt;=0), C$3, 0)</f>
        <v>0</v>
      </c>
      <c r="D154" s="11">
        <f>IF(AND($A154-'Outil Cibles'!F$7&lt;=60,$A154-'Outil Cibles'!F$7&gt;=0), D$3, 0)</f>
        <v>6596.593651504264</v>
      </c>
      <c r="E154" s="11">
        <f>IF(AND($A154-'Outil Cibles'!G$7&lt;=60,$A154-'Outil Cibles'!G$7&gt;=0), E$3, 0)</f>
        <v>5382.3222388442455</v>
      </c>
      <c r="F154" s="11">
        <f>IF(AND($A154-'Outil Cibles'!H$7&lt;=60,$A154-'Outil Cibles'!H$7&gt;=0), F$3, 0)</f>
        <v>4697.4836188392801</v>
      </c>
      <c r="G154" s="11">
        <f>IF(AND($A154-'Outil Cibles'!I$7&lt;=60,$A154-'Outil Cibles'!I$7&gt;=0), G$3, 0)</f>
        <v>4250.0459859961411</v>
      </c>
      <c r="H154" s="11">
        <f>IF(AND($A154-'Outil Cibles'!J$7&lt;=60,$A154-'Outil Cibles'!J$7&gt;=0), H$3, 0)</f>
        <v>3878.1564147749818</v>
      </c>
      <c r="I154" s="11">
        <f>IF(AND($A154-'Outil Cibles'!K$7&lt;=60,$A154-'Outil Cibles'!K$7&gt;=0), I$3, 0)</f>
        <v>3570.0965271108435</v>
      </c>
      <c r="J154" s="11">
        <f>IF(AND($A154-'Outil Cibles'!L$7&lt;=60,$A154-'Outil Cibles'!L$7&gt;=0), J$3, 0)</f>
        <v>2636.2497724001519</v>
      </c>
      <c r="K154" s="11">
        <f>IF(AND($A154-'Outil Cibles'!M$7&lt;=60,$A154-'Outil Cibles'!M$7&gt;=0), K$3, 0)</f>
        <v>2367.9176490853365</v>
      </c>
      <c r="L154" s="11">
        <f t="shared" si="7"/>
        <v>33378.86585855524</v>
      </c>
      <c r="N154">
        <v>2088</v>
      </c>
      <c r="O154" s="11">
        <f>IF(AND(N154-'Outil Cibles'!$Q$7&lt;=60,N154-'Outil Cibles'!$Q$7&gt;=0), 'Outil Cibles'!$Q$17, 0)</f>
        <v>0</v>
      </c>
      <c r="P154" s="11">
        <f>IF(AND(N154-'Outil Cibles'!$R$7&lt;=60,N154-'Outil Cibles'!$R$7&gt;=0), 'Outil Cibles'!$R$17, 0)</f>
        <v>0</v>
      </c>
      <c r="Q154" s="11">
        <f>IF(AND(N154-'Outil Cibles'!$S$7&lt;=60,N154-'Outil Cibles'!$S$7&gt;=0), 'Outil Cibles'!$S$17, 0)</f>
        <v>5.7861034181094277</v>
      </c>
      <c r="R154" s="11">
        <f>IF(AND(N154-'Outil Cibles'!$T$7&lt;=60,N154-'Outil Cibles'!$T$7&gt;=0), 'Outil Cibles'!$T$17, 0)</f>
        <v>3.9285483356528981</v>
      </c>
      <c r="S154" s="11">
        <f>IF(AND(N154-'Outil Cibles'!$U$7&lt;=60,N154-'Outil Cibles'!$U$7&gt;=0), 'Outil Cibles'!$U$17, 0)</f>
        <v>3.1156336157567535</v>
      </c>
      <c r="T154" s="11">
        <f>IF(AND(N154-'Outil Cibles'!$V$7&lt;=60,N154-'Outil Cibles'!$V$7&gt;=0), 'Outil Cibles'!$V$17, 0)</f>
        <v>2.6699626409394961</v>
      </c>
      <c r="U154" s="11">
        <f>IF(AND(N154-'Outil Cibles'!$W$7&lt;=60,N154-'Outil Cibles'!$W$7&gt;=0), 'Outil Cibles'!$W$17, 0)</f>
        <v>2.2883803860824354</v>
      </c>
      <c r="V154" s="11">
        <f>IF(AND(N154-'Outil Cibles'!$X$7&lt;=60,N154-'Outil Cibles'!$X$7&gt;=0), 'Outil Cibles'!$X$17, 0)</f>
        <v>1.9616157649480985</v>
      </c>
      <c r="W154" s="11">
        <f>IF(AND(N154-'Outil Cibles'!$Y$7&lt;=60,N154-'Outil Cibles'!$Y$7&gt;=0), 'Outil Cibles'!$Y$17, 0)</f>
        <v>1.4420078055173704</v>
      </c>
      <c r="X154" s="11">
        <f>IF(AND(N154-'Outil Cibles'!$Z$7&lt;=60,N154-'Outil Cibles'!$Z$7&gt;=0), 'Outil Cibles'!$Z$17, 0)</f>
        <v>1.2366099769912016</v>
      </c>
      <c r="Y154" s="11">
        <f t="shared" si="8"/>
        <v>22.428861943997678</v>
      </c>
    </row>
    <row r="155" spans="1:25" x14ac:dyDescent="0.3">
      <c r="A155" s="10">
        <v>2089</v>
      </c>
      <c r="B155" s="11">
        <f>IF(AND($A155-'Outil Cibles'!D$7&lt;=60,$A155-'Outil Cibles'!D$7&gt;=0), B$3, 0)</f>
        <v>0</v>
      </c>
      <c r="C155" s="11">
        <f>IF(AND($A155-'Outil Cibles'!E$7&lt;=60,$A155-'Outil Cibles'!E$7&gt;=0), C$3, 0)</f>
        <v>0</v>
      </c>
      <c r="D155" s="11">
        <f>IF(AND($A155-'Outil Cibles'!F$7&lt;=60,$A155-'Outil Cibles'!F$7&gt;=0), D$3, 0)</f>
        <v>6596.593651504264</v>
      </c>
      <c r="E155" s="11">
        <f>IF(AND($A155-'Outil Cibles'!G$7&lt;=60,$A155-'Outil Cibles'!G$7&gt;=0), E$3, 0)</f>
        <v>5382.3222388442455</v>
      </c>
      <c r="F155" s="11">
        <f>IF(AND($A155-'Outil Cibles'!H$7&lt;=60,$A155-'Outil Cibles'!H$7&gt;=0), F$3, 0)</f>
        <v>4697.4836188392801</v>
      </c>
      <c r="G155" s="11">
        <f>IF(AND($A155-'Outil Cibles'!I$7&lt;=60,$A155-'Outil Cibles'!I$7&gt;=0), G$3, 0)</f>
        <v>4250.0459859961411</v>
      </c>
      <c r="H155" s="11">
        <f>IF(AND($A155-'Outil Cibles'!J$7&lt;=60,$A155-'Outil Cibles'!J$7&gt;=0), H$3, 0)</f>
        <v>3878.1564147749818</v>
      </c>
      <c r="I155" s="11">
        <f>IF(AND($A155-'Outil Cibles'!K$7&lt;=60,$A155-'Outil Cibles'!K$7&gt;=0), I$3, 0)</f>
        <v>3570.0965271108435</v>
      </c>
      <c r="J155" s="11">
        <f>IF(AND($A155-'Outil Cibles'!L$7&lt;=60,$A155-'Outil Cibles'!L$7&gt;=0), J$3, 0)</f>
        <v>2636.2497724001519</v>
      </c>
      <c r="K155" s="11">
        <f>IF(AND($A155-'Outil Cibles'!M$7&lt;=60,$A155-'Outil Cibles'!M$7&gt;=0), K$3, 0)</f>
        <v>2367.9176490853365</v>
      </c>
      <c r="L155" s="11">
        <f t="shared" si="7"/>
        <v>33378.86585855524</v>
      </c>
      <c r="N155" s="10">
        <v>2089</v>
      </c>
      <c r="O155" s="11">
        <f>IF(AND(N155-'Outil Cibles'!$Q$7&lt;=60,N155-'Outil Cibles'!$Q$7&gt;=0), 'Outil Cibles'!$Q$17, 0)</f>
        <v>0</v>
      </c>
      <c r="P155" s="11">
        <f>IF(AND(N155-'Outil Cibles'!$R$7&lt;=60,N155-'Outil Cibles'!$R$7&gt;=0), 'Outil Cibles'!$R$17, 0)</f>
        <v>0</v>
      </c>
      <c r="Q155" s="11">
        <f>IF(AND(N155-'Outil Cibles'!$S$7&lt;=60,N155-'Outil Cibles'!$S$7&gt;=0), 'Outil Cibles'!$S$17, 0)</f>
        <v>5.7861034181094277</v>
      </c>
      <c r="R155" s="11">
        <f>IF(AND(N155-'Outil Cibles'!$T$7&lt;=60,N155-'Outil Cibles'!$T$7&gt;=0), 'Outil Cibles'!$T$17, 0)</f>
        <v>3.9285483356528981</v>
      </c>
      <c r="S155" s="11">
        <f>IF(AND(N155-'Outil Cibles'!$U$7&lt;=60,N155-'Outil Cibles'!$U$7&gt;=0), 'Outil Cibles'!$U$17, 0)</f>
        <v>3.1156336157567535</v>
      </c>
      <c r="T155" s="11">
        <f>IF(AND(N155-'Outil Cibles'!$V$7&lt;=60,N155-'Outil Cibles'!$V$7&gt;=0), 'Outil Cibles'!$V$17, 0)</f>
        <v>2.6699626409394961</v>
      </c>
      <c r="U155" s="11">
        <f>IF(AND(N155-'Outil Cibles'!$W$7&lt;=60,N155-'Outil Cibles'!$W$7&gt;=0), 'Outil Cibles'!$W$17, 0)</f>
        <v>2.2883803860824354</v>
      </c>
      <c r="V155" s="11">
        <f>IF(AND(N155-'Outil Cibles'!$X$7&lt;=60,N155-'Outil Cibles'!$X$7&gt;=0), 'Outil Cibles'!$X$17, 0)</f>
        <v>1.9616157649480985</v>
      </c>
      <c r="W155" s="11">
        <f>IF(AND(N155-'Outil Cibles'!$Y$7&lt;=60,N155-'Outil Cibles'!$Y$7&gt;=0), 'Outil Cibles'!$Y$17, 0)</f>
        <v>1.4420078055173704</v>
      </c>
      <c r="X155" s="11">
        <f>IF(AND(N155-'Outil Cibles'!$Z$7&lt;=60,N155-'Outil Cibles'!$Z$7&gt;=0), 'Outil Cibles'!$Z$17, 0)</f>
        <v>1.2366099769912016</v>
      </c>
      <c r="Y155" s="11">
        <f t="shared" si="8"/>
        <v>22.428861943997678</v>
      </c>
    </row>
    <row r="156" spans="1:25" x14ac:dyDescent="0.3">
      <c r="A156">
        <v>2090</v>
      </c>
      <c r="B156" s="11">
        <f>IF(AND($A156-'Outil Cibles'!D$7&lt;=60,$A156-'Outil Cibles'!D$7&gt;=0), B$3, 0)</f>
        <v>0</v>
      </c>
      <c r="C156" s="11">
        <f>IF(AND($A156-'Outil Cibles'!E$7&lt;=60,$A156-'Outil Cibles'!E$7&gt;=0), C$3, 0)</f>
        <v>0</v>
      </c>
      <c r="D156" s="11">
        <f>IF(AND($A156-'Outil Cibles'!F$7&lt;=60,$A156-'Outil Cibles'!F$7&gt;=0), D$3, 0)</f>
        <v>6596.593651504264</v>
      </c>
      <c r="E156" s="11">
        <f>IF(AND($A156-'Outil Cibles'!G$7&lt;=60,$A156-'Outil Cibles'!G$7&gt;=0), E$3, 0)</f>
        <v>5382.3222388442455</v>
      </c>
      <c r="F156" s="11">
        <f>IF(AND($A156-'Outil Cibles'!H$7&lt;=60,$A156-'Outil Cibles'!H$7&gt;=0), F$3, 0)</f>
        <v>4697.4836188392801</v>
      </c>
      <c r="G156" s="11">
        <f>IF(AND($A156-'Outil Cibles'!I$7&lt;=60,$A156-'Outil Cibles'!I$7&gt;=0), G$3, 0)</f>
        <v>4250.0459859961411</v>
      </c>
      <c r="H156" s="11">
        <f>IF(AND($A156-'Outil Cibles'!J$7&lt;=60,$A156-'Outil Cibles'!J$7&gt;=0), H$3, 0)</f>
        <v>3878.1564147749818</v>
      </c>
      <c r="I156" s="11">
        <f>IF(AND($A156-'Outil Cibles'!K$7&lt;=60,$A156-'Outil Cibles'!K$7&gt;=0), I$3, 0)</f>
        <v>3570.0965271108435</v>
      </c>
      <c r="J156" s="11">
        <f>IF(AND($A156-'Outil Cibles'!L$7&lt;=60,$A156-'Outil Cibles'!L$7&gt;=0), J$3, 0)</f>
        <v>2636.2497724001519</v>
      </c>
      <c r="K156" s="11">
        <f>IF(AND($A156-'Outil Cibles'!M$7&lt;=60,$A156-'Outil Cibles'!M$7&gt;=0), K$3, 0)</f>
        <v>2367.9176490853365</v>
      </c>
      <c r="L156" s="11">
        <f t="shared" si="7"/>
        <v>33378.86585855524</v>
      </c>
      <c r="N156">
        <v>2090</v>
      </c>
      <c r="O156" s="11">
        <f>IF(AND(N156-'Outil Cibles'!$Q$7&lt;=60,N156-'Outil Cibles'!$Q$7&gt;=0), 'Outil Cibles'!$Q$17, 0)</f>
        <v>0</v>
      </c>
      <c r="P156" s="11">
        <f>IF(AND(N156-'Outil Cibles'!$R$7&lt;=60,N156-'Outil Cibles'!$R$7&gt;=0), 'Outil Cibles'!$R$17, 0)</f>
        <v>0</v>
      </c>
      <c r="Q156" s="11">
        <f>IF(AND(N156-'Outil Cibles'!$S$7&lt;=60,N156-'Outil Cibles'!$S$7&gt;=0), 'Outil Cibles'!$S$17, 0)</f>
        <v>5.7861034181094277</v>
      </c>
      <c r="R156" s="11">
        <f>IF(AND(N156-'Outil Cibles'!$T$7&lt;=60,N156-'Outil Cibles'!$T$7&gt;=0), 'Outil Cibles'!$T$17, 0)</f>
        <v>3.9285483356528981</v>
      </c>
      <c r="S156" s="11">
        <f>IF(AND(N156-'Outil Cibles'!$U$7&lt;=60,N156-'Outil Cibles'!$U$7&gt;=0), 'Outil Cibles'!$U$17, 0)</f>
        <v>3.1156336157567535</v>
      </c>
      <c r="T156" s="11">
        <f>IF(AND(N156-'Outil Cibles'!$V$7&lt;=60,N156-'Outil Cibles'!$V$7&gt;=0), 'Outil Cibles'!$V$17, 0)</f>
        <v>2.6699626409394961</v>
      </c>
      <c r="U156" s="11">
        <f>IF(AND(N156-'Outil Cibles'!$W$7&lt;=60,N156-'Outil Cibles'!$W$7&gt;=0), 'Outil Cibles'!$W$17, 0)</f>
        <v>2.2883803860824354</v>
      </c>
      <c r="V156" s="11">
        <f>IF(AND(N156-'Outil Cibles'!$X$7&lt;=60,N156-'Outil Cibles'!$X$7&gt;=0), 'Outil Cibles'!$X$17, 0)</f>
        <v>1.9616157649480985</v>
      </c>
      <c r="W156" s="11">
        <f>IF(AND(N156-'Outil Cibles'!$Y$7&lt;=60,N156-'Outil Cibles'!$Y$7&gt;=0), 'Outil Cibles'!$Y$17, 0)</f>
        <v>1.4420078055173704</v>
      </c>
      <c r="X156" s="11">
        <f>IF(AND(N156-'Outil Cibles'!$Z$7&lt;=60,N156-'Outil Cibles'!$Z$7&gt;=0), 'Outil Cibles'!$Z$17, 0)</f>
        <v>1.2366099769912016</v>
      </c>
      <c r="Y156" s="11">
        <f t="shared" si="8"/>
        <v>22.428861943997678</v>
      </c>
    </row>
    <row r="157" spans="1:25" x14ac:dyDescent="0.3">
      <c r="A157">
        <v>2091</v>
      </c>
      <c r="B157" s="11">
        <f>IF(AND($A157-'Outil Cibles'!D$7&lt;=60,$A157-'Outil Cibles'!D$7&gt;=0), B$3, 0)</f>
        <v>0</v>
      </c>
      <c r="C157" s="11">
        <f>IF(AND($A157-'Outil Cibles'!E$7&lt;=60,$A157-'Outil Cibles'!E$7&gt;=0), C$3, 0)</f>
        <v>0</v>
      </c>
      <c r="D157" s="11">
        <f>IF(AND($A157-'Outil Cibles'!F$7&lt;=60,$A157-'Outil Cibles'!F$7&gt;=0), D$3, 0)</f>
        <v>0</v>
      </c>
      <c r="E157" s="11">
        <f>IF(AND($A157-'Outil Cibles'!G$7&lt;=60,$A157-'Outil Cibles'!G$7&gt;=0), E$3, 0)</f>
        <v>5382.3222388442455</v>
      </c>
      <c r="F157" s="11">
        <f>IF(AND($A157-'Outil Cibles'!H$7&lt;=60,$A157-'Outil Cibles'!H$7&gt;=0), F$3, 0)</f>
        <v>4697.4836188392801</v>
      </c>
      <c r="G157" s="11">
        <f>IF(AND($A157-'Outil Cibles'!I$7&lt;=60,$A157-'Outil Cibles'!I$7&gt;=0), G$3, 0)</f>
        <v>4250.0459859961411</v>
      </c>
      <c r="H157" s="11">
        <f>IF(AND($A157-'Outil Cibles'!J$7&lt;=60,$A157-'Outil Cibles'!J$7&gt;=0), H$3, 0)</f>
        <v>3878.1564147749818</v>
      </c>
      <c r="I157" s="11">
        <f>IF(AND($A157-'Outil Cibles'!K$7&lt;=60,$A157-'Outil Cibles'!K$7&gt;=0), I$3, 0)</f>
        <v>3570.0965271108435</v>
      </c>
      <c r="J157" s="11">
        <f>IF(AND($A157-'Outil Cibles'!L$7&lt;=60,$A157-'Outil Cibles'!L$7&gt;=0), J$3, 0)</f>
        <v>2636.2497724001519</v>
      </c>
      <c r="K157" s="11">
        <f>IF(AND($A157-'Outil Cibles'!M$7&lt;=60,$A157-'Outil Cibles'!M$7&gt;=0), K$3, 0)</f>
        <v>2367.9176490853365</v>
      </c>
      <c r="L157" s="11">
        <f t="shared" si="7"/>
        <v>26782.272207050977</v>
      </c>
      <c r="N157">
        <v>2091</v>
      </c>
      <c r="O157" s="11">
        <f>IF(AND(N157-'Outil Cibles'!$Q$7&lt;=60,N157-'Outil Cibles'!$Q$7&gt;=0), 'Outil Cibles'!$Q$17, 0)</f>
        <v>0</v>
      </c>
      <c r="P157" s="11">
        <f>IF(AND(N157-'Outil Cibles'!$R$7&lt;=60,N157-'Outil Cibles'!$R$7&gt;=0), 'Outil Cibles'!$R$17, 0)</f>
        <v>0</v>
      </c>
      <c r="Q157" s="11">
        <f>IF(AND(N157-'Outil Cibles'!$S$7&lt;=60,N157-'Outil Cibles'!$S$7&gt;=0), 'Outil Cibles'!$S$17, 0)</f>
        <v>0</v>
      </c>
      <c r="R157" s="11">
        <f>IF(AND(N157-'Outil Cibles'!$T$7&lt;=60,N157-'Outil Cibles'!$T$7&gt;=0), 'Outil Cibles'!$T$17, 0)</f>
        <v>3.9285483356528981</v>
      </c>
      <c r="S157" s="11">
        <f>IF(AND(N157-'Outil Cibles'!$U$7&lt;=60,N157-'Outil Cibles'!$U$7&gt;=0), 'Outil Cibles'!$U$17, 0)</f>
        <v>3.1156336157567535</v>
      </c>
      <c r="T157" s="11">
        <f>IF(AND(N157-'Outil Cibles'!$V$7&lt;=60,N157-'Outil Cibles'!$V$7&gt;=0), 'Outil Cibles'!$V$17, 0)</f>
        <v>2.6699626409394961</v>
      </c>
      <c r="U157" s="11">
        <f>IF(AND(N157-'Outil Cibles'!$W$7&lt;=60,N157-'Outil Cibles'!$W$7&gt;=0), 'Outil Cibles'!$W$17, 0)</f>
        <v>2.2883803860824354</v>
      </c>
      <c r="V157" s="11">
        <f>IF(AND(N157-'Outil Cibles'!$X$7&lt;=60,N157-'Outil Cibles'!$X$7&gt;=0), 'Outil Cibles'!$X$17, 0)</f>
        <v>1.9616157649480985</v>
      </c>
      <c r="W157" s="11">
        <f>IF(AND(N157-'Outil Cibles'!$Y$7&lt;=60,N157-'Outil Cibles'!$Y$7&gt;=0), 'Outil Cibles'!$Y$17, 0)</f>
        <v>1.4420078055173704</v>
      </c>
      <c r="X157" s="11">
        <f>IF(AND(N157-'Outil Cibles'!$Z$7&lt;=60,N157-'Outil Cibles'!$Z$7&gt;=0), 'Outil Cibles'!$Z$17, 0)</f>
        <v>1.2366099769912016</v>
      </c>
      <c r="Y157" s="11">
        <f t="shared" si="8"/>
        <v>16.642758525888251</v>
      </c>
    </row>
    <row r="158" spans="1:25" x14ac:dyDescent="0.3">
      <c r="A158">
        <v>2092</v>
      </c>
      <c r="B158" s="11">
        <f>IF(AND($A158-'Outil Cibles'!D$7&lt;=60,$A158-'Outil Cibles'!D$7&gt;=0), B$3, 0)</f>
        <v>0</v>
      </c>
      <c r="C158" s="11">
        <f>IF(AND($A158-'Outil Cibles'!E$7&lt;=60,$A158-'Outil Cibles'!E$7&gt;=0), C$3, 0)</f>
        <v>0</v>
      </c>
      <c r="D158" s="11">
        <f>IF(AND($A158-'Outil Cibles'!F$7&lt;=60,$A158-'Outil Cibles'!F$7&gt;=0), D$3, 0)</f>
        <v>0</v>
      </c>
      <c r="E158" s="11">
        <f>IF(AND($A158-'Outil Cibles'!G$7&lt;=60,$A158-'Outil Cibles'!G$7&gt;=0), E$3, 0)</f>
        <v>5382.3222388442455</v>
      </c>
      <c r="F158" s="11">
        <f>IF(AND($A158-'Outil Cibles'!H$7&lt;=60,$A158-'Outil Cibles'!H$7&gt;=0), F$3, 0)</f>
        <v>4697.4836188392801</v>
      </c>
      <c r="G158" s="11">
        <f>IF(AND($A158-'Outil Cibles'!I$7&lt;=60,$A158-'Outil Cibles'!I$7&gt;=0), G$3, 0)</f>
        <v>4250.0459859961411</v>
      </c>
      <c r="H158" s="11">
        <f>IF(AND($A158-'Outil Cibles'!J$7&lt;=60,$A158-'Outil Cibles'!J$7&gt;=0), H$3, 0)</f>
        <v>3878.1564147749818</v>
      </c>
      <c r="I158" s="11">
        <f>IF(AND($A158-'Outil Cibles'!K$7&lt;=60,$A158-'Outil Cibles'!K$7&gt;=0), I$3, 0)</f>
        <v>3570.0965271108435</v>
      </c>
      <c r="J158" s="11">
        <f>IF(AND($A158-'Outil Cibles'!L$7&lt;=60,$A158-'Outil Cibles'!L$7&gt;=0), J$3, 0)</f>
        <v>2636.2497724001519</v>
      </c>
      <c r="K158" s="11">
        <f>IF(AND($A158-'Outil Cibles'!M$7&lt;=60,$A158-'Outil Cibles'!M$7&gt;=0), K$3, 0)</f>
        <v>2367.9176490853365</v>
      </c>
      <c r="L158" s="11">
        <f t="shared" si="7"/>
        <v>26782.272207050977</v>
      </c>
      <c r="N158">
        <v>2092</v>
      </c>
      <c r="O158" s="11">
        <f>IF(AND(N158-'Outil Cibles'!$Q$7&lt;=60,N158-'Outil Cibles'!$Q$7&gt;=0), 'Outil Cibles'!$Q$17, 0)</f>
        <v>0</v>
      </c>
      <c r="P158" s="11">
        <f>IF(AND(N158-'Outil Cibles'!$R$7&lt;=60,N158-'Outil Cibles'!$R$7&gt;=0), 'Outil Cibles'!$R$17, 0)</f>
        <v>0</v>
      </c>
      <c r="Q158" s="11">
        <f>IF(AND(N158-'Outil Cibles'!$S$7&lt;=60,N158-'Outil Cibles'!$S$7&gt;=0), 'Outil Cibles'!$S$17, 0)</f>
        <v>0</v>
      </c>
      <c r="R158" s="11">
        <f>IF(AND(N158-'Outil Cibles'!$T$7&lt;=60,N158-'Outil Cibles'!$T$7&gt;=0), 'Outil Cibles'!$T$17, 0)</f>
        <v>3.9285483356528981</v>
      </c>
      <c r="S158" s="11">
        <f>IF(AND(N158-'Outil Cibles'!$U$7&lt;=60,N158-'Outil Cibles'!$U$7&gt;=0), 'Outil Cibles'!$U$17, 0)</f>
        <v>3.1156336157567535</v>
      </c>
      <c r="T158" s="11">
        <f>IF(AND(N158-'Outil Cibles'!$V$7&lt;=60,N158-'Outil Cibles'!$V$7&gt;=0), 'Outil Cibles'!$V$17, 0)</f>
        <v>2.6699626409394961</v>
      </c>
      <c r="U158" s="11">
        <f>IF(AND(N158-'Outil Cibles'!$W$7&lt;=60,N158-'Outil Cibles'!$W$7&gt;=0), 'Outil Cibles'!$W$17, 0)</f>
        <v>2.2883803860824354</v>
      </c>
      <c r="V158" s="11">
        <f>IF(AND(N158-'Outil Cibles'!$X$7&lt;=60,N158-'Outil Cibles'!$X$7&gt;=0), 'Outil Cibles'!$X$17, 0)</f>
        <v>1.9616157649480985</v>
      </c>
      <c r="W158" s="11">
        <f>IF(AND(N158-'Outil Cibles'!$Y$7&lt;=60,N158-'Outil Cibles'!$Y$7&gt;=0), 'Outil Cibles'!$Y$17, 0)</f>
        <v>1.4420078055173704</v>
      </c>
      <c r="X158" s="11">
        <f>IF(AND(N158-'Outil Cibles'!$Z$7&lt;=60,N158-'Outil Cibles'!$Z$7&gt;=0), 'Outil Cibles'!$Z$17, 0)</f>
        <v>1.2366099769912016</v>
      </c>
      <c r="Y158" s="11">
        <f t="shared" si="8"/>
        <v>16.642758525888251</v>
      </c>
    </row>
    <row r="159" spans="1:25" x14ac:dyDescent="0.3">
      <c r="A159">
        <v>2093</v>
      </c>
      <c r="B159" s="11">
        <f>IF(AND($A159-'Outil Cibles'!D$7&lt;=60,$A159-'Outil Cibles'!D$7&gt;=0), B$3, 0)</f>
        <v>0</v>
      </c>
      <c r="C159" s="11">
        <f>IF(AND($A159-'Outil Cibles'!E$7&lt;=60,$A159-'Outil Cibles'!E$7&gt;=0), C$3, 0)</f>
        <v>0</v>
      </c>
      <c r="D159" s="11">
        <f>IF(AND($A159-'Outil Cibles'!F$7&lt;=60,$A159-'Outil Cibles'!F$7&gt;=0), D$3, 0)</f>
        <v>0</v>
      </c>
      <c r="E159" s="11">
        <f>IF(AND($A159-'Outil Cibles'!G$7&lt;=60,$A159-'Outil Cibles'!G$7&gt;=0), E$3, 0)</f>
        <v>5382.3222388442455</v>
      </c>
      <c r="F159" s="11">
        <f>IF(AND($A159-'Outil Cibles'!H$7&lt;=60,$A159-'Outil Cibles'!H$7&gt;=0), F$3, 0)</f>
        <v>4697.4836188392801</v>
      </c>
      <c r="G159" s="11">
        <f>IF(AND($A159-'Outil Cibles'!I$7&lt;=60,$A159-'Outil Cibles'!I$7&gt;=0), G$3, 0)</f>
        <v>4250.0459859961411</v>
      </c>
      <c r="H159" s="11">
        <f>IF(AND($A159-'Outil Cibles'!J$7&lt;=60,$A159-'Outil Cibles'!J$7&gt;=0), H$3, 0)</f>
        <v>3878.1564147749818</v>
      </c>
      <c r="I159" s="11">
        <f>IF(AND($A159-'Outil Cibles'!K$7&lt;=60,$A159-'Outil Cibles'!K$7&gt;=0), I$3, 0)</f>
        <v>3570.0965271108435</v>
      </c>
      <c r="J159" s="11">
        <f>IF(AND($A159-'Outil Cibles'!L$7&lt;=60,$A159-'Outil Cibles'!L$7&gt;=0), J$3, 0)</f>
        <v>2636.2497724001519</v>
      </c>
      <c r="K159" s="11">
        <f>IF(AND($A159-'Outil Cibles'!M$7&lt;=60,$A159-'Outil Cibles'!M$7&gt;=0), K$3, 0)</f>
        <v>2367.9176490853365</v>
      </c>
      <c r="L159" s="11">
        <f t="shared" si="7"/>
        <v>26782.272207050977</v>
      </c>
      <c r="N159">
        <v>2093</v>
      </c>
      <c r="O159" s="11">
        <f>IF(AND(N159-'Outil Cibles'!$Q$7&lt;=60,N159-'Outil Cibles'!$Q$7&gt;=0), 'Outil Cibles'!$Q$17, 0)</f>
        <v>0</v>
      </c>
      <c r="P159" s="11">
        <f>IF(AND(N159-'Outil Cibles'!$R$7&lt;=60,N159-'Outil Cibles'!$R$7&gt;=0), 'Outil Cibles'!$R$17, 0)</f>
        <v>0</v>
      </c>
      <c r="Q159" s="11">
        <f>IF(AND(N159-'Outil Cibles'!$S$7&lt;=60,N159-'Outil Cibles'!$S$7&gt;=0), 'Outil Cibles'!$S$17, 0)</f>
        <v>0</v>
      </c>
      <c r="R159" s="11">
        <f>IF(AND(N159-'Outil Cibles'!$T$7&lt;=60,N159-'Outil Cibles'!$T$7&gt;=0), 'Outil Cibles'!$T$17, 0)</f>
        <v>3.9285483356528981</v>
      </c>
      <c r="S159" s="11">
        <f>IF(AND(N159-'Outil Cibles'!$U$7&lt;=60,N159-'Outil Cibles'!$U$7&gt;=0), 'Outil Cibles'!$U$17, 0)</f>
        <v>3.1156336157567535</v>
      </c>
      <c r="T159" s="11">
        <f>IF(AND(N159-'Outil Cibles'!$V$7&lt;=60,N159-'Outil Cibles'!$V$7&gt;=0), 'Outil Cibles'!$V$17, 0)</f>
        <v>2.6699626409394961</v>
      </c>
      <c r="U159" s="11">
        <f>IF(AND(N159-'Outil Cibles'!$W$7&lt;=60,N159-'Outil Cibles'!$W$7&gt;=0), 'Outil Cibles'!$W$17, 0)</f>
        <v>2.2883803860824354</v>
      </c>
      <c r="V159" s="11">
        <f>IF(AND(N159-'Outil Cibles'!$X$7&lt;=60,N159-'Outil Cibles'!$X$7&gt;=0), 'Outil Cibles'!$X$17, 0)</f>
        <v>1.9616157649480985</v>
      </c>
      <c r="W159" s="11">
        <f>IF(AND(N159-'Outil Cibles'!$Y$7&lt;=60,N159-'Outil Cibles'!$Y$7&gt;=0), 'Outil Cibles'!$Y$17, 0)</f>
        <v>1.4420078055173704</v>
      </c>
      <c r="X159" s="11">
        <f>IF(AND(N159-'Outil Cibles'!$Z$7&lt;=60,N159-'Outil Cibles'!$Z$7&gt;=0), 'Outil Cibles'!$Z$17, 0)</f>
        <v>1.2366099769912016</v>
      </c>
      <c r="Y159" s="11">
        <f t="shared" si="8"/>
        <v>16.642758525888251</v>
      </c>
    </row>
    <row r="160" spans="1:25" x14ac:dyDescent="0.3">
      <c r="A160">
        <v>2094</v>
      </c>
      <c r="B160" s="11">
        <f>IF(AND($A160-'Outil Cibles'!D$7&lt;=60,$A160-'Outil Cibles'!D$7&gt;=0), B$3, 0)</f>
        <v>0</v>
      </c>
      <c r="C160" s="11">
        <f>IF(AND($A160-'Outil Cibles'!E$7&lt;=60,$A160-'Outil Cibles'!E$7&gt;=0), C$3, 0)</f>
        <v>0</v>
      </c>
      <c r="D160" s="11">
        <f>IF(AND($A160-'Outil Cibles'!F$7&lt;=60,$A160-'Outil Cibles'!F$7&gt;=0), D$3, 0)</f>
        <v>0</v>
      </c>
      <c r="E160" s="11">
        <f>IF(AND($A160-'Outil Cibles'!G$7&lt;=60,$A160-'Outil Cibles'!G$7&gt;=0), E$3, 0)</f>
        <v>5382.3222388442455</v>
      </c>
      <c r="F160" s="11">
        <f>IF(AND($A160-'Outil Cibles'!H$7&lt;=60,$A160-'Outil Cibles'!H$7&gt;=0), F$3, 0)</f>
        <v>4697.4836188392801</v>
      </c>
      <c r="G160" s="11">
        <f>IF(AND($A160-'Outil Cibles'!I$7&lt;=60,$A160-'Outil Cibles'!I$7&gt;=0), G$3, 0)</f>
        <v>4250.0459859961411</v>
      </c>
      <c r="H160" s="11">
        <f>IF(AND($A160-'Outil Cibles'!J$7&lt;=60,$A160-'Outil Cibles'!J$7&gt;=0), H$3, 0)</f>
        <v>3878.1564147749818</v>
      </c>
      <c r="I160" s="11">
        <f>IF(AND($A160-'Outil Cibles'!K$7&lt;=60,$A160-'Outil Cibles'!K$7&gt;=0), I$3, 0)</f>
        <v>3570.0965271108435</v>
      </c>
      <c r="J160" s="11">
        <f>IF(AND($A160-'Outil Cibles'!L$7&lt;=60,$A160-'Outil Cibles'!L$7&gt;=0), J$3, 0)</f>
        <v>2636.2497724001519</v>
      </c>
      <c r="K160" s="11">
        <f>IF(AND($A160-'Outil Cibles'!M$7&lt;=60,$A160-'Outil Cibles'!M$7&gt;=0), K$3, 0)</f>
        <v>2367.9176490853365</v>
      </c>
      <c r="L160" s="11">
        <f t="shared" si="7"/>
        <v>26782.272207050977</v>
      </c>
      <c r="N160">
        <v>2094</v>
      </c>
      <c r="O160" s="11">
        <f>IF(AND(N160-'Outil Cibles'!$Q$7&lt;=60,N160-'Outil Cibles'!$Q$7&gt;=0), 'Outil Cibles'!$Q$17, 0)</f>
        <v>0</v>
      </c>
      <c r="P160" s="11">
        <f>IF(AND(N160-'Outil Cibles'!$R$7&lt;=60,N160-'Outil Cibles'!$R$7&gt;=0), 'Outil Cibles'!$R$17, 0)</f>
        <v>0</v>
      </c>
      <c r="Q160" s="11">
        <f>IF(AND(N160-'Outil Cibles'!$S$7&lt;=60,N160-'Outil Cibles'!$S$7&gt;=0), 'Outil Cibles'!$S$17, 0)</f>
        <v>0</v>
      </c>
      <c r="R160" s="11">
        <f>IF(AND(N160-'Outil Cibles'!$T$7&lt;=60,N160-'Outil Cibles'!$T$7&gt;=0), 'Outil Cibles'!$T$17, 0)</f>
        <v>3.9285483356528981</v>
      </c>
      <c r="S160" s="11">
        <f>IF(AND(N160-'Outil Cibles'!$U$7&lt;=60,N160-'Outil Cibles'!$U$7&gt;=0), 'Outil Cibles'!$U$17, 0)</f>
        <v>3.1156336157567535</v>
      </c>
      <c r="T160" s="11">
        <f>IF(AND(N160-'Outil Cibles'!$V$7&lt;=60,N160-'Outil Cibles'!$V$7&gt;=0), 'Outil Cibles'!$V$17, 0)</f>
        <v>2.6699626409394961</v>
      </c>
      <c r="U160" s="11">
        <f>IF(AND(N160-'Outil Cibles'!$W$7&lt;=60,N160-'Outil Cibles'!$W$7&gt;=0), 'Outil Cibles'!$W$17, 0)</f>
        <v>2.2883803860824354</v>
      </c>
      <c r="V160" s="11">
        <f>IF(AND(N160-'Outil Cibles'!$X$7&lt;=60,N160-'Outil Cibles'!$X$7&gt;=0), 'Outil Cibles'!$X$17, 0)</f>
        <v>1.9616157649480985</v>
      </c>
      <c r="W160" s="11">
        <f>IF(AND(N160-'Outil Cibles'!$Y$7&lt;=60,N160-'Outil Cibles'!$Y$7&gt;=0), 'Outil Cibles'!$Y$17, 0)</f>
        <v>1.4420078055173704</v>
      </c>
      <c r="X160" s="11">
        <f>IF(AND(N160-'Outil Cibles'!$Z$7&lt;=60,N160-'Outil Cibles'!$Z$7&gt;=0), 'Outil Cibles'!$Z$17, 0)</f>
        <v>1.2366099769912016</v>
      </c>
      <c r="Y160" s="11">
        <f t="shared" si="8"/>
        <v>16.642758525888251</v>
      </c>
    </row>
    <row r="161" spans="1:25" x14ac:dyDescent="0.3">
      <c r="A161">
        <v>2095</v>
      </c>
      <c r="B161" s="11">
        <f>IF(AND($A161-'Outil Cibles'!D$7&lt;=60,$A161-'Outil Cibles'!D$7&gt;=0), B$3, 0)</f>
        <v>0</v>
      </c>
      <c r="C161" s="11">
        <f>IF(AND($A161-'Outil Cibles'!E$7&lt;=60,$A161-'Outil Cibles'!E$7&gt;=0), C$3, 0)</f>
        <v>0</v>
      </c>
      <c r="D161" s="11">
        <f>IF(AND($A161-'Outil Cibles'!F$7&lt;=60,$A161-'Outil Cibles'!F$7&gt;=0), D$3, 0)</f>
        <v>0</v>
      </c>
      <c r="E161" s="11">
        <f>IF(AND($A161-'Outil Cibles'!G$7&lt;=60,$A161-'Outil Cibles'!G$7&gt;=0), E$3, 0)</f>
        <v>5382.3222388442455</v>
      </c>
      <c r="F161" s="11">
        <f>IF(AND($A161-'Outil Cibles'!H$7&lt;=60,$A161-'Outil Cibles'!H$7&gt;=0), F$3, 0)</f>
        <v>4697.4836188392801</v>
      </c>
      <c r="G161" s="11">
        <f>IF(AND($A161-'Outil Cibles'!I$7&lt;=60,$A161-'Outil Cibles'!I$7&gt;=0), G$3, 0)</f>
        <v>4250.0459859961411</v>
      </c>
      <c r="H161" s="11">
        <f>IF(AND($A161-'Outil Cibles'!J$7&lt;=60,$A161-'Outil Cibles'!J$7&gt;=0), H$3, 0)</f>
        <v>3878.1564147749818</v>
      </c>
      <c r="I161" s="11">
        <f>IF(AND($A161-'Outil Cibles'!K$7&lt;=60,$A161-'Outil Cibles'!K$7&gt;=0), I$3, 0)</f>
        <v>3570.0965271108435</v>
      </c>
      <c r="J161" s="11">
        <f>IF(AND($A161-'Outil Cibles'!L$7&lt;=60,$A161-'Outil Cibles'!L$7&gt;=0), J$3, 0)</f>
        <v>2636.2497724001519</v>
      </c>
      <c r="K161" s="11">
        <f>IF(AND($A161-'Outil Cibles'!M$7&lt;=60,$A161-'Outil Cibles'!M$7&gt;=0), K$3, 0)</f>
        <v>2367.9176490853365</v>
      </c>
      <c r="L161" s="11">
        <f t="shared" si="7"/>
        <v>26782.272207050977</v>
      </c>
      <c r="N161">
        <v>2095</v>
      </c>
      <c r="O161" s="11">
        <f>IF(AND(N161-'Outil Cibles'!$Q$7&lt;=60,N161-'Outil Cibles'!$Q$7&gt;=0), 'Outil Cibles'!$Q$17, 0)</f>
        <v>0</v>
      </c>
      <c r="P161" s="11">
        <f>IF(AND(N161-'Outil Cibles'!$R$7&lt;=60,N161-'Outil Cibles'!$R$7&gt;=0), 'Outil Cibles'!$R$17, 0)</f>
        <v>0</v>
      </c>
      <c r="Q161" s="11">
        <f>IF(AND(N161-'Outil Cibles'!$S$7&lt;=60,N161-'Outil Cibles'!$S$7&gt;=0), 'Outil Cibles'!$S$17, 0)</f>
        <v>0</v>
      </c>
      <c r="R161" s="11">
        <f>IF(AND(N161-'Outil Cibles'!$T$7&lt;=60,N161-'Outil Cibles'!$T$7&gt;=0), 'Outil Cibles'!$T$17, 0)</f>
        <v>3.9285483356528981</v>
      </c>
      <c r="S161" s="11">
        <f>IF(AND(N161-'Outil Cibles'!$U$7&lt;=60,N161-'Outil Cibles'!$U$7&gt;=0), 'Outil Cibles'!$U$17, 0)</f>
        <v>3.1156336157567535</v>
      </c>
      <c r="T161" s="11">
        <f>IF(AND(N161-'Outil Cibles'!$V$7&lt;=60,N161-'Outil Cibles'!$V$7&gt;=0), 'Outil Cibles'!$V$17, 0)</f>
        <v>2.6699626409394961</v>
      </c>
      <c r="U161" s="11">
        <f>IF(AND(N161-'Outil Cibles'!$W$7&lt;=60,N161-'Outil Cibles'!$W$7&gt;=0), 'Outil Cibles'!$W$17, 0)</f>
        <v>2.2883803860824354</v>
      </c>
      <c r="V161" s="11">
        <f>IF(AND(N161-'Outil Cibles'!$X$7&lt;=60,N161-'Outil Cibles'!$X$7&gt;=0), 'Outil Cibles'!$X$17, 0)</f>
        <v>1.9616157649480985</v>
      </c>
      <c r="W161" s="11">
        <f>IF(AND(N161-'Outil Cibles'!$Y$7&lt;=60,N161-'Outil Cibles'!$Y$7&gt;=0), 'Outil Cibles'!$Y$17, 0)</f>
        <v>1.4420078055173704</v>
      </c>
      <c r="X161" s="11">
        <f>IF(AND(N161-'Outil Cibles'!$Z$7&lt;=60,N161-'Outil Cibles'!$Z$7&gt;=0), 'Outil Cibles'!$Z$17, 0)</f>
        <v>1.2366099769912016</v>
      </c>
      <c r="Y161" s="11">
        <f t="shared" si="8"/>
        <v>16.642758525888251</v>
      </c>
    </row>
    <row r="162" spans="1:25" x14ac:dyDescent="0.3">
      <c r="A162">
        <v>2096</v>
      </c>
      <c r="B162" s="11">
        <f>IF(AND($A162-'Outil Cibles'!D$7&lt;=60,$A162-'Outil Cibles'!D$7&gt;=0), B$3, 0)</f>
        <v>0</v>
      </c>
      <c r="C162" s="11">
        <f>IF(AND($A162-'Outil Cibles'!E$7&lt;=60,$A162-'Outil Cibles'!E$7&gt;=0), C$3, 0)</f>
        <v>0</v>
      </c>
      <c r="D162" s="11">
        <f>IF(AND($A162-'Outil Cibles'!F$7&lt;=60,$A162-'Outil Cibles'!F$7&gt;=0), D$3, 0)</f>
        <v>0</v>
      </c>
      <c r="E162" s="11">
        <f>IF(AND($A162-'Outil Cibles'!G$7&lt;=60,$A162-'Outil Cibles'!G$7&gt;=0), E$3, 0)</f>
        <v>0</v>
      </c>
      <c r="F162" s="11">
        <f>IF(AND($A162-'Outil Cibles'!H$7&lt;=60,$A162-'Outil Cibles'!H$7&gt;=0), F$3, 0)</f>
        <v>4697.4836188392801</v>
      </c>
      <c r="G162" s="11">
        <f>IF(AND($A162-'Outil Cibles'!I$7&lt;=60,$A162-'Outil Cibles'!I$7&gt;=0), G$3, 0)</f>
        <v>4250.0459859961411</v>
      </c>
      <c r="H162" s="11">
        <f>IF(AND($A162-'Outil Cibles'!J$7&lt;=60,$A162-'Outil Cibles'!J$7&gt;=0), H$3, 0)</f>
        <v>3878.1564147749818</v>
      </c>
      <c r="I162" s="11">
        <f>IF(AND($A162-'Outil Cibles'!K$7&lt;=60,$A162-'Outil Cibles'!K$7&gt;=0), I$3, 0)</f>
        <v>3570.0965271108435</v>
      </c>
      <c r="J162" s="11">
        <f>IF(AND($A162-'Outil Cibles'!L$7&lt;=60,$A162-'Outil Cibles'!L$7&gt;=0), J$3, 0)</f>
        <v>2636.2497724001519</v>
      </c>
      <c r="K162" s="11">
        <f>IF(AND($A162-'Outil Cibles'!M$7&lt;=60,$A162-'Outil Cibles'!M$7&gt;=0), K$3, 0)</f>
        <v>2367.9176490853365</v>
      </c>
      <c r="L162" s="11">
        <f t="shared" si="7"/>
        <v>21399.949968206733</v>
      </c>
      <c r="N162">
        <v>2096</v>
      </c>
      <c r="O162" s="11">
        <f>IF(AND(N162-'Outil Cibles'!$Q$7&lt;=60,N162-'Outil Cibles'!$Q$7&gt;=0), 'Outil Cibles'!$Q$17, 0)</f>
        <v>0</v>
      </c>
      <c r="P162" s="11">
        <f>IF(AND(N162-'Outil Cibles'!$R$7&lt;=60,N162-'Outil Cibles'!$R$7&gt;=0), 'Outil Cibles'!$R$17, 0)</f>
        <v>0</v>
      </c>
      <c r="Q162" s="11">
        <f>IF(AND(N162-'Outil Cibles'!$S$7&lt;=60,N162-'Outil Cibles'!$S$7&gt;=0), 'Outil Cibles'!$S$17, 0)</f>
        <v>0</v>
      </c>
      <c r="R162" s="11">
        <f>IF(AND(N162-'Outil Cibles'!$T$7&lt;=60,N162-'Outil Cibles'!$T$7&gt;=0), 'Outil Cibles'!$T$17, 0)</f>
        <v>0</v>
      </c>
      <c r="S162" s="11">
        <f>IF(AND(N162-'Outil Cibles'!$U$7&lt;=60,N162-'Outil Cibles'!$U$7&gt;=0), 'Outil Cibles'!$U$17, 0)</f>
        <v>3.1156336157567535</v>
      </c>
      <c r="T162" s="11">
        <f>IF(AND(N162-'Outil Cibles'!$V$7&lt;=60,N162-'Outil Cibles'!$V$7&gt;=0), 'Outil Cibles'!$V$17, 0)</f>
        <v>2.6699626409394961</v>
      </c>
      <c r="U162" s="11">
        <f>IF(AND(N162-'Outil Cibles'!$W$7&lt;=60,N162-'Outil Cibles'!$W$7&gt;=0), 'Outil Cibles'!$W$17, 0)</f>
        <v>2.2883803860824354</v>
      </c>
      <c r="V162" s="11">
        <f>IF(AND(N162-'Outil Cibles'!$X$7&lt;=60,N162-'Outil Cibles'!$X$7&gt;=0), 'Outil Cibles'!$X$17, 0)</f>
        <v>1.9616157649480985</v>
      </c>
      <c r="W162" s="11">
        <f>IF(AND(N162-'Outil Cibles'!$Y$7&lt;=60,N162-'Outil Cibles'!$Y$7&gt;=0), 'Outil Cibles'!$Y$17, 0)</f>
        <v>1.4420078055173704</v>
      </c>
      <c r="X162" s="11">
        <f>IF(AND(N162-'Outil Cibles'!$Z$7&lt;=60,N162-'Outil Cibles'!$Z$7&gt;=0), 'Outil Cibles'!$Z$17, 0)</f>
        <v>1.2366099769912016</v>
      </c>
      <c r="Y162" s="11">
        <f t="shared" si="8"/>
        <v>12.714210190235356</v>
      </c>
    </row>
    <row r="163" spans="1:25" x14ac:dyDescent="0.3">
      <c r="A163">
        <v>2097</v>
      </c>
      <c r="B163" s="11">
        <f>IF(AND($A163-'Outil Cibles'!D$7&lt;=60,$A163-'Outil Cibles'!D$7&gt;=0), B$3, 0)</f>
        <v>0</v>
      </c>
      <c r="C163" s="11">
        <f>IF(AND($A163-'Outil Cibles'!E$7&lt;=60,$A163-'Outil Cibles'!E$7&gt;=0), C$3, 0)</f>
        <v>0</v>
      </c>
      <c r="D163" s="11">
        <f>IF(AND($A163-'Outil Cibles'!F$7&lt;=60,$A163-'Outil Cibles'!F$7&gt;=0), D$3, 0)</f>
        <v>0</v>
      </c>
      <c r="E163" s="11">
        <f>IF(AND($A163-'Outil Cibles'!G$7&lt;=60,$A163-'Outil Cibles'!G$7&gt;=0), E$3, 0)</f>
        <v>0</v>
      </c>
      <c r="F163" s="11">
        <f>IF(AND($A163-'Outil Cibles'!H$7&lt;=60,$A163-'Outil Cibles'!H$7&gt;=0), F$3, 0)</f>
        <v>4697.4836188392801</v>
      </c>
      <c r="G163" s="11">
        <f>IF(AND($A163-'Outil Cibles'!I$7&lt;=60,$A163-'Outil Cibles'!I$7&gt;=0), G$3, 0)</f>
        <v>4250.0459859961411</v>
      </c>
      <c r="H163" s="11">
        <f>IF(AND($A163-'Outil Cibles'!J$7&lt;=60,$A163-'Outil Cibles'!J$7&gt;=0), H$3, 0)</f>
        <v>3878.1564147749818</v>
      </c>
      <c r="I163" s="11">
        <f>IF(AND($A163-'Outil Cibles'!K$7&lt;=60,$A163-'Outil Cibles'!K$7&gt;=0), I$3, 0)</f>
        <v>3570.0965271108435</v>
      </c>
      <c r="J163" s="11">
        <f>IF(AND($A163-'Outil Cibles'!L$7&lt;=60,$A163-'Outil Cibles'!L$7&gt;=0), J$3, 0)</f>
        <v>2636.2497724001519</v>
      </c>
      <c r="K163" s="11">
        <f>IF(AND($A163-'Outil Cibles'!M$7&lt;=60,$A163-'Outil Cibles'!M$7&gt;=0), K$3, 0)</f>
        <v>2367.9176490853365</v>
      </c>
      <c r="L163" s="11">
        <f t="shared" si="7"/>
        <v>21399.949968206733</v>
      </c>
      <c r="N163">
        <v>2097</v>
      </c>
      <c r="O163" s="11">
        <f>IF(AND(N163-'Outil Cibles'!$Q$7&lt;=60,N163-'Outil Cibles'!$Q$7&gt;=0), 'Outil Cibles'!$Q$17, 0)</f>
        <v>0</v>
      </c>
      <c r="P163" s="11">
        <f>IF(AND(N163-'Outil Cibles'!$R$7&lt;=60,N163-'Outil Cibles'!$R$7&gt;=0), 'Outil Cibles'!$R$17, 0)</f>
        <v>0</v>
      </c>
      <c r="Q163" s="11">
        <f>IF(AND(N163-'Outil Cibles'!$S$7&lt;=60,N163-'Outil Cibles'!$S$7&gt;=0), 'Outil Cibles'!$S$17, 0)</f>
        <v>0</v>
      </c>
      <c r="R163" s="11">
        <f>IF(AND(N163-'Outil Cibles'!$T$7&lt;=60,N163-'Outil Cibles'!$T$7&gt;=0), 'Outil Cibles'!$T$17, 0)</f>
        <v>0</v>
      </c>
      <c r="S163" s="11">
        <f>IF(AND(N163-'Outil Cibles'!$U$7&lt;=60,N163-'Outil Cibles'!$U$7&gt;=0), 'Outil Cibles'!$U$17, 0)</f>
        <v>3.1156336157567535</v>
      </c>
      <c r="T163" s="11">
        <f>IF(AND(N163-'Outil Cibles'!$V$7&lt;=60,N163-'Outil Cibles'!$V$7&gt;=0), 'Outil Cibles'!$V$17, 0)</f>
        <v>2.6699626409394961</v>
      </c>
      <c r="U163" s="11">
        <f>IF(AND(N163-'Outil Cibles'!$W$7&lt;=60,N163-'Outil Cibles'!$W$7&gt;=0), 'Outil Cibles'!$W$17, 0)</f>
        <v>2.2883803860824354</v>
      </c>
      <c r="V163" s="11">
        <f>IF(AND(N163-'Outil Cibles'!$X$7&lt;=60,N163-'Outil Cibles'!$X$7&gt;=0), 'Outil Cibles'!$X$17, 0)</f>
        <v>1.9616157649480985</v>
      </c>
      <c r="W163" s="11">
        <f>IF(AND(N163-'Outil Cibles'!$Y$7&lt;=60,N163-'Outil Cibles'!$Y$7&gt;=0), 'Outil Cibles'!$Y$17, 0)</f>
        <v>1.4420078055173704</v>
      </c>
      <c r="X163" s="11">
        <f>IF(AND(N163-'Outil Cibles'!$Z$7&lt;=60,N163-'Outil Cibles'!$Z$7&gt;=0), 'Outil Cibles'!$Z$17, 0)</f>
        <v>1.2366099769912016</v>
      </c>
      <c r="Y163" s="11">
        <f t="shared" si="8"/>
        <v>12.714210190235356</v>
      </c>
    </row>
    <row r="164" spans="1:25" x14ac:dyDescent="0.3">
      <c r="A164" s="10">
        <v>2098</v>
      </c>
      <c r="B164" s="11">
        <f>IF(AND($A164-'Outil Cibles'!D$7&lt;=60,$A164-'Outil Cibles'!D$7&gt;=0), B$3, 0)</f>
        <v>0</v>
      </c>
      <c r="C164" s="11">
        <f>IF(AND($A164-'Outil Cibles'!E$7&lt;=60,$A164-'Outil Cibles'!E$7&gt;=0), C$3, 0)</f>
        <v>0</v>
      </c>
      <c r="D164" s="11">
        <f>IF(AND($A164-'Outil Cibles'!F$7&lt;=60,$A164-'Outil Cibles'!F$7&gt;=0), D$3, 0)</f>
        <v>0</v>
      </c>
      <c r="E164" s="11">
        <f>IF(AND($A164-'Outil Cibles'!G$7&lt;=60,$A164-'Outil Cibles'!G$7&gt;=0), E$3, 0)</f>
        <v>0</v>
      </c>
      <c r="F164" s="11">
        <f>IF(AND($A164-'Outil Cibles'!H$7&lt;=60,$A164-'Outil Cibles'!H$7&gt;=0), F$3, 0)</f>
        <v>4697.4836188392801</v>
      </c>
      <c r="G164" s="11">
        <f>IF(AND($A164-'Outil Cibles'!I$7&lt;=60,$A164-'Outil Cibles'!I$7&gt;=0), G$3, 0)</f>
        <v>4250.0459859961411</v>
      </c>
      <c r="H164" s="11">
        <f>IF(AND($A164-'Outil Cibles'!J$7&lt;=60,$A164-'Outil Cibles'!J$7&gt;=0), H$3, 0)</f>
        <v>3878.1564147749818</v>
      </c>
      <c r="I164" s="11">
        <f>IF(AND($A164-'Outil Cibles'!K$7&lt;=60,$A164-'Outil Cibles'!K$7&gt;=0), I$3, 0)</f>
        <v>3570.0965271108435</v>
      </c>
      <c r="J164" s="11">
        <f>IF(AND($A164-'Outil Cibles'!L$7&lt;=60,$A164-'Outil Cibles'!L$7&gt;=0), J$3, 0)</f>
        <v>2636.2497724001519</v>
      </c>
      <c r="K164" s="11">
        <f>IF(AND($A164-'Outil Cibles'!M$7&lt;=60,$A164-'Outil Cibles'!M$7&gt;=0), K$3, 0)</f>
        <v>2367.9176490853365</v>
      </c>
      <c r="L164" s="11">
        <f t="shared" si="7"/>
        <v>21399.949968206733</v>
      </c>
      <c r="N164" s="10">
        <v>2098</v>
      </c>
      <c r="O164" s="11">
        <f>IF(AND(N164-'Outil Cibles'!$Q$7&lt;=60,N164-'Outil Cibles'!$Q$7&gt;=0), 'Outil Cibles'!$Q$17, 0)</f>
        <v>0</v>
      </c>
      <c r="P164" s="11">
        <f>IF(AND(N164-'Outil Cibles'!$R$7&lt;=60,N164-'Outil Cibles'!$R$7&gt;=0), 'Outil Cibles'!$R$17, 0)</f>
        <v>0</v>
      </c>
      <c r="Q164" s="11">
        <f>IF(AND(N164-'Outil Cibles'!$S$7&lt;=60,N164-'Outil Cibles'!$S$7&gt;=0), 'Outil Cibles'!$S$17, 0)</f>
        <v>0</v>
      </c>
      <c r="R164" s="11">
        <f>IF(AND(N164-'Outil Cibles'!$T$7&lt;=60,N164-'Outil Cibles'!$T$7&gt;=0), 'Outil Cibles'!$T$17, 0)</f>
        <v>0</v>
      </c>
      <c r="S164" s="11">
        <f>IF(AND(N164-'Outil Cibles'!$U$7&lt;=60,N164-'Outil Cibles'!$U$7&gt;=0), 'Outil Cibles'!$U$17, 0)</f>
        <v>3.1156336157567535</v>
      </c>
      <c r="T164" s="11">
        <f>IF(AND(N164-'Outil Cibles'!$V$7&lt;=60,N164-'Outil Cibles'!$V$7&gt;=0), 'Outil Cibles'!$V$17, 0)</f>
        <v>2.6699626409394961</v>
      </c>
      <c r="U164" s="11">
        <f>IF(AND(N164-'Outil Cibles'!$W$7&lt;=60,N164-'Outil Cibles'!$W$7&gt;=0), 'Outil Cibles'!$W$17, 0)</f>
        <v>2.2883803860824354</v>
      </c>
      <c r="V164" s="11">
        <f>IF(AND(N164-'Outil Cibles'!$X$7&lt;=60,N164-'Outil Cibles'!$X$7&gt;=0), 'Outil Cibles'!$X$17, 0)</f>
        <v>1.9616157649480985</v>
      </c>
      <c r="W164" s="11">
        <f>IF(AND(N164-'Outil Cibles'!$Y$7&lt;=60,N164-'Outil Cibles'!$Y$7&gt;=0), 'Outil Cibles'!$Y$17, 0)</f>
        <v>1.4420078055173704</v>
      </c>
      <c r="X164" s="11">
        <f>IF(AND(N164-'Outil Cibles'!$Z$7&lt;=60,N164-'Outil Cibles'!$Z$7&gt;=0), 'Outil Cibles'!$Z$17, 0)</f>
        <v>1.2366099769912016</v>
      </c>
      <c r="Y164" s="11">
        <f t="shared" si="8"/>
        <v>12.714210190235356</v>
      </c>
    </row>
    <row r="165" spans="1:25" x14ac:dyDescent="0.3">
      <c r="A165">
        <v>2099</v>
      </c>
      <c r="B165" s="11">
        <f>IF(AND($A165-'Outil Cibles'!D$7&lt;=60,$A165-'Outil Cibles'!D$7&gt;=0), B$3, 0)</f>
        <v>0</v>
      </c>
      <c r="C165" s="11">
        <f>IF(AND($A165-'Outil Cibles'!E$7&lt;=60,$A165-'Outil Cibles'!E$7&gt;=0), C$3, 0)</f>
        <v>0</v>
      </c>
      <c r="D165" s="11">
        <f>IF(AND($A165-'Outil Cibles'!F$7&lt;=60,$A165-'Outil Cibles'!F$7&gt;=0), D$3, 0)</f>
        <v>0</v>
      </c>
      <c r="E165" s="11">
        <f>IF(AND($A165-'Outil Cibles'!G$7&lt;=60,$A165-'Outil Cibles'!G$7&gt;=0), E$3, 0)</f>
        <v>0</v>
      </c>
      <c r="F165" s="11">
        <f>IF(AND($A165-'Outil Cibles'!H$7&lt;=60,$A165-'Outil Cibles'!H$7&gt;=0), F$3, 0)</f>
        <v>0</v>
      </c>
      <c r="G165" s="11">
        <f>IF(AND($A165-'Outil Cibles'!I$7&lt;=60,$A165-'Outil Cibles'!I$7&gt;=0), G$3, 0)</f>
        <v>4250.0459859961411</v>
      </c>
      <c r="H165" s="11">
        <f>IF(AND($A165-'Outil Cibles'!J$7&lt;=60,$A165-'Outil Cibles'!J$7&gt;=0), H$3, 0)</f>
        <v>3878.1564147749818</v>
      </c>
      <c r="I165" s="11">
        <f>IF(AND($A165-'Outil Cibles'!K$7&lt;=60,$A165-'Outil Cibles'!K$7&gt;=0), I$3, 0)</f>
        <v>3570.0965271108435</v>
      </c>
      <c r="J165" s="11">
        <f>IF(AND($A165-'Outil Cibles'!L$7&lt;=60,$A165-'Outil Cibles'!L$7&gt;=0), J$3, 0)</f>
        <v>2636.2497724001519</v>
      </c>
      <c r="K165" s="11">
        <f>IF(AND($A165-'Outil Cibles'!M$7&lt;=60,$A165-'Outil Cibles'!M$7&gt;=0), K$3, 0)</f>
        <v>2367.9176490853365</v>
      </c>
      <c r="L165" s="11">
        <f t="shared" si="7"/>
        <v>16702.466349367452</v>
      </c>
      <c r="N165">
        <v>2099</v>
      </c>
      <c r="O165" s="11">
        <f>IF(AND(N165-'Outil Cibles'!$Q$7&lt;=60,N165-'Outil Cibles'!$Q$7&gt;=0), 'Outil Cibles'!$Q$17, 0)</f>
        <v>0</v>
      </c>
      <c r="P165" s="11">
        <f>IF(AND(N165-'Outil Cibles'!$R$7&lt;=60,N165-'Outil Cibles'!$R$7&gt;=0), 'Outil Cibles'!$R$17, 0)</f>
        <v>0</v>
      </c>
      <c r="Q165" s="11">
        <f>IF(AND(N165-'Outil Cibles'!$S$7&lt;=60,N165-'Outil Cibles'!$S$7&gt;=0), 'Outil Cibles'!$S$17, 0)</f>
        <v>0</v>
      </c>
      <c r="R165" s="11">
        <f>IF(AND(N165-'Outil Cibles'!$T$7&lt;=60,N165-'Outil Cibles'!$T$7&gt;=0), 'Outil Cibles'!$T$17, 0)</f>
        <v>0</v>
      </c>
      <c r="S165" s="11">
        <f>IF(AND(N165-'Outil Cibles'!$U$7&lt;=60,N165-'Outil Cibles'!$U$7&gt;=0), 'Outil Cibles'!$U$17, 0)</f>
        <v>0</v>
      </c>
      <c r="T165" s="11">
        <f>IF(AND(N165-'Outil Cibles'!$V$7&lt;=60,N165-'Outil Cibles'!$V$7&gt;=0), 'Outil Cibles'!$V$17, 0)</f>
        <v>2.6699626409394961</v>
      </c>
      <c r="U165" s="11">
        <f>IF(AND(N165-'Outil Cibles'!$W$7&lt;=60,N165-'Outil Cibles'!$W$7&gt;=0), 'Outil Cibles'!$W$17, 0)</f>
        <v>2.2883803860824354</v>
      </c>
      <c r="V165" s="11">
        <f>IF(AND(N165-'Outil Cibles'!$X$7&lt;=60,N165-'Outil Cibles'!$X$7&gt;=0), 'Outil Cibles'!$X$17, 0)</f>
        <v>1.9616157649480985</v>
      </c>
      <c r="W165" s="11">
        <f>IF(AND(N165-'Outil Cibles'!$Y$7&lt;=60,N165-'Outil Cibles'!$Y$7&gt;=0), 'Outil Cibles'!$Y$17, 0)</f>
        <v>1.4420078055173704</v>
      </c>
      <c r="X165" s="11">
        <f>IF(AND(N165-'Outil Cibles'!$Z$7&lt;=60,N165-'Outil Cibles'!$Z$7&gt;=0), 'Outil Cibles'!$Z$17, 0)</f>
        <v>1.2366099769912016</v>
      </c>
      <c r="Y165" s="11">
        <f t="shared" si="8"/>
        <v>9.5985765744786029</v>
      </c>
    </row>
    <row r="166" spans="1:25" x14ac:dyDescent="0.3">
      <c r="A166">
        <v>2100</v>
      </c>
      <c r="B166" s="11">
        <f>IF(AND($A166-'Outil Cibles'!D$7&lt;=60,$A166-'Outil Cibles'!D$7&gt;=0), B$3, 0)</f>
        <v>0</v>
      </c>
      <c r="C166" s="11">
        <f>IF(AND($A166-'Outil Cibles'!E$7&lt;=60,$A166-'Outil Cibles'!E$7&gt;=0), C$3, 0)</f>
        <v>0</v>
      </c>
      <c r="D166" s="11">
        <f>IF(AND($A166-'Outil Cibles'!F$7&lt;=60,$A166-'Outil Cibles'!F$7&gt;=0), D$3, 0)</f>
        <v>0</v>
      </c>
      <c r="E166" s="11">
        <f>IF(AND($A166-'Outil Cibles'!G$7&lt;=60,$A166-'Outil Cibles'!G$7&gt;=0), E$3, 0)</f>
        <v>0</v>
      </c>
      <c r="F166" s="11">
        <f>IF(AND($A166-'Outil Cibles'!H$7&lt;=60,$A166-'Outil Cibles'!H$7&gt;=0), F$3, 0)</f>
        <v>0</v>
      </c>
      <c r="G166" s="11">
        <f>IF(AND($A166-'Outil Cibles'!I$7&lt;=60,$A166-'Outil Cibles'!I$7&gt;=0), G$3, 0)</f>
        <v>4250.0459859961411</v>
      </c>
      <c r="H166" s="11">
        <f>IF(AND($A166-'Outil Cibles'!J$7&lt;=60,$A166-'Outil Cibles'!J$7&gt;=0), H$3, 0)</f>
        <v>3878.1564147749818</v>
      </c>
      <c r="I166" s="11">
        <f>IF(AND($A166-'Outil Cibles'!K$7&lt;=60,$A166-'Outil Cibles'!K$7&gt;=0), I$3, 0)</f>
        <v>3570.0965271108435</v>
      </c>
      <c r="J166" s="11">
        <f>IF(AND($A166-'Outil Cibles'!L$7&lt;=60,$A166-'Outil Cibles'!L$7&gt;=0), J$3, 0)</f>
        <v>2636.2497724001519</v>
      </c>
      <c r="K166" s="11">
        <f>IF(AND($A166-'Outil Cibles'!M$7&lt;=60,$A166-'Outil Cibles'!M$7&gt;=0), K$3, 0)</f>
        <v>2367.9176490853365</v>
      </c>
      <c r="L166" s="11">
        <f t="shared" si="7"/>
        <v>16702.466349367452</v>
      </c>
      <c r="N166">
        <v>2100</v>
      </c>
      <c r="O166" s="11">
        <f>IF(AND(N166-'Outil Cibles'!$Q$7&lt;=60,N166-'Outil Cibles'!$Q$7&gt;=0), 'Outil Cibles'!$Q$17, 0)</f>
        <v>0</v>
      </c>
      <c r="P166" s="11">
        <f>IF(AND(N166-'Outil Cibles'!$R$7&lt;=60,N166-'Outil Cibles'!$R$7&gt;=0), 'Outil Cibles'!$R$17, 0)</f>
        <v>0</v>
      </c>
      <c r="Q166" s="11">
        <f>IF(AND(N166-'Outil Cibles'!$S$7&lt;=60,N166-'Outil Cibles'!$S$7&gt;=0), 'Outil Cibles'!$S$17, 0)</f>
        <v>0</v>
      </c>
      <c r="R166" s="11">
        <f>IF(AND(N166-'Outil Cibles'!$T$7&lt;=60,N166-'Outil Cibles'!$T$7&gt;=0), 'Outil Cibles'!$T$17, 0)</f>
        <v>0</v>
      </c>
      <c r="S166" s="11">
        <f>IF(AND(N166-'Outil Cibles'!$U$7&lt;=60,N166-'Outil Cibles'!$U$7&gt;=0), 'Outil Cibles'!$U$17, 0)</f>
        <v>0</v>
      </c>
      <c r="T166" s="11">
        <f>IF(AND(N166-'Outil Cibles'!$V$7&lt;=60,N166-'Outil Cibles'!$V$7&gt;=0), 'Outil Cibles'!$V$17, 0)</f>
        <v>2.6699626409394961</v>
      </c>
      <c r="U166" s="11">
        <f>IF(AND(N166-'Outil Cibles'!$W$7&lt;=60,N166-'Outil Cibles'!$W$7&gt;=0), 'Outil Cibles'!$W$17, 0)</f>
        <v>2.2883803860824354</v>
      </c>
      <c r="V166" s="11">
        <f>IF(AND(N166-'Outil Cibles'!$X$7&lt;=60,N166-'Outil Cibles'!$X$7&gt;=0), 'Outil Cibles'!$X$17, 0)</f>
        <v>1.9616157649480985</v>
      </c>
      <c r="W166" s="11">
        <f>IF(AND(N166-'Outil Cibles'!$Y$7&lt;=60,N166-'Outil Cibles'!$Y$7&gt;=0), 'Outil Cibles'!$Y$17, 0)</f>
        <v>1.4420078055173704</v>
      </c>
      <c r="X166" s="11">
        <f>IF(AND(N166-'Outil Cibles'!$Z$7&lt;=60,N166-'Outil Cibles'!$Z$7&gt;=0), 'Outil Cibles'!$Z$17, 0)</f>
        <v>1.2366099769912016</v>
      </c>
      <c r="Y166" s="11">
        <f t="shared" si="8"/>
        <v>9.5985765744786029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FE4B0-77EC-473D-980C-F122FE953ED1}">
  <dimension ref="A1:Y166"/>
  <sheetViews>
    <sheetView workbookViewId="0">
      <selection activeCell="O3" sqref="O3"/>
    </sheetView>
  </sheetViews>
  <sheetFormatPr baseColWidth="10" defaultColWidth="11.44140625" defaultRowHeight="14.4" x14ac:dyDescent="0.3"/>
  <sheetData>
    <row r="1" spans="1:25" x14ac:dyDescent="0.3">
      <c r="A1" t="s">
        <v>37</v>
      </c>
      <c r="B1" t="s">
        <v>49</v>
      </c>
      <c r="N1" t="s">
        <v>50</v>
      </c>
      <c r="Y1" t="s">
        <v>299</v>
      </c>
    </row>
    <row r="2" spans="1:25" x14ac:dyDescent="0.3">
      <c r="B2">
        <v>1</v>
      </c>
      <c r="C2">
        <v>2</v>
      </c>
      <c r="D2">
        <v>3</v>
      </c>
      <c r="E2">
        <v>4</v>
      </c>
      <c r="F2">
        <v>5</v>
      </c>
      <c r="G2">
        <v>6</v>
      </c>
      <c r="H2">
        <v>7</v>
      </c>
      <c r="I2">
        <v>8</v>
      </c>
      <c r="J2">
        <v>9</v>
      </c>
      <c r="K2">
        <v>10</v>
      </c>
      <c r="L2" t="s">
        <v>39</v>
      </c>
      <c r="O2">
        <v>1</v>
      </c>
      <c r="P2">
        <v>2</v>
      </c>
      <c r="Q2">
        <v>3</v>
      </c>
      <c r="R2">
        <v>4</v>
      </c>
      <c r="S2">
        <v>5</v>
      </c>
      <c r="T2">
        <v>6</v>
      </c>
      <c r="U2">
        <v>7</v>
      </c>
      <c r="V2">
        <v>8</v>
      </c>
      <c r="W2">
        <v>9</v>
      </c>
      <c r="X2">
        <v>10</v>
      </c>
      <c r="Y2" t="s">
        <v>39</v>
      </c>
    </row>
    <row r="3" spans="1:25" x14ac:dyDescent="0.3">
      <c r="B3" s="23">
        <f>SUM(B5:B83)</f>
        <v>62.589822051712808</v>
      </c>
      <c r="C3" s="23">
        <f t="shared" ref="C3:K3" si="0">SUM(C5:C83)</f>
        <v>166.2049257066773</v>
      </c>
      <c r="D3" s="23">
        <f t="shared" si="0"/>
        <v>114.54975531933785</v>
      </c>
      <c r="E3" s="23">
        <f t="shared" si="0"/>
        <v>75.420267718720396</v>
      </c>
      <c r="F3" s="23">
        <f t="shared" si="0"/>
        <v>59.193689349832788</v>
      </c>
      <c r="G3" s="23">
        <f t="shared" si="0"/>
        <v>49.837509460683997</v>
      </c>
      <c r="H3" s="23">
        <f t="shared" si="0"/>
        <v>40.855278502676477</v>
      </c>
      <c r="I3" s="23">
        <f t="shared" si="0"/>
        <v>31.201566819726317</v>
      </c>
      <c r="J3" s="23">
        <f t="shared" si="0"/>
        <v>11.969665053264366</v>
      </c>
      <c r="K3" s="23">
        <f t="shared" si="0"/>
        <v>5.9476898204035349</v>
      </c>
      <c r="O3">
        <f>SUM(O5:O83)/60</f>
        <v>1043.1637008618798</v>
      </c>
      <c r="P3">
        <f t="shared" ref="P3:X3" si="1">SUM(P5:P83)/60</f>
        <v>2770.0820951112937</v>
      </c>
      <c r="Q3">
        <f t="shared" si="1"/>
        <v>1909.1625886556317</v>
      </c>
      <c r="R3">
        <f t="shared" si="1"/>
        <v>1257.004461978674</v>
      </c>
      <c r="S3">
        <f t="shared" si="1"/>
        <v>986.56148916388076</v>
      </c>
      <c r="T3">
        <f t="shared" si="1"/>
        <v>830.62515767806633</v>
      </c>
      <c r="U3">
        <f t="shared" si="1"/>
        <v>680.92130837794082</v>
      </c>
      <c r="V3">
        <f t="shared" si="1"/>
        <v>520.02611366210544</v>
      </c>
      <c r="W3">
        <f t="shared" si="1"/>
        <v>199.49441755440617</v>
      </c>
      <c r="X3">
        <f t="shared" si="1"/>
        <v>99.128163673392294</v>
      </c>
    </row>
    <row r="4" spans="1:25" x14ac:dyDescent="0.3">
      <c r="A4" t="s">
        <v>40</v>
      </c>
      <c r="B4" t="s">
        <v>51</v>
      </c>
      <c r="N4" t="s">
        <v>40</v>
      </c>
      <c r="O4" t="s">
        <v>51</v>
      </c>
    </row>
    <row r="5" spans="1:25" x14ac:dyDescent="0.3">
      <c r="A5">
        <v>2022</v>
      </c>
      <c r="B5" s="23">
        <f>IF($A5='Outil Cibles'!D$7, 'Outil Cibles'!D$21, IF(AND($A5-'Outil Cibles'!D$7&lt;=20,$A5-'Outil Cibles'!D$7&gt;0), 'Outil Cibles'!D$21, IF(AND($A5-'Outil Cibles'!D$7&lt;=40, $A5-'Outil Cibles'!D$7&gt;0), 'Outil Cibles'!D$22, 0)))</f>
        <v>0</v>
      </c>
      <c r="C5" s="23">
        <f>IF($A5='Outil Cibles'!E$7, 'Outil Cibles'!E$21, IF(AND($A5-'Outil Cibles'!E$7&lt;=20,$A5-'Outil Cibles'!E$7&gt;0), 'Outil Cibles'!E$21, IF(AND($A5-'Outil Cibles'!E$7&lt;=40, $A5-'Outil Cibles'!E$7&gt;0), 'Outil Cibles'!E$22, 0)))</f>
        <v>0</v>
      </c>
      <c r="D5" s="23">
        <f>IF($A5='Outil Cibles'!F$7, 'Outil Cibles'!F$21, IF(AND($A5-'Outil Cibles'!F$7&lt;=20,$A5-'Outil Cibles'!F$7&gt;0), 'Outil Cibles'!F$21, IF(AND($A5-'Outil Cibles'!F$7&lt;=40, $A5-'Outil Cibles'!F$7&gt;0), 'Outil Cibles'!F$22, 0)))</f>
        <v>0</v>
      </c>
      <c r="E5" s="23">
        <f>IF($A5='Outil Cibles'!G$7, 'Outil Cibles'!G$21, IF(AND($A5-'Outil Cibles'!G$7&lt;=20,$A5-'Outil Cibles'!G$7&gt;0), 'Outil Cibles'!G$21, IF(AND($A5-'Outil Cibles'!G$7&lt;=40, $A5-'Outil Cibles'!G$7&gt;0), 'Outil Cibles'!G$22, 0)))</f>
        <v>0</v>
      </c>
      <c r="F5" s="23">
        <f>IF($A5='Outil Cibles'!H$7, 'Outil Cibles'!H$21, IF(AND($A5-'Outil Cibles'!H$7&lt;=20,$A5-'Outil Cibles'!H$7&gt;0), 'Outil Cibles'!H$21, IF(AND($A5-'Outil Cibles'!H$7&lt;=40, $A5-'Outil Cibles'!H$7&gt;0), 'Outil Cibles'!H$22, 0)))</f>
        <v>0</v>
      </c>
      <c r="G5" s="23">
        <f>IF($A5='Outil Cibles'!I$7, 'Outil Cibles'!I$21, IF(AND($A5-'Outil Cibles'!I$7&lt;=20,$A5-'Outil Cibles'!I$7&gt;0), 'Outil Cibles'!I$21, IF(AND($A5-'Outil Cibles'!I$7&lt;=40, $A5-'Outil Cibles'!I$7&gt;0), 'Outil Cibles'!I$22, 0)))</f>
        <v>0</v>
      </c>
      <c r="H5" s="23">
        <f>IF($A5='Outil Cibles'!J$7, 'Outil Cibles'!J$21, IF(AND($A5-'Outil Cibles'!J$7&lt;=20,$A5-'Outil Cibles'!J$7&gt;0), 'Outil Cibles'!J$21, IF(AND($A5-'Outil Cibles'!J$7&lt;=40, $A5-'Outil Cibles'!J$7&gt;0), 'Outil Cibles'!J$22, 0)))</f>
        <v>0</v>
      </c>
      <c r="I5" s="23">
        <f>IF($A5='Outil Cibles'!K$7, 'Outil Cibles'!K$21, IF(AND($A5-'Outil Cibles'!K$7&lt;=20,$A5-'Outil Cibles'!K$7&gt;0), 'Outil Cibles'!K$21, IF(AND($A5-'Outil Cibles'!K$7&lt;=40, $A5-'Outil Cibles'!K$7&gt;0), 'Outil Cibles'!K$22, 0)))</f>
        <v>0</v>
      </c>
      <c r="J5" s="23">
        <f>IF($A5='Outil Cibles'!L$7, 'Outil Cibles'!L$21, IF(AND($A5-'Outil Cibles'!L$7&lt;=20,$A5-'Outil Cibles'!L$7&gt;0), 'Outil Cibles'!L$21, IF(AND($A5-'Outil Cibles'!L$7&lt;=40, $A5-'Outil Cibles'!L$7&gt;0), 'Outil Cibles'!L$22, 0)))</f>
        <v>0</v>
      </c>
      <c r="K5" s="23">
        <f>IF($A5='Outil Cibles'!M$7, 'Outil Cibles'!M$21, IF(AND($A5-'Outil Cibles'!M$7&lt;=20,$A5-'Outil Cibles'!M$7&gt;0), 'Outil Cibles'!M$21, IF(AND($A5-'Outil Cibles'!M$7&lt;=40, $A5-'Outil Cibles'!M$7&gt;0), 'Outil Cibles'!M$22, 0)))</f>
        <v>0</v>
      </c>
      <c r="L5" s="23">
        <f>SUM(B5:K5)</f>
        <v>0</v>
      </c>
      <c r="N5">
        <v>2022</v>
      </c>
      <c r="O5">
        <f>B5*'Outil Cibles'!D8</f>
        <v>0</v>
      </c>
      <c r="P5">
        <f>C5*'Outil Cibles'!$E$8</f>
        <v>0</v>
      </c>
      <c r="Q5">
        <f>D5*'Outil Cibles'!$F$8</f>
        <v>0</v>
      </c>
      <c r="R5">
        <f>E5*'Outil Cibles'!$G$8</f>
        <v>0</v>
      </c>
      <c r="S5">
        <f>F5*'Outil Cibles'!$H$8</f>
        <v>0</v>
      </c>
      <c r="T5">
        <f>G5*'Outil Cibles'!$I$8</f>
        <v>0</v>
      </c>
      <c r="U5">
        <f>H5*'Outil Cibles'!$J$8</f>
        <v>0</v>
      </c>
      <c r="V5">
        <f>I5*'Outil Cibles'!$K$8</f>
        <v>0</v>
      </c>
      <c r="W5">
        <f>J5*'Outil Cibles'!$L$8</f>
        <v>0</v>
      </c>
      <c r="X5">
        <f>K5*'Outil Cibles'!$M$8</f>
        <v>0</v>
      </c>
      <c r="Y5">
        <f>SUM(O5:X5)</f>
        <v>0</v>
      </c>
    </row>
    <row r="6" spans="1:25" x14ac:dyDescent="0.3">
      <c r="A6">
        <v>2023</v>
      </c>
      <c r="B6" s="23">
        <f>IF($A6='Outil Cibles'!D$7, 'Outil Cibles'!D$21, IF(AND($A6-'Outil Cibles'!D$7&lt;=20,$A6-'Outil Cibles'!D$7&gt;0), 'Outil Cibles'!D$21, IF(AND($A6-'Outil Cibles'!D$7&lt;=40, $A6-'Outil Cibles'!D$7&gt;0), 'Outil Cibles'!D$22, 0)))</f>
        <v>0</v>
      </c>
      <c r="C6" s="23">
        <f>IF($A6='Outil Cibles'!E$7, 'Outil Cibles'!E$21, IF(AND($A6-'Outil Cibles'!E$7&lt;=20,$A6-'Outil Cibles'!E$7&gt;0), 'Outil Cibles'!E$21, IF(AND($A6-'Outil Cibles'!E$7&lt;=40, $A6-'Outil Cibles'!E$7&gt;0), 'Outil Cibles'!E$22, 0)))</f>
        <v>0</v>
      </c>
      <c r="D6" s="23">
        <f>IF($A6='Outil Cibles'!F$7, 'Outil Cibles'!F$21, IF(AND($A6-'Outil Cibles'!F$7&lt;=20,$A6-'Outil Cibles'!F$7&gt;0), 'Outil Cibles'!F$21, IF(AND($A6-'Outil Cibles'!F$7&lt;=40, $A6-'Outil Cibles'!F$7&gt;0), 'Outil Cibles'!F$22, 0)))</f>
        <v>0</v>
      </c>
      <c r="E6" s="23">
        <f>IF($A6='Outil Cibles'!G$7, 'Outil Cibles'!G$21, IF(AND($A6-'Outil Cibles'!G$7&lt;=20,$A6-'Outil Cibles'!G$7&gt;0), 'Outil Cibles'!G$21, IF(AND($A6-'Outil Cibles'!G$7&lt;=40, $A6-'Outil Cibles'!G$7&gt;0), 'Outil Cibles'!G$22, 0)))</f>
        <v>0</v>
      </c>
      <c r="F6" s="23">
        <f>IF($A6='Outil Cibles'!H$7, 'Outil Cibles'!H$21, IF(AND($A6-'Outil Cibles'!H$7&lt;=20,$A6-'Outil Cibles'!H$7&gt;0), 'Outil Cibles'!H$21, IF(AND($A6-'Outil Cibles'!H$7&lt;=40, $A6-'Outil Cibles'!H$7&gt;0), 'Outil Cibles'!H$22, 0)))</f>
        <v>0</v>
      </c>
      <c r="G6" s="23">
        <f>IF($A6='Outil Cibles'!I$7, 'Outil Cibles'!I$21, IF(AND($A6-'Outil Cibles'!I$7&lt;=20,$A6-'Outil Cibles'!I$7&gt;0), 'Outil Cibles'!I$21, IF(AND($A6-'Outil Cibles'!I$7&lt;=40, $A6-'Outil Cibles'!I$7&gt;0), 'Outil Cibles'!I$22, 0)))</f>
        <v>0</v>
      </c>
      <c r="H6" s="23">
        <f>IF($A6='Outil Cibles'!J$7, 'Outil Cibles'!J$21, IF(AND($A6-'Outil Cibles'!J$7&lt;=20,$A6-'Outil Cibles'!J$7&gt;0), 'Outil Cibles'!J$21, IF(AND($A6-'Outil Cibles'!J$7&lt;=40, $A6-'Outil Cibles'!J$7&gt;0), 'Outil Cibles'!J$22, 0)))</f>
        <v>0</v>
      </c>
      <c r="I6" s="23">
        <f>IF($A6='Outil Cibles'!K$7, 'Outil Cibles'!K$21, IF(AND($A6-'Outil Cibles'!K$7&lt;=20,$A6-'Outil Cibles'!K$7&gt;0), 'Outil Cibles'!K$21, IF(AND($A6-'Outil Cibles'!K$7&lt;=40, $A6-'Outil Cibles'!K$7&gt;0), 'Outil Cibles'!K$22, 0)))</f>
        <v>0</v>
      </c>
      <c r="J6" s="23">
        <f>IF($A6='Outil Cibles'!L$7, 'Outil Cibles'!L$21, IF(AND($A6-'Outil Cibles'!L$7&lt;=20,$A6-'Outil Cibles'!L$7&gt;0), 'Outil Cibles'!L$21, IF(AND($A6-'Outil Cibles'!L$7&lt;=40, $A6-'Outil Cibles'!L$7&gt;0), 'Outil Cibles'!L$22, 0)))</f>
        <v>0</v>
      </c>
      <c r="K6" s="23">
        <f>IF($A6='Outil Cibles'!M$7, 'Outil Cibles'!M$21, IF(AND($A6-'Outil Cibles'!M$7&lt;=20,$A6-'Outil Cibles'!M$7&gt;0), 'Outil Cibles'!M$21, IF(AND($A6-'Outil Cibles'!M$7&lt;=40, $A6-'Outil Cibles'!M$7&gt;0), 'Outil Cibles'!M$22, 0)))</f>
        <v>0</v>
      </c>
      <c r="L6" s="23">
        <f t="shared" ref="L6:L69" si="2">SUM(B6:K6)</f>
        <v>0</v>
      </c>
      <c r="N6">
        <v>2023</v>
      </c>
      <c r="O6">
        <f>B6*'Outil Cibles'!$D$8</f>
        <v>0</v>
      </c>
      <c r="P6">
        <f>C6*'Outil Cibles'!$E$8</f>
        <v>0</v>
      </c>
      <c r="Q6">
        <f>D6*'Outil Cibles'!$F$8</f>
        <v>0</v>
      </c>
      <c r="R6">
        <f>E6*'Outil Cibles'!$G$8</f>
        <v>0</v>
      </c>
      <c r="S6">
        <f>F6*'Outil Cibles'!$H$8</f>
        <v>0</v>
      </c>
      <c r="T6">
        <f>G6*'Outil Cibles'!$I$8</f>
        <v>0</v>
      </c>
      <c r="U6">
        <f>H6*'Outil Cibles'!$J$8</f>
        <v>0</v>
      </c>
      <c r="V6">
        <f>I6*'Outil Cibles'!$K$8</f>
        <v>0</v>
      </c>
      <c r="W6">
        <f>J6*'Outil Cibles'!$L$8</f>
        <v>0</v>
      </c>
      <c r="X6">
        <f>K6*'Outil Cibles'!$M$8</f>
        <v>0</v>
      </c>
      <c r="Y6">
        <f t="shared" ref="Y6:Y69" si="3">SUM(O6:X6)</f>
        <v>0</v>
      </c>
    </row>
    <row r="7" spans="1:25" x14ac:dyDescent="0.3">
      <c r="A7">
        <v>2024</v>
      </c>
      <c r="B7" s="23">
        <f>IF($A7='Outil Cibles'!D$7, 'Outil Cibles'!D$21, IF(AND($A7-'Outil Cibles'!D$7&lt;=20,$A7-'Outil Cibles'!D$7&gt;0), 'Outil Cibles'!D$21, IF(AND($A7-'Outil Cibles'!D$7&lt;=40, $A7-'Outil Cibles'!D$7&gt;0), 'Outil Cibles'!D$22, 0)))</f>
        <v>2.5855157380365981</v>
      </c>
      <c r="C7" s="23">
        <f>IF($A7='Outil Cibles'!E$7, 'Outil Cibles'!E$21, IF(AND($A7-'Outil Cibles'!E$7&lt;=20,$A7-'Outil Cibles'!E$7&gt;0), 'Outil Cibles'!E$21, IF(AND($A7-'Outil Cibles'!E$7&lt;=40, $A7-'Outil Cibles'!E$7&gt;0), 'Outil Cibles'!E$22, 0)))</f>
        <v>0</v>
      </c>
      <c r="D7" s="23">
        <f>IF($A7='Outil Cibles'!F$7, 'Outil Cibles'!F$21, IF(AND($A7-'Outil Cibles'!F$7&lt;=20,$A7-'Outil Cibles'!F$7&gt;0), 'Outil Cibles'!F$21, IF(AND($A7-'Outil Cibles'!F$7&lt;=40, $A7-'Outil Cibles'!F$7&gt;0), 'Outil Cibles'!F$22, 0)))</f>
        <v>0</v>
      </c>
      <c r="E7" s="23">
        <f>IF($A7='Outil Cibles'!G$7, 'Outil Cibles'!G$21, IF(AND($A7-'Outil Cibles'!G$7&lt;=20,$A7-'Outil Cibles'!G$7&gt;0), 'Outil Cibles'!G$21, IF(AND($A7-'Outil Cibles'!G$7&lt;=40, $A7-'Outil Cibles'!G$7&gt;0), 'Outil Cibles'!G$22, 0)))</f>
        <v>0</v>
      </c>
      <c r="F7" s="23">
        <f>IF($A7='Outil Cibles'!H$7, 'Outil Cibles'!H$21, IF(AND($A7-'Outil Cibles'!H$7&lt;=20,$A7-'Outil Cibles'!H$7&gt;0), 'Outil Cibles'!H$21, IF(AND($A7-'Outil Cibles'!H$7&lt;=40, $A7-'Outil Cibles'!H$7&gt;0), 'Outil Cibles'!H$22, 0)))</f>
        <v>0</v>
      </c>
      <c r="G7" s="23">
        <f>IF($A7='Outil Cibles'!I$7, 'Outil Cibles'!I$21, IF(AND($A7-'Outil Cibles'!I$7&lt;=20,$A7-'Outil Cibles'!I$7&gt;0), 'Outil Cibles'!I$21, IF(AND($A7-'Outil Cibles'!I$7&lt;=40, $A7-'Outil Cibles'!I$7&gt;0), 'Outil Cibles'!I$22, 0)))</f>
        <v>0</v>
      </c>
      <c r="H7" s="23">
        <f>IF($A7='Outil Cibles'!J$7, 'Outil Cibles'!J$21, IF(AND($A7-'Outil Cibles'!J$7&lt;=20,$A7-'Outil Cibles'!J$7&gt;0), 'Outil Cibles'!J$21, IF(AND($A7-'Outil Cibles'!J$7&lt;=40, $A7-'Outil Cibles'!J$7&gt;0), 'Outil Cibles'!J$22, 0)))</f>
        <v>0</v>
      </c>
      <c r="I7" s="23">
        <f>IF($A7='Outil Cibles'!K$7, 'Outil Cibles'!K$21, IF(AND($A7-'Outil Cibles'!K$7&lt;=20,$A7-'Outil Cibles'!K$7&gt;0), 'Outil Cibles'!K$21, IF(AND($A7-'Outil Cibles'!K$7&lt;=40, $A7-'Outil Cibles'!K$7&gt;0), 'Outil Cibles'!K$22, 0)))</f>
        <v>0</v>
      </c>
      <c r="J7" s="23">
        <f>IF($A7='Outil Cibles'!L$7, 'Outil Cibles'!L$21, IF(AND($A7-'Outil Cibles'!L$7&lt;=20,$A7-'Outil Cibles'!L$7&gt;0), 'Outil Cibles'!L$21, IF(AND($A7-'Outil Cibles'!L$7&lt;=40, $A7-'Outil Cibles'!L$7&gt;0), 'Outil Cibles'!L$22, 0)))</f>
        <v>0</v>
      </c>
      <c r="K7" s="23">
        <f>IF($A7='Outil Cibles'!M$7, 'Outil Cibles'!M$21, IF(AND($A7-'Outil Cibles'!M$7&lt;=20,$A7-'Outil Cibles'!M$7&gt;0), 'Outil Cibles'!M$21, IF(AND($A7-'Outil Cibles'!M$7&lt;=40, $A7-'Outil Cibles'!M$7&gt;0), 'Outil Cibles'!M$22, 0)))</f>
        <v>0</v>
      </c>
      <c r="L7" s="23">
        <f t="shared" si="2"/>
        <v>2.5855157380365981</v>
      </c>
      <c r="N7">
        <v>2024</v>
      </c>
      <c r="O7">
        <f>B7*'Outil Cibles'!$D$8</f>
        <v>2585.5157380365981</v>
      </c>
      <c r="P7">
        <f>C7*'Outil Cibles'!$E$8</f>
        <v>0</v>
      </c>
      <c r="Q7">
        <f>D7*'Outil Cibles'!$F$8</f>
        <v>0</v>
      </c>
      <c r="R7">
        <f>E7*'Outil Cibles'!$G$8</f>
        <v>0</v>
      </c>
      <c r="S7">
        <f>F7*'Outil Cibles'!$H$8</f>
        <v>0</v>
      </c>
      <c r="T7">
        <f>G7*'Outil Cibles'!$I$8</f>
        <v>0</v>
      </c>
      <c r="U7">
        <f>H7*'Outil Cibles'!$J$8</f>
        <v>0</v>
      </c>
      <c r="V7">
        <f>I7*'Outil Cibles'!$K$8</f>
        <v>0</v>
      </c>
      <c r="W7">
        <f>J7*'Outil Cibles'!$L$8</f>
        <v>0</v>
      </c>
      <c r="X7">
        <f>K7*'Outil Cibles'!$M$8</f>
        <v>0</v>
      </c>
      <c r="Y7">
        <f t="shared" si="3"/>
        <v>2585.5157380365981</v>
      </c>
    </row>
    <row r="8" spans="1:25" x14ac:dyDescent="0.3">
      <c r="A8" s="10">
        <v>2025</v>
      </c>
      <c r="B8" s="23">
        <f>IF($A8='Outil Cibles'!D$7, 'Outil Cibles'!D$21, IF(AND($A8-'Outil Cibles'!D$7&lt;=20,$A8-'Outil Cibles'!D$7&gt;0), 'Outil Cibles'!D$21, IF(AND($A8-'Outil Cibles'!D$7&lt;=40, $A8-'Outil Cibles'!D$7&gt;0), 'Outil Cibles'!D$22, 0)))</f>
        <v>2.5855157380365981</v>
      </c>
      <c r="C8" s="23">
        <f>IF($A8='Outil Cibles'!E$7, 'Outil Cibles'!E$21, IF(AND($A8-'Outil Cibles'!E$7&lt;=20,$A8-'Outil Cibles'!E$7&gt;0), 'Outil Cibles'!E$21, IF(AND($A8-'Outil Cibles'!E$7&lt;=40, $A8-'Outil Cibles'!E$7&gt;0), 'Outil Cibles'!E$22, 0)))</f>
        <v>0</v>
      </c>
      <c r="D8" s="23">
        <f>IF($A8='Outil Cibles'!F$7, 'Outil Cibles'!F$21, IF(AND($A8-'Outil Cibles'!F$7&lt;=20,$A8-'Outil Cibles'!F$7&gt;0), 'Outil Cibles'!F$21, IF(AND($A8-'Outil Cibles'!F$7&lt;=40, $A8-'Outil Cibles'!F$7&gt;0), 'Outil Cibles'!F$22, 0)))</f>
        <v>0</v>
      </c>
      <c r="E8" s="23">
        <f>IF($A8='Outil Cibles'!G$7, 'Outil Cibles'!G$21, IF(AND($A8-'Outil Cibles'!G$7&lt;=20,$A8-'Outil Cibles'!G$7&gt;0), 'Outil Cibles'!G$21, IF(AND($A8-'Outil Cibles'!G$7&lt;=40, $A8-'Outil Cibles'!G$7&gt;0), 'Outil Cibles'!G$22, 0)))</f>
        <v>0</v>
      </c>
      <c r="F8" s="23">
        <f>IF($A8='Outil Cibles'!H$7, 'Outil Cibles'!H$21, IF(AND($A8-'Outil Cibles'!H$7&lt;=20,$A8-'Outil Cibles'!H$7&gt;0), 'Outil Cibles'!H$21, IF(AND($A8-'Outil Cibles'!H$7&lt;=40, $A8-'Outil Cibles'!H$7&gt;0), 'Outil Cibles'!H$22, 0)))</f>
        <v>0</v>
      </c>
      <c r="G8" s="23">
        <f>IF($A8='Outil Cibles'!I$7, 'Outil Cibles'!I$21, IF(AND($A8-'Outil Cibles'!I$7&lt;=20,$A8-'Outil Cibles'!I$7&gt;0), 'Outil Cibles'!I$21, IF(AND($A8-'Outil Cibles'!I$7&lt;=40, $A8-'Outil Cibles'!I$7&gt;0), 'Outil Cibles'!I$22, 0)))</f>
        <v>0</v>
      </c>
      <c r="H8" s="23">
        <f>IF($A8='Outil Cibles'!J$7, 'Outil Cibles'!J$21, IF(AND($A8-'Outil Cibles'!J$7&lt;=20,$A8-'Outil Cibles'!J$7&gt;0), 'Outil Cibles'!J$21, IF(AND($A8-'Outil Cibles'!J$7&lt;=40, $A8-'Outil Cibles'!J$7&gt;0), 'Outil Cibles'!J$22, 0)))</f>
        <v>0</v>
      </c>
      <c r="I8" s="23">
        <f>IF($A8='Outil Cibles'!K$7, 'Outil Cibles'!K$21, IF(AND($A8-'Outil Cibles'!K$7&lt;=20,$A8-'Outil Cibles'!K$7&gt;0), 'Outil Cibles'!K$21, IF(AND($A8-'Outil Cibles'!K$7&lt;=40, $A8-'Outil Cibles'!K$7&gt;0), 'Outil Cibles'!K$22, 0)))</f>
        <v>0</v>
      </c>
      <c r="J8" s="23">
        <f>IF($A8='Outil Cibles'!L$7, 'Outil Cibles'!L$21, IF(AND($A8-'Outil Cibles'!L$7&lt;=20,$A8-'Outil Cibles'!L$7&gt;0), 'Outil Cibles'!L$21, IF(AND($A8-'Outil Cibles'!L$7&lt;=40, $A8-'Outil Cibles'!L$7&gt;0), 'Outil Cibles'!L$22, 0)))</f>
        <v>0</v>
      </c>
      <c r="K8" s="23">
        <f>IF($A8='Outil Cibles'!M$7, 'Outil Cibles'!M$21, IF(AND($A8-'Outil Cibles'!M$7&lt;=20,$A8-'Outil Cibles'!M$7&gt;0), 'Outil Cibles'!M$21, IF(AND($A8-'Outil Cibles'!M$7&lt;=40, $A8-'Outil Cibles'!M$7&gt;0), 'Outil Cibles'!M$22, 0)))</f>
        <v>0</v>
      </c>
      <c r="L8" s="23">
        <f t="shared" si="2"/>
        <v>2.5855157380365981</v>
      </c>
      <c r="N8" s="10">
        <v>2025</v>
      </c>
      <c r="O8">
        <f>B8*'Outil Cibles'!$D$8</f>
        <v>2585.5157380365981</v>
      </c>
      <c r="P8">
        <f>C8*'Outil Cibles'!$E$8</f>
        <v>0</v>
      </c>
      <c r="Q8">
        <f>D8*'Outil Cibles'!$F$8</f>
        <v>0</v>
      </c>
      <c r="R8">
        <f>E8*'Outil Cibles'!$G$8</f>
        <v>0</v>
      </c>
      <c r="S8">
        <f>F8*'Outil Cibles'!$H$8</f>
        <v>0</v>
      </c>
      <c r="T8">
        <f>G8*'Outil Cibles'!$I$8</f>
        <v>0</v>
      </c>
      <c r="U8">
        <f>H8*'Outil Cibles'!$J$8</f>
        <v>0</v>
      </c>
      <c r="V8">
        <f>I8*'Outil Cibles'!$K$8</f>
        <v>0</v>
      </c>
      <c r="W8">
        <f>J8*'Outil Cibles'!$L$8</f>
        <v>0</v>
      </c>
      <c r="X8">
        <f>K8*'Outil Cibles'!$M$8</f>
        <v>0</v>
      </c>
      <c r="Y8">
        <f t="shared" si="3"/>
        <v>2585.5157380365981</v>
      </c>
    </row>
    <row r="9" spans="1:25" x14ac:dyDescent="0.3">
      <c r="A9">
        <v>2026</v>
      </c>
      <c r="B9" s="23">
        <f>IF($A9='Outil Cibles'!D$7, 'Outil Cibles'!D$21, IF(AND($A9-'Outil Cibles'!D$7&lt;=20,$A9-'Outil Cibles'!D$7&gt;0), 'Outil Cibles'!D$21, IF(AND($A9-'Outil Cibles'!D$7&lt;=40, $A9-'Outil Cibles'!D$7&gt;0), 'Outil Cibles'!D$22, 0)))</f>
        <v>2.5855157380365981</v>
      </c>
      <c r="C9" s="23">
        <f>IF($A9='Outil Cibles'!E$7, 'Outil Cibles'!E$21, IF(AND($A9-'Outil Cibles'!E$7&lt;=20,$A9-'Outil Cibles'!E$7&gt;0), 'Outil Cibles'!E$21, IF(AND($A9-'Outil Cibles'!E$7&lt;=40, $A9-'Outil Cibles'!E$7&gt;0), 'Outil Cibles'!E$22, 0)))</f>
        <v>6.9626722623861621</v>
      </c>
      <c r="D9" s="23">
        <f>IF($A9='Outil Cibles'!F$7, 'Outil Cibles'!F$21, IF(AND($A9-'Outil Cibles'!F$7&lt;=20,$A9-'Outil Cibles'!F$7&gt;0), 'Outil Cibles'!F$21, IF(AND($A9-'Outil Cibles'!F$7&lt;=40, $A9-'Outil Cibles'!F$7&gt;0), 'Outil Cibles'!F$22, 0)))</f>
        <v>0</v>
      </c>
      <c r="E9" s="23">
        <f>IF($A9='Outil Cibles'!G$7, 'Outil Cibles'!G$21, IF(AND($A9-'Outil Cibles'!G$7&lt;=20,$A9-'Outil Cibles'!G$7&gt;0), 'Outil Cibles'!G$21, IF(AND($A9-'Outil Cibles'!G$7&lt;=40, $A9-'Outil Cibles'!G$7&gt;0), 'Outil Cibles'!G$22, 0)))</f>
        <v>0</v>
      </c>
      <c r="F9" s="23">
        <f>IF($A9='Outil Cibles'!H$7, 'Outil Cibles'!H$21, IF(AND($A9-'Outil Cibles'!H$7&lt;=20,$A9-'Outil Cibles'!H$7&gt;0), 'Outil Cibles'!H$21, IF(AND($A9-'Outil Cibles'!H$7&lt;=40, $A9-'Outil Cibles'!H$7&gt;0), 'Outil Cibles'!H$22, 0)))</f>
        <v>0</v>
      </c>
      <c r="G9" s="23">
        <f>IF($A9='Outil Cibles'!I$7, 'Outil Cibles'!I$21, IF(AND($A9-'Outil Cibles'!I$7&lt;=20,$A9-'Outil Cibles'!I$7&gt;0), 'Outil Cibles'!I$21, IF(AND($A9-'Outil Cibles'!I$7&lt;=40, $A9-'Outil Cibles'!I$7&gt;0), 'Outil Cibles'!I$22, 0)))</f>
        <v>0</v>
      </c>
      <c r="H9" s="23">
        <f>IF($A9='Outil Cibles'!J$7, 'Outil Cibles'!J$21, IF(AND($A9-'Outil Cibles'!J$7&lt;=20,$A9-'Outil Cibles'!J$7&gt;0), 'Outil Cibles'!J$21, IF(AND($A9-'Outil Cibles'!J$7&lt;=40, $A9-'Outil Cibles'!J$7&gt;0), 'Outil Cibles'!J$22, 0)))</f>
        <v>0</v>
      </c>
      <c r="I9" s="23">
        <f>IF($A9='Outil Cibles'!K$7, 'Outil Cibles'!K$21, IF(AND($A9-'Outil Cibles'!K$7&lt;=20,$A9-'Outil Cibles'!K$7&gt;0), 'Outil Cibles'!K$21, IF(AND($A9-'Outil Cibles'!K$7&lt;=40, $A9-'Outil Cibles'!K$7&gt;0), 'Outil Cibles'!K$22, 0)))</f>
        <v>0</v>
      </c>
      <c r="J9" s="23">
        <f>IF($A9='Outil Cibles'!L$7, 'Outil Cibles'!L$21, IF(AND($A9-'Outil Cibles'!L$7&lt;=20,$A9-'Outil Cibles'!L$7&gt;0), 'Outil Cibles'!L$21, IF(AND($A9-'Outil Cibles'!L$7&lt;=40, $A9-'Outil Cibles'!L$7&gt;0), 'Outil Cibles'!L$22, 0)))</f>
        <v>0</v>
      </c>
      <c r="K9" s="23">
        <f>IF($A9='Outil Cibles'!M$7, 'Outil Cibles'!M$21, IF(AND($A9-'Outil Cibles'!M$7&lt;=20,$A9-'Outil Cibles'!M$7&gt;0), 'Outil Cibles'!M$21, IF(AND($A9-'Outil Cibles'!M$7&lt;=40, $A9-'Outil Cibles'!M$7&gt;0), 'Outil Cibles'!M$22, 0)))</f>
        <v>0</v>
      </c>
      <c r="L9" s="23">
        <f t="shared" si="2"/>
        <v>9.5481880004227602</v>
      </c>
      <c r="N9">
        <v>2026</v>
      </c>
      <c r="O9">
        <f>B9*'Outil Cibles'!$D$8</f>
        <v>2585.5157380365981</v>
      </c>
      <c r="P9">
        <f>C9*'Outil Cibles'!$E$8</f>
        <v>6962.6722623861624</v>
      </c>
      <c r="Q9">
        <f>D9*'Outil Cibles'!$F$8</f>
        <v>0</v>
      </c>
      <c r="R9">
        <f>E9*'Outil Cibles'!$G$8</f>
        <v>0</v>
      </c>
      <c r="S9">
        <f>F9*'Outil Cibles'!$H$8</f>
        <v>0</v>
      </c>
      <c r="T9">
        <f>G9*'Outil Cibles'!$I$8</f>
        <v>0</v>
      </c>
      <c r="U9">
        <f>H9*'Outil Cibles'!$J$8</f>
        <v>0</v>
      </c>
      <c r="V9">
        <f>I9*'Outil Cibles'!$K$8</f>
        <v>0</v>
      </c>
      <c r="W9">
        <f>J9*'Outil Cibles'!$L$8</f>
        <v>0</v>
      </c>
      <c r="X9">
        <f>K9*'Outil Cibles'!$M$8</f>
        <v>0</v>
      </c>
      <c r="Y9">
        <f t="shared" si="3"/>
        <v>9548.1880004227605</v>
      </c>
    </row>
    <row r="10" spans="1:25" x14ac:dyDescent="0.3">
      <c r="A10">
        <v>2027</v>
      </c>
      <c r="B10" s="23">
        <f>IF($A10='Outil Cibles'!D$7, 'Outil Cibles'!D$21, IF(AND($A10-'Outil Cibles'!D$7&lt;=20,$A10-'Outil Cibles'!D$7&gt;0), 'Outil Cibles'!D$21, IF(AND($A10-'Outil Cibles'!D$7&lt;=40, $A10-'Outil Cibles'!D$7&gt;0), 'Outil Cibles'!D$22, 0)))</f>
        <v>2.5855157380365981</v>
      </c>
      <c r="C10" s="23">
        <f>IF($A10='Outil Cibles'!E$7, 'Outil Cibles'!E$21, IF(AND($A10-'Outil Cibles'!E$7&lt;=20,$A10-'Outil Cibles'!E$7&gt;0), 'Outil Cibles'!E$21, IF(AND($A10-'Outil Cibles'!E$7&lt;=40, $A10-'Outil Cibles'!E$7&gt;0), 'Outil Cibles'!E$22, 0)))</f>
        <v>6.9626722623861621</v>
      </c>
      <c r="D10" s="23">
        <f>IF($A10='Outil Cibles'!F$7, 'Outil Cibles'!F$21, IF(AND($A10-'Outil Cibles'!F$7&lt;=20,$A10-'Outil Cibles'!F$7&gt;0), 'Outil Cibles'!F$21, IF(AND($A10-'Outil Cibles'!F$7&lt;=40, $A10-'Outil Cibles'!F$7&gt;0), 'Outil Cibles'!F$22, 0)))</f>
        <v>0</v>
      </c>
      <c r="E10" s="23">
        <f>IF($A10='Outil Cibles'!G$7, 'Outil Cibles'!G$21, IF(AND($A10-'Outil Cibles'!G$7&lt;=20,$A10-'Outil Cibles'!G$7&gt;0), 'Outil Cibles'!G$21, IF(AND($A10-'Outil Cibles'!G$7&lt;=40, $A10-'Outil Cibles'!G$7&gt;0), 'Outil Cibles'!G$22, 0)))</f>
        <v>0</v>
      </c>
      <c r="F10" s="23">
        <f>IF($A10='Outil Cibles'!H$7, 'Outil Cibles'!H$21, IF(AND($A10-'Outil Cibles'!H$7&lt;=20,$A10-'Outil Cibles'!H$7&gt;0), 'Outil Cibles'!H$21, IF(AND($A10-'Outil Cibles'!H$7&lt;=40, $A10-'Outil Cibles'!H$7&gt;0), 'Outil Cibles'!H$22, 0)))</f>
        <v>0</v>
      </c>
      <c r="G10" s="23">
        <f>IF($A10='Outil Cibles'!I$7, 'Outil Cibles'!I$21, IF(AND($A10-'Outil Cibles'!I$7&lt;=20,$A10-'Outil Cibles'!I$7&gt;0), 'Outil Cibles'!I$21, IF(AND($A10-'Outil Cibles'!I$7&lt;=40, $A10-'Outil Cibles'!I$7&gt;0), 'Outil Cibles'!I$22, 0)))</f>
        <v>0</v>
      </c>
      <c r="H10" s="23">
        <f>IF($A10='Outil Cibles'!J$7, 'Outil Cibles'!J$21, IF(AND($A10-'Outil Cibles'!J$7&lt;=20,$A10-'Outil Cibles'!J$7&gt;0), 'Outil Cibles'!J$21, IF(AND($A10-'Outil Cibles'!J$7&lt;=40, $A10-'Outil Cibles'!J$7&gt;0), 'Outil Cibles'!J$22, 0)))</f>
        <v>0</v>
      </c>
      <c r="I10" s="23">
        <f>IF($A10='Outil Cibles'!K$7, 'Outil Cibles'!K$21, IF(AND($A10-'Outil Cibles'!K$7&lt;=20,$A10-'Outil Cibles'!K$7&gt;0), 'Outil Cibles'!K$21, IF(AND($A10-'Outil Cibles'!K$7&lt;=40, $A10-'Outil Cibles'!K$7&gt;0), 'Outil Cibles'!K$22, 0)))</f>
        <v>0</v>
      </c>
      <c r="J10" s="23">
        <f>IF($A10='Outil Cibles'!L$7, 'Outil Cibles'!L$21, IF(AND($A10-'Outil Cibles'!L$7&lt;=20,$A10-'Outil Cibles'!L$7&gt;0), 'Outil Cibles'!L$21, IF(AND($A10-'Outil Cibles'!L$7&lt;=40, $A10-'Outil Cibles'!L$7&gt;0), 'Outil Cibles'!L$22, 0)))</f>
        <v>0</v>
      </c>
      <c r="K10" s="23">
        <f>IF($A10='Outil Cibles'!M$7, 'Outil Cibles'!M$21, IF(AND($A10-'Outil Cibles'!M$7&lt;=20,$A10-'Outil Cibles'!M$7&gt;0), 'Outil Cibles'!M$21, IF(AND($A10-'Outil Cibles'!M$7&lt;=40, $A10-'Outil Cibles'!M$7&gt;0), 'Outil Cibles'!M$22, 0)))</f>
        <v>0</v>
      </c>
      <c r="L10" s="23">
        <f t="shared" si="2"/>
        <v>9.5481880004227602</v>
      </c>
      <c r="N10">
        <v>2027</v>
      </c>
      <c r="O10">
        <f>B10*'Outil Cibles'!$D$8</f>
        <v>2585.5157380365981</v>
      </c>
      <c r="P10">
        <f>C10*'Outil Cibles'!$E$8</f>
        <v>6962.6722623861624</v>
      </c>
      <c r="Q10">
        <f>D10*'Outil Cibles'!$F$8</f>
        <v>0</v>
      </c>
      <c r="R10">
        <f>E10*'Outil Cibles'!$G$8</f>
        <v>0</v>
      </c>
      <c r="S10">
        <f>F10*'Outil Cibles'!$H$8</f>
        <v>0</v>
      </c>
      <c r="T10">
        <f>G10*'Outil Cibles'!$I$8</f>
        <v>0</v>
      </c>
      <c r="U10">
        <f>H10*'Outil Cibles'!$J$8</f>
        <v>0</v>
      </c>
      <c r="V10">
        <f>I10*'Outil Cibles'!$K$8</f>
        <v>0</v>
      </c>
      <c r="W10">
        <f>J10*'Outil Cibles'!$L$8</f>
        <v>0</v>
      </c>
      <c r="X10">
        <f>K10*'Outil Cibles'!$M$8</f>
        <v>0</v>
      </c>
      <c r="Y10">
        <f t="shared" si="3"/>
        <v>9548.1880004227605</v>
      </c>
    </row>
    <row r="11" spans="1:25" x14ac:dyDescent="0.3">
      <c r="A11">
        <v>2028</v>
      </c>
      <c r="B11" s="23">
        <f>IF($A11='Outil Cibles'!D$7, 'Outil Cibles'!D$21, IF(AND($A11-'Outil Cibles'!D$7&lt;=20,$A11-'Outil Cibles'!D$7&gt;0), 'Outil Cibles'!D$21, IF(AND($A11-'Outil Cibles'!D$7&lt;=40, $A11-'Outil Cibles'!D$7&gt;0), 'Outil Cibles'!D$22, 0)))</f>
        <v>2.5855157380365981</v>
      </c>
      <c r="C11" s="23">
        <f>IF($A11='Outil Cibles'!E$7, 'Outil Cibles'!E$21, IF(AND($A11-'Outil Cibles'!E$7&lt;=20,$A11-'Outil Cibles'!E$7&gt;0), 'Outil Cibles'!E$21, IF(AND($A11-'Outil Cibles'!E$7&lt;=40, $A11-'Outil Cibles'!E$7&gt;0), 'Outil Cibles'!E$22, 0)))</f>
        <v>6.9626722623861621</v>
      </c>
      <c r="D11" s="23">
        <f>IF($A11='Outil Cibles'!F$7, 'Outil Cibles'!F$21, IF(AND($A11-'Outil Cibles'!F$7&lt;=20,$A11-'Outil Cibles'!F$7&gt;0), 'Outil Cibles'!F$21, IF(AND($A11-'Outil Cibles'!F$7&lt;=40, $A11-'Outil Cibles'!F$7&gt;0), 'Outil Cibles'!F$22, 0)))</f>
        <v>0</v>
      </c>
      <c r="E11" s="23">
        <f>IF($A11='Outil Cibles'!G$7, 'Outil Cibles'!G$21, IF(AND($A11-'Outil Cibles'!G$7&lt;=20,$A11-'Outil Cibles'!G$7&gt;0), 'Outil Cibles'!G$21, IF(AND($A11-'Outil Cibles'!G$7&lt;=40, $A11-'Outil Cibles'!G$7&gt;0), 'Outil Cibles'!G$22, 0)))</f>
        <v>0</v>
      </c>
      <c r="F11" s="23">
        <f>IF($A11='Outil Cibles'!H$7, 'Outil Cibles'!H$21, IF(AND($A11-'Outil Cibles'!H$7&lt;=20,$A11-'Outil Cibles'!H$7&gt;0), 'Outil Cibles'!H$21, IF(AND($A11-'Outil Cibles'!H$7&lt;=40, $A11-'Outil Cibles'!H$7&gt;0), 'Outil Cibles'!H$22, 0)))</f>
        <v>0</v>
      </c>
      <c r="G11" s="23">
        <f>IF($A11='Outil Cibles'!I$7, 'Outil Cibles'!I$21, IF(AND($A11-'Outil Cibles'!I$7&lt;=20,$A11-'Outil Cibles'!I$7&gt;0), 'Outil Cibles'!I$21, IF(AND($A11-'Outil Cibles'!I$7&lt;=40, $A11-'Outil Cibles'!I$7&gt;0), 'Outil Cibles'!I$22, 0)))</f>
        <v>0</v>
      </c>
      <c r="H11" s="23">
        <f>IF($A11='Outil Cibles'!J$7, 'Outil Cibles'!J$21, IF(AND($A11-'Outil Cibles'!J$7&lt;=20,$A11-'Outil Cibles'!J$7&gt;0), 'Outil Cibles'!J$21, IF(AND($A11-'Outil Cibles'!J$7&lt;=40, $A11-'Outil Cibles'!J$7&gt;0), 'Outil Cibles'!J$22, 0)))</f>
        <v>0</v>
      </c>
      <c r="I11" s="23">
        <f>IF($A11='Outil Cibles'!K$7, 'Outil Cibles'!K$21, IF(AND($A11-'Outil Cibles'!K$7&lt;=20,$A11-'Outil Cibles'!K$7&gt;0), 'Outil Cibles'!K$21, IF(AND($A11-'Outil Cibles'!K$7&lt;=40, $A11-'Outil Cibles'!K$7&gt;0), 'Outil Cibles'!K$22, 0)))</f>
        <v>0</v>
      </c>
      <c r="J11" s="23">
        <f>IF($A11='Outil Cibles'!L$7, 'Outil Cibles'!L$21, IF(AND($A11-'Outil Cibles'!L$7&lt;=20,$A11-'Outil Cibles'!L$7&gt;0), 'Outil Cibles'!L$21, IF(AND($A11-'Outil Cibles'!L$7&lt;=40, $A11-'Outil Cibles'!L$7&gt;0), 'Outil Cibles'!L$22, 0)))</f>
        <v>0</v>
      </c>
      <c r="K11" s="23">
        <f>IF($A11='Outil Cibles'!M$7, 'Outil Cibles'!M$21, IF(AND($A11-'Outil Cibles'!M$7&lt;=20,$A11-'Outil Cibles'!M$7&gt;0), 'Outil Cibles'!M$21, IF(AND($A11-'Outil Cibles'!M$7&lt;=40, $A11-'Outil Cibles'!M$7&gt;0), 'Outil Cibles'!M$22, 0)))</f>
        <v>0</v>
      </c>
      <c r="L11" s="23">
        <f t="shared" si="2"/>
        <v>9.5481880004227602</v>
      </c>
      <c r="N11">
        <v>2028</v>
      </c>
      <c r="O11">
        <f>B11*'Outil Cibles'!$D$8</f>
        <v>2585.5157380365981</v>
      </c>
      <c r="P11">
        <f>C11*'Outil Cibles'!$E$8</f>
        <v>6962.6722623861624</v>
      </c>
      <c r="Q11">
        <f>D11*'Outil Cibles'!$F$8</f>
        <v>0</v>
      </c>
      <c r="R11">
        <f>E11*'Outil Cibles'!$G$8</f>
        <v>0</v>
      </c>
      <c r="S11">
        <f>F11*'Outil Cibles'!$H$8</f>
        <v>0</v>
      </c>
      <c r="T11">
        <f>G11*'Outil Cibles'!$I$8</f>
        <v>0</v>
      </c>
      <c r="U11">
        <f>H11*'Outil Cibles'!$J$8</f>
        <v>0</v>
      </c>
      <c r="V11">
        <f>I11*'Outil Cibles'!$K$8</f>
        <v>0</v>
      </c>
      <c r="W11">
        <f>J11*'Outil Cibles'!$L$8</f>
        <v>0</v>
      </c>
      <c r="X11">
        <f>K11*'Outil Cibles'!$M$8</f>
        <v>0</v>
      </c>
      <c r="Y11">
        <f t="shared" si="3"/>
        <v>9548.1880004227605</v>
      </c>
    </row>
    <row r="12" spans="1:25" x14ac:dyDescent="0.3">
      <c r="A12">
        <v>2029</v>
      </c>
      <c r="B12" s="23">
        <f>IF($A12='Outil Cibles'!D$7, 'Outil Cibles'!D$21, IF(AND($A12-'Outil Cibles'!D$7&lt;=20,$A12-'Outil Cibles'!D$7&gt;0), 'Outil Cibles'!D$21, IF(AND($A12-'Outil Cibles'!D$7&lt;=40, $A12-'Outil Cibles'!D$7&gt;0), 'Outil Cibles'!D$22, 0)))</f>
        <v>2.5855157380365981</v>
      </c>
      <c r="C12" s="23">
        <f>IF($A12='Outil Cibles'!E$7, 'Outil Cibles'!E$21, IF(AND($A12-'Outil Cibles'!E$7&lt;=20,$A12-'Outil Cibles'!E$7&gt;0), 'Outil Cibles'!E$21, IF(AND($A12-'Outil Cibles'!E$7&lt;=40, $A12-'Outil Cibles'!E$7&gt;0), 'Outil Cibles'!E$22, 0)))</f>
        <v>6.9626722623861621</v>
      </c>
      <c r="D12" s="23">
        <f>IF($A12='Outil Cibles'!F$7, 'Outil Cibles'!F$21, IF(AND($A12-'Outil Cibles'!F$7&lt;=20,$A12-'Outil Cibles'!F$7&gt;0), 'Outil Cibles'!F$21, IF(AND($A12-'Outil Cibles'!F$7&lt;=40, $A12-'Outil Cibles'!F$7&gt;0), 'Outil Cibles'!F$22, 0)))</f>
        <v>0</v>
      </c>
      <c r="E12" s="23">
        <f>IF($A12='Outil Cibles'!G$7, 'Outil Cibles'!G$21, IF(AND($A12-'Outil Cibles'!G$7&lt;=20,$A12-'Outil Cibles'!G$7&gt;0), 'Outil Cibles'!G$21, IF(AND($A12-'Outil Cibles'!G$7&lt;=40, $A12-'Outil Cibles'!G$7&gt;0), 'Outil Cibles'!G$22, 0)))</f>
        <v>0</v>
      </c>
      <c r="F12" s="23">
        <f>IF($A12='Outil Cibles'!H$7, 'Outil Cibles'!H$21, IF(AND($A12-'Outil Cibles'!H$7&lt;=20,$A12-'Outil Cibles'!H$7&gt;0), 'Outil Cibles'!H$21, IF(AND($A12-'Outil Cibles'!H$7&lt;=40, $A12-'Outil Cibles'!H$7&gt;0), 'Outil Cibles'!H$22, 0)))</f>
        <v>0</v>
      </c>
      <c r="G12" s="23">
        <f>IF($A12='Outil Cibles'!I$7, 'Outil Cibles'!I$21, IF(AND($A12-'Outil Cibles'!I$7&lt;=20,$A12-'Outil Cibles'!I$7&gt;0), 'Outil Cibles'!I$21, IF(AND($A12-'Outil Cibles'!I$7&lt;=40, $A12-'Outil Cibles'!I$7&gt;0), 'Outil Cibles'!I$22, 0)))</f>
        <v>0</v>
      </c>
      <c r="H12" s="23">
        <f>IF($A12='Outil Cibles'!J$7, 'Outil Cibles'!J$21, IF(AND($A12-'Outil Cibles'!J$7&lt;=20,$A12-'Outil Cibles'!J$7&gt;0), 'Outil Cibles'!J$21, IF(AND($A12-'Outil Cibles'!J$7&lt;=40, $A12-'Outil Cibles'!J$7&gt;0), 'Outil Cibles'!J$22, 0)))</f>
        <v>0</v>
      </c>
      <c r="I12" s="23">
        <f>IF($A12='Outil Cibles'!K$7, 'Outil Cibles'!K$21, IF(AND($A12-'Outil Cibles'!K$7&lt;=20,$A12-'Outil Cibles'!K$7&gt;0), 'Outil Cibles'!K$21, IF(AND($A12-'Outil Cibles'!K$7&lt;=40, $A12-'Outil Cibles'!K$7&gt;0), 'Outil Cibles'!K$22, 0)))</f>
        <v>0</v>
      </c>
      <c r="J12" s="23">
        <f>IF($A12='Outil Cibles'!L$7, 'Outil Cibles'!L$21, IF(AND($A12-'Outil Cibles'!L$7&lt;=20,$A12-'Outil Cibles'!L$7&gt;0), 'Outil Cibles'!L$21, IF(AND($A12-'Outil Cibles'!L$7&lt;=40, $A12-'Outil Cibles'!L$7&gt;0), 'Outil Cibles'!L$22, 0)))</f>
        <v>0</v>
      </c>
      <c r="K12" s="23">
        <f>IF($A12='Outil Cibles'!M$7, 'Outil Cibles'!M$21, IF(AND($A12-'Outil Cibles'!M$7&lt;=20,$A12-'Outil Cibles'!M$7&gt;0), 'Outil Cibles'!M$21, IF(AND($A12-'Outil Cibles'!M$7&lt;=40, $A12-'Outil Cibles'!M$7&gt;0), 'Outil Cibles'!M$22, 0)))</f>
        <v>0</v>
      </c>
      <c r="L12" s="23">
        <f t="shared" si="2"/>
        <v>9.5481880004227602</v>
      </c>
      <c r="N12">
        <v>2029</v>
      </c>
      <c r="O12">
        <f>B12*'Outil Cibles'!$D$8</f>
        <v>2585.5157380365981</v>
      </c>
      <c r="P12">
        <f>C12*'Outil Cibles'!$E$8</f>
        <v>6962.6722623861624</v>
      </c>
      <c r="Q12">
        <f>D12*'Outil Cibles'!$F$8</f>
        <v>0</v>
      </c>
      <c r="R12">
        <f>E12*'Outil Cibles'!$G$8</f>
        <v>0</v>
      </c>
      <c r="S12">
        <f>F12*'Outil Cibles'!$H$8</f>
        <v>0</v>
      </c>
      <c r="T12">
        <f>G12*'Outil Cibles'!$I$8</f>
        <v>0</v>
      </c>
      <c r="U12">
        <f>H12*'Outil Cibles'!$J$8</f>
        <v>0</v>
      </c>
      <c r="V12">
        <f>I12*'Outil Cibles'!$K$8</f>
        <v>0</v>
      </c>
      <c r="W12">
        <f>J12*'Outil Cibles'!$L$8</f>
        <v>0</v>
      </c>
      <c r="X12">
        <f>K12*'Outil Cibles'!$M$8</f>
        <v>0</v>
      </c>
      <c r="Y12">
        <f t="shared" si="3"/>
        <v>9548.1880004227605</v>
      </c>
    </row>
    <row r="13" spans="1:25" x14ac:dyDescent="0.3">
      <c r="A13" s="10">
        <v>2030</v>
      </c>
      <c r="B13" s="23">
        <f>IF($A13='Outil Cibles'!D$7, 'Outil Cibles'!D$21, IF(AND($A13-'Outil Cibles'!D$7&lt;=20,$A13-'Outil Cibles'!D$7&gt;0), 'Outil Cibles'!D$21, IF(AND($A13-'Outil Cibles'!D$7&lt;=40, $A13-'Outil Cibles'!D$7&gt;0), 'Outil Cibles'!D$22, 0)))</f>
        <v>2.5855157380365981</v>
      </c>
      <c r="C13" s="23">
        <f>IF($A13='Outil Cibles'!E$7, 'Outil Cibles'!E$21, IF(AND($A13-'Outil Cibles'!E$7&lt;=20,$A13-'Outil Cibles'!E$7&gt;0), 'Outil Cibles'!E$21, IF(AND($A13-'Outil Cibles'!E$7&lt;=40, $A13-'Outil Cibles'!E$7&gt;0), 'Outil Cibles'!E$22, 0)))</f>
        <v>6.9626722623861621</v>
      </c>
      <c r="D13" s="23">
        <f>IF($A13='Outil Cibles'!F$7, 'Outil Cibles'!F$21, IF(AND($A13-'Outil Cibles'!F$7&lt;=20,$A13-'Outil Cibles'!F$7&gt;0), 'Outil Cibles'!F$21, IF(AND($A13-'Outil Cibles'!F$7&lt;=40, $A13-'Outil Cibles'!F$7&gt;0), 'Outil Cibles'!F$22, 0)))</f>
        <v>5.1850137535102592</v>
      </c>
      <c r="E13" s="23">
        <f>IF($A13='Outil Cibles'!G$7, 'Outil Cibles'!G$21, IF(AND($A13-'Outil Cibles'!G$7&lt;=20,$A13-'Outil Cibles'!G$7&gt;0), 'Outil Cibles'!G$21, IF(AND($A13-'Outil Cibles'!G$7&lt;=40, $A13-'Outil Cibles'!G$7&gt;0), 'Outil Cibles'!G$22, 0)))</f>
        <v>0</v>
      </c>
      <c r="F13" s="23">
        <f>IF($A13='Outil Cibles'!H$7, 'Outil Cibles'!H$21, IF(AND($A13-'Outil Cibles'!H$7&lt;=20,$A13-'Outil Cibles'!H$7&gt;0), 'Outil Cibles'!H$21, IF(AND($A13-'Outil Cibles'!H$7&lt;=40, $A13-'Outil Cibles'!H$7&gt;0), 'Outil Cibles'!H$22, 0)))</f>
        <v>0</v>
      </c>
      <c r="G13" s="23">
        <f>IF($A13='Outil Cibles'!I$7, 'Outil Cibles'!I$21, IF(AND($A13-'Outil Cibles'!I$7&lt;=20,$A13-'Outil Cibles'!I$7&gt;0), 'Outil Cibles'!I$21, IF(AND($A13-'Outil Cibles'!I$7&lt;=40, $A13-'Outil Cibles'!I$7&gt;0), 'Outil Cibles'!I$22, 0)))</f>
        <v>0</v>
      </c>
      <c r="H13" s="23">
        <f>IF($A13='Outil Cibles'!J$7, 'Outil Cibles'!J$21, IF(AND($A13-'Outil Cibles'!J$7&lt;=20,$A13-'Outil Cibles'!J$7&gt;0), 'Outil Cibles'!J$21, IF(AND($A13-'Outil Cibles'!J$7&lt;=40, $A13-'Outil Cibles'!J$7&gt;0), 'Outil Cibles'!J$22, 0)))</f>
        <v>0</v>
      </c>
      <c r="I13" s="23">
        <f>IF($A13='Outil Cibles'!K$7, 'Outil Cibles'!K$21, IF(AND($A13-'Outil Cibles'!K$7&lt;=20,$A13-'Outil Cibles'!K$7&gt;0), 'Outil Cibles'!K$21, IF(AND($A13-'Outil Cibles'!K$7&lt;=40, $A13-'Outil Cibles'!K$7&gt;0), 'Outil Cibles'!K$22, 0)))</f>
        <v>0</v>
      </c>
      <c r="J13" s="23">
        <f>IF($A13='Outil Cibles'!L$7, 'Outil Cibles'!L$21, IF(AND($A13-'Outil Cibles'!L$7&lt;=20,$A13-'Outil Cibles'!L$7&gt;0), 'Outil Cibles'!L$21, IF(AND($A13-'Outil Cibles'!L$7&lt;=40, $A13-'Outil Cibles'!L$7&gt;0), 'Outil Cibles'!L$22, 0)))</f>
        <v>0</v>
      </c>
      <c r="K13" s="23">
        <f>IF($A13='Outil Cibles'!M$7, 'Outil Cibles'!M$21, IF(AND($A13-'Outil Cibles'!M$7&lt;=20,$A13-'Outil Cibles'!M$7&gt;0), 'Outil Cibles'!M$21, IF(AND($A13-'Outil Cibles'!M$7&lt;=40, $A13-'Outil Cibles'!M$7&gt;0), 'Outil Cibles'!M$22, 0)))</f>
        <v>0</v>
      </c>
      <c r="L13" s="23">
        <f t="shared" si="2"/>
        <v>14.73320175393302</v>
      </c>
      <c r="N13" s="10">
        <v>2030</v>
      </c>
      <c r="O13">
        <f>B13*'Outil Cibles'!$D$8</f>
        <v>2585.5157380365981</v>
      </c>
      <c r="P13">
        <f>C13*'Outil Cibles'!$E$8</f>
        <v>6962.6722623861624</v>
      </c>
      <c r="Q13">
        <f>D13*'Outil Cibles'!$F$8</f>
        <v>5185.0137535102594</v>
      </c>
      <c r="R13">
        <f>E13*'Outil Cibles'!$G$8</f>
        <v>0</v>
      </c>
      <c r="S13">
        <f>F13*'Outil Cibles'!$H$8</f>
        <v>0</v>
      </c>
      <c r="T13">
        <f>G13*'Outil Cibles'!$I$8</f>
        <v>0</v>
      </c>
      <c r="U13">
        <f>H13*'Outil Cibles'!$J$8</f>
        <v>0</v>
      </c>
      <c r="V13">
        <f>I13*'Outil Cibles'!$K$8</f>
        <v>0</v>
      </c>
      <c r="W13">
        <f>J13*'Outil Cibles'!$L$8</f>
        <v>0</v>
      </c>
      <c r="X13">
        <f>K13*'Outil Cibles'!$M$8</f>
        <v>0</v>
      </c>
      <c r="Y13">
        <f t="shared" si="3"/>
        <v>14733.201753933019</v>
      </c>
    </row>
    <row r="14" spans="1:25" x14ac:dyDescent="0.3">
      <c r="A14">
        <v>2031</v>
      </c>
      <c r="B14" s="23">
        <f>IF($A14='Outil Cibles'!D$7, 'Outil Cibles'!D$21, IF(AND($A14-'Outil Cibles'!D$7&lt;=20,$A14-'Outil Cibles'!D$7&gt;0), 'Outil Cibles'!D$21, IF(AND($A14-'Outil Cibles'!D$7&lt;=40, $A14-'Outil Cibles'!D$7&gt;0), 'Outil Cibles'!D$22, 0)))</f>
        <v>2.5855157380365981</v>
      </c>
      <c r="C14" s="23">
        <f>IF($A14='Outil Cibles'!E$7, 'Outil Cibles'!E$21, IF(AND($A14-'Outil Cibles'!E$7&lt;=20,$A14-'Outil Cibles'!E$7&gt;0), 'Outil Cibles'!E$21, IF(AND($A14-'Outil Cibles'!E$7&lt;=40, $A14-'Outil Cibles'!E$7&gt;0), 'Outil Cibles'!E$22, 0)))</f>
        <v>6.9626722623861621</v>
      </c>
      <c r="D14" s="23">
        <f>IF($A14='Outil Cibles'!F$7, 'Outil Cibles'!F$21, IF(AND($A14-'Outil Cibles'!F$7&lt;=20,$A14-'Outil Cibles'!F$7&gt;0), 'Outil Cibles'!F$21, IF(AND($A14-'Outil Cibles'!F$7&lt;=40, $A14-'Outil Cibles'!F$7&gt;0), 'Outil Cibles'!F$22, 0)))</f>
        <v>5.1850137535102592</v>
      </c>
      <c r="E14" s="23">
        <f>IF($A14='Outil Cibles'!G$7, 'Outil Cibles'!G$21, IF(AND($A14-'Outil Cibles'!G$7&lt;=20,$A14-'Outil Cibles'!G$7&gt;0), 'Outil Cibles'!G$21, IF(AND($A14-'Outil Cibles'!G$7&lt;=40, $A14-'Outil Cibles'!G$7&gt;0), 'Outil Cibles'!G$22, 0)))</f>
        <v>0</v>
      </c>
      <c r="F14" s="23">
        <f>IF($A14='Outil Cibles'!H$7, 'Outil Cibles'!H$21, IF(AND($A14-'Outil Cibles'!H$7&lt;=20,$A14-'Outil Cibles'!H$7&gt;0), 'Outil Cibles'!H$21, IF(AND($A14-'Outil Cibles'!H$7&lt;=40, $A14-'Outil Cibles'!H$7&gt;0), 'Outil Cibles'!H$22, 0)))</f>
        <v>0</v>
      </c>
      <c r="G14" s="23">
        <f>IF($A14='Outil Cibles'!I$7, 'Outil Cibles'!I$21, IF(AND($A14-'Outil Cibles'!I$7&lt;=20,$A14-'Outil Cibles'!I$7&gt;0), 'Outil Cibles'!I$21, IF(AND($A14-'Outil Cibles'!I$7&lt;=40, $A14-'Outil Cibles'!I$7&gt;0), 'Outil Cibles'!I$22, 0)))</f>
        <v>0</v>
      </c>
      <c r="H14" s="23">
        <f>IF($A14='Outil Cibles'!J$7, 'Outil Cibles'!J$21, IF(AND($A14-'Outil Cibles'!J$7&lt;=20,$A14-'Outil Cibles'!J$7&gt;0), 'Outil Cibles'!J$21, IF(AND($A14-'Outil Cibles'!J$7&lt;=40, $A14-'Outil Cibles'!J$7&gt;0), 'Outil Cibles'!J$22, 0)))</f>
        <v>0</v>
      </c>
      <c r="I14" s="23">
        <f>IF($A14='Outil Cibles'!K$7, 'Outil Cibles'!K$21, IF(AND($A14-'Outil Cibles'!K$7&lt;=20,$A14-'Outil Cibles'!K$7&gt;0), 'Outil Cibles'!K$21, IF(AND($A14-'Outil Cibles'!K$7&lt;=40, $A14-'Outil Cibles'!K$7&gt;0), 'Outil Cibles'!K$22, 0)))</f>
        <v>0</v>
      </c>
      <c r="J14" s="23">
        <f>IF($A14='Outil Cibles'!L$7, 'Outil Cibles'!L$21, IF(AND($A14-'Outil Cibles'!L$7&lt;=20,$A14-'Outil Cibles'!L$7&gt;0), 'Outil Cibles'!L$21, IF(AND($A14-'Outil Cibles'!L$7&lt;=40, $A14-'Outil Cibles'!L$7&gt;0), 'Outil Cibles'!L$22, 0)))</f>
        <v>0</v>
      </c>
      <c r="K14" s="23">
        <f>IF($A14='Outil Cibles'!M$7, 'Outil Cibles'!M$21, IF(AND($A14-'Outil Cibles'!M$7&lt;=20,$A14-'Outil Cibles'!M$7&gt;0), 'Outil Cibles'!M$21, IF(AND($A14-'Outil Cibles'!M$7&lt;=40, $A14-'Outil Cibles'!M$7&gt;0), 'Outil Cibles'!M$22, 0)))</f>
        <v>0</v>
      </c>
      <c r="L14" s="23">
        <f t="shared" si="2"/>
        <v>14.73320175393302</v>
      </c>
      <c r="N14">
        <v>2031</v>
      </c>
      <c r="O14">
        <f>B14*'Outil Cibles'!$D$8</f>
        <v>2585.5157380365981</v>
      </c>
      <c r="P14">
        <f>C14*'Outil Cibles'!$E$8</f>
        <v>6962.6722623861624</v>
      </c>
      <c r="Q14">
        <f>D14*'Outil Cibles'!$F$8</f>
        <v>5185.0137535102594</v>
      </c>
      <c r="R14">
        <f>E14*'Outil Cibles'!$G$8</f>
        <v>0</v>
      </c>
      <c r="S14">
        <f>F14*'Outil Cibles'!$H$8</f>
        <v>0</v>
      </c>
      <c r="T14">
        <f>G14*'Outil Cibles'!$I$8</f>
        <v>0</v>
      </c>
      <c r="U14">
        <f>H14*'Outil Cibles'!$J$8</f>
        <v>0</v>
      </c>
      <c r="V14">
        <f>I14*'Outil Cibles'!$K$8</f>
        <v>0</v>
      </c>
      <c r="W14">
        <f>J14*'Outil Cibles'!$L$8</f>
        <v>0</v>
      </c>
      <c r="X14">
        <f>K14*'Outil Cibles'!$M$8</f>
        <v>0</v>
      </c>
      <c r="Y14">
        <f t="shared" si="3"/>
        <v>14733.201753933019</v>
      </c>
    </row>
    <row r="15" spans="1:25" x14ac:dyDescent="0.3">
      <c r="A15">
        <v>2032</v>
      </c>
      <c r="B15" s="23">
        <f>IF($A15='Outil Cibles'!D$7, 'Outil Cibles'!D$21, IF(AND($A15-'Outil Cibles'!D$7&lt;=20,$A15-'Outil Cibles'!D$7&gt;0), 'Outil Cibles'!D$21, IF(AND($A15-'Outil Cibles'!D$7&lt;=40, $A15-'Outil Cibles'!D$7&gt;0), 'Outil Cibles'!D$22, 0)))</f>
        <v>2.5855157380365981</v>
      </c>
      <c r="C15" s="23">
        <f>IF($A15='Outil Cibles'!E$7, 'Outil Cibles'!E$21, IF(AND($A15-'Outil Cibles'!E$7&lt;=20,$A15-'Outil Cibles'!E$7&gt;0), 'Outil Cibles'!E$21, IF(AND($A15-'Outil Cibles'!E$7&lt;=40, $A15-'Outil Cibles'!E$7&gt;0), 'Outil Cibles'!E$22, 0)))</f>
        <v>6.9626722623861621</v>
      </c>
      <c r="D15" s="23">
        <f>IF($A15='Outil Cibles'!F$7, 'Outil Cibles'!F$21, IF(AND($A15-'Outil Cibles'!F$7&lt;=20,$A15-'Outil Cibles'!F$7&gt;0), 'Outil Cibles'!F$21, IF(AND($A15-'Outil Cibles'!F$7&lt;=40, $A15-'Outil Cibles'!F$7&gt;0), 'Outil Cibles'!F$22, 0)))</f>
        <v>5.1850137535102592</v>
      </c>
      <c r="E15" s="23">
        <f>IF($A15='Outil Cibles'!G$7, 'Outil Cibles'!G$21, IF(AND($A15-'Outil Cibles'!G$7&lt;=20,$A15-'Outil Cibles'!G$7&gt;0), 'Outil Cibles'!G$21, IF(AND($A15-'Outil Cibles'!G$7&lt;=40, $A15-'Outil Cibles'!G$7&gt;0), 'Outil Cibles'!G$22, 0)))</f>
        <v>0</v>
      </c>
      <c r="F15" s="23">
        <f>IF($A15='Outil Cibles'!H$7, 'Outil Cibles'!H$21, IF(AND($A15-'Outil Cibles'!H$7&lt;=20,$A15-'Outil Cibles'!H$7&gt;0), 'Outil Cibles'!H$21, IF(AND($A15-'Outil Cibles'!H$7&lt;=40, $A15-'Outil Cibles'!H$7&gt;0), 'Outil Cibles'!H$22, 0)))</f>
        <v>0</v>
      </c>
      <c r="G15" s="23">
        <f>IF($A15='Outil Cibles'!I$7, 'Outil Cibles'!I$21, IF(AND($A15-'Outil Cibles'!I$7&lt;=20,$A15-'Outil Cibles'!I$7&gt;0), 'Outil Cibles'!I$21, IF(AND($A15-'Outil Cibles'!I$7&lt;=40, $A15-'Outil Cibles'!I$7&gt;0), 'Outil Cibles'!I$22, 0)))</f>
        <v>0</v>
      </c>
      <c r="H15" s="23">
        <f>IF($A15='Outil Cibles'!J$7, 'Outil Cibles'!J$21, IF(AND($A15-'Outil Cibles'!J$7&lt;=20,$A15-'Outil Cibles'!J$7&gt;0), 'Outil Cibles'!J$21, IF(AND($A15-'Outil Cibles'!J$7&lt;=40, $A15-'Outil Cibles'!J$7&gt;0), 'Outil Cibles'!J$22, 0)))</f>
        <v>0</v>
      </c>
      <c r="I15" s="23">
        <f>IF($A15='Outil Cibles'!K$7, 'Outil Cibles'!K$21, IF(AND($A15-'Outil Cibles'!K$7&lt;=20,$A15-'Outil Cibles'!K$7&gt;0), 'Outil Cibles'!K$21, IF(AND($A15-'Outil Cibles'!K$7&lt;=40, $A15-'Outil Cibles'!K$7&gt;0), 'Outil Cibles'!K$22, 0)))</f>
        <v>0</v>
      </c>
      <c r="J15" s="23">
        <f>IF($A15='Outil Cibles'!L$7, 'Outil Cibles'!L$21, IF(AND($A15-'Outil Cibles'!L$7&lt;=20,$A15-'Outil Cibles'!L$7&gt;0), 'Outil Cibles'!L$21, IF(AND($A15-'Outil Cibles'!L$7&lt;=40, $A15-'Outil Cibles'!L$7&gt;0), 'Outil Cibles'!L$22, 0)))</f>
        <v>0</v>
      </c>
      <c r="K15" s="23">
        <f>IF($A15='Outil Cibles'!M$7, 'Outil Cibles'!M$21, IF(AND($A15-'Outil Cibles'!M$7&lt;=20,$A15-'Outil Cibles'!M$7&gt;0), 'Outil Cibles'!M$21, IF(AND($A15-'Outil Cibles'!M$7&lt;=40, $A15-'Outil Cibles'!M$7&gt;0), 'Outil Cibles'!M$22, 0)))</f>
        <v>0</v>
      </c>
      <c r="L15" s="23">
        <f t="shared" si="2"/>
        <v>14.73320175393302</v>
      </c>
      <c r="N15">
        <v>2032</v>
      </c>
      <c r="O15">
        <f>B15*'Outil Cibles'!$D$8</f>
        <v>2585.5157380365981</v>
      </c>
      <c r="P15">
        <f>C15*'Outil Cibles'!$E$8</f>
        <v>6962.6722623861624</v>
      </c>
      <c r="Q15">
        <f>D15*'Outil Cibles'!$F$8</f>
        <v>5185.0137535102594</v>
      </c>
      <c r="R15">
        <f>E15*'Outil Cibles'!$G$8</f>
        <v>0</v>
      </c>
      <c r="S15">
        <f>F15*'Outil Cibles'!$H$8</f>
        <v>0</v>
      </c>
      <c r="T15">
        <f>G15*'Outil Cibles'!$I$8</f>
        <v>0</v>
      </c>
      <c r="U15">
        <f>H15*'Outil Cibles'!$J$8</f>
        <v>0</v>
      </c>
      <c r="V15">
        <f>I15*'Outil Cibles'!$K$8</f>
        <v>0</v>
      </c>
      <c r="W15">
        <f>J15*'Outil Cibles'!$L$8</f>
        <v>0</v>
      </c>
      <c r="X15">
        <f>K15*'Outil Cibles'!$M$8</f>
        <v>0</v>
      </c>
      <c r="Y15">
        <f t="shared" si="3"/>
        <v>14733.201753933019</v>
      </c>
    </row>
    <row r="16" spans="1:25" x14ac:dyDescent="0.3">
      <c r="A16">
        <v>2033</v>
      </c>
      <c r="B16" s="23">
        <f>IF($A16='Outil Cibles'!D$7, 'Outil Cibles'!D$21, IF(AND($A16-'Outil Cibles'!D$7&lt;=20,$A16-'Outil Cibles'!D$7&gt;0), 'Outil Cibles'!D$21, IF(AND($A16-'Outil Cibles'!D$7&lt;=40, $A16-'Outil Cibles'!D$7&gt;0), 'Outil Cibles'!D$22, 0)))</f>
        <v>2.5855157380365981</v>
      </c>
      <c r="C16" s="23">
        <f>IF($A16='Outil Cibles'!E$7, 'Outil Cibles'!E$21, IF(AND($A16-'Outil Cibles'!E$7&lt;=20,$A16-'Outil Cibles'!E$7&gt;0), 'Outil Cibles'!E$21, IF(AND($A16-'Outil Cibles'!E$7&lt;=40, $A16-'Outil Cibles'!E$7&gt;0), 'Outil Cibles'!E$22, 0)))</f>
        <v>6.9626722623861621</v>
      </c>
      <c r="D16" s="23">
        <f>IF($A16='Outil Cibles'!F$7, 'Outil Cibles'!F$21, IF(AND($A16-'Outil Cibles'!F$7&lt;=20,$A16-'Outil Cibles'!F$7&gt;0), 'Outil Cibles'!F$21, IF(AND($A16-'Outil Cibles'!F$7&lt;=40, $A16-'Outil Cibles'!F$7&gt;0), 'Outil Cibles'!F$22, 0)))</f>
        <v>5.1850137535102592</v>
      </c>
      <c r="E16" s="23">
        <f>IF($A16='Outil Cibles'!G$7, 'Outil Cibles'!G$21, IF(AND($A16-'Outil Cibles'!G$7&lt;=20,$A16-'Outil Cibles'!G$7&gt;0), 'Outil Cibles'!G$21, IF(AND($A16-'Outil Cibles'!G$7&lt;=40, $A16-'Outil Cibles'!G$7&gt;0), 'Outil Cibles'!G$22, 0)))</f>
        <v>0</v>
      </c>
      <c r="F16" s="23">
        <f>IF($A16='Outil Cibles'!H$7, 'Outil Cibles'!H$21, IF(AND($A16-'Outil Cibles'!H$7&lt;=20,$A16-'Outil Cibles'!H$7&gt;0), 'Outil Cibles'!H$21, IF(AND($A16-'Outil Cibles'!H$7&lt;=40, $A16-'Outil Cibles'!H$7&gt;0), 'Outil Cibles'!H$22, 0)))</f>
        <v>0</v>
      </c>
      <c r="G16" s="23">
        <f>IF($A16='Outil Cibles'!I$7, 'Outil Cibles'!I$21, IF(AND($A16-'Outil Cibles'!I$7&lt;=20,$A16-'Outil Cibles'!I$7&gt;0), 'Outil Cibles'!I$21, IF(AND($A16-'Outil Cibles'!I$7&lt;=40, $A16-'Outil Cibles'!I$7&gt;0), 'Outil Cibles'!I$22, 0)))</f>
        <v>0</v>
      </c>
      <c r="H16" s="23">
        <f>IF($A16='Outil Cibles'!J$7, 'Outil Cibles'!J$21, IF(AND($A16-'Outil Cibles'!J$7&lt;=20,$A16-'Outil Cibles'!J$7&gt;0), 'Outil Cibles'!J$21, IF(AND($A16-'Outil Cibles'!J$7&lt;=40, $A16-'Outil Cibles'!J$7&gt;0), 'Outil Cibles'!J$22, 0)))</f>
        <v>0</v>
      </c>
      <c r="I16" s="23">
        <f>IF($A16='Outil Cibles'!K$7, 'Outil Cibles'!K$21, IF(AND($A16-'Outil Cibles'!K$7&lt;=20,$A16-'Outil Cibles'!K$7&gt;0), 'Outil Cibles'!K$21, IF(AND($A16-'Outil Cibles'!K$7&lt;=40, $A16-'Outil Cibles'!K$7&gt;0), 'Outil Cibles'!K$22, 0)))</f>
        <v>0</v>
      </c>
      <c r="J16" s="23">
        <f>IF($A16='Outil Cibles'!L$7, 'Outil Cibles'!L$21, IF(AND($A16-'Outil Cibles'!L$7&lt;=20,$A16-'Outil Cibles'!L$7&gt;0), 'Outil Cibles'!L$21, IF(AND($A16-'Outil Cibles'!L$7&lt;=40, $A16-'Outil Cibles'!L$7&gt;0), 'Outil Cibles'!L$22, 0)))</f>
        <v>0</v>
      </c>
      <c r="K16" s="23">
        <f>IF($A16='Outil Cibles'!M$7, 'Outil Cibles'!M$21, IF(AND($A16-'Outil Cibles'!M$7&lt;=20,$A16-'Outil Cibles'!M$7&gt;0), 'Outil Cibles'!M$21, IF(AND($A16-'Outil Cibles'!M$7&lt;=40, $A16-'Outil Cibles'!M$7&gt;0), 'Outil Cibles'!M$22, 0)))</f>
        <v>0</v>
      </c>
      <c r="L16" s="23">
        <f t="shared" si="2"/>
        <v>14.73320175393302</v>
      </c>
      <c r="N16">
        <v>2033</v>
      </c>
      <c r="O16">
        <f>B16*'Outil Cibles'!$D$8</f>
        <v>2585.5157380365981</v>
      </c>
      <c r="P16">
        <f>C16*'Outil Cibles'!$E$8</f>
        <v>6962.6722623861624</v>
      </c>
      <c r="Q16">
        <f>D16*'Outil Cibles'!$F$8</f>
        <v>5185.0137535102594</v>
      </c>
      <c r="R16">
        <f>E16*'Outil Cibles'!$G$8</f>
        <v>0</v>
      </c>
      <c r="S16">
        <f>F16*'Outil Cibles'!$H$8</f>
        <v>0</v>
      </c>
      <c r="T16">
        <f>G16*'Outil Cibles'!$I$8</f>
        <v>0</v>
      </c>
      <c r="U16">
        <f>H16*'Outil Cibles'!$J$8</f>
        <v>0</v>
      </c>
      <c r="V16">
        <f>I16*'Outil Cibles'!$K$8</f>
        <v>0</v>
      </c>
      <c r="W16">
        <f>J16*'Outil Cibles'!$L$8</f>
        <v>0</v>
      </c>
      <c r="X16">
        <f>K16*'Outil Cibles'!$M$8</f>
        <v>0</v>
      </c>
      <c r="Y16">
        <f t="shared" si="3"/>
        <v>14733.201753933019</v>
      </c>
    </row>
    <row r="17" spans="1:25" x14ac:dyDescent="0.3">
      <c r="A17">
        <v>2034</v>
      </c>
      <c r="B17" s="23">
        <f>IF($A17='Outil Cibles'!D$7, 'Outil Cibles'!D$21, IF(AND($A17-'Outil Cibles'!D$7&lt;=20,$A17-'Outil Cibles'!D$7&gt;0), 'Outil Cibles'!D$21, IF(AND($A17-'Outil Cibles'!D$7&lt;=40, $A17-'Outil Cibles'!D$7&gt;0), 'Outil Cibles'!D$22, 0)))</f>
        <v>2.5855157380365981</v>
      </c>
      <c r="C17" s="23">
        <f>IF($A17='Outil Cibles'!E$7, 'Outil Cibles'!E$21, IF(AND($A17-'Outil Cibles'!E$7&lt;=20,$A17-'Outil Cibles'!E$7&gt;0), 'Outil Cibles'!E$21, IF(AND($A17-'Outil Cibles'!E$7&lt;=40, $A17-'Outil Cibles'!E$7&gt;0), 'Outil Cibles'!E$22, 0)))</f>
        <v>6.9626722623861621</v>
      </c>
      <c r="D17" s="23">
        <f>IF($A17='Outil Cibles'!F$7, 'Outil Cibles'!F$21, IF(AND($A17-'Outil Cibles'!F$7&lt;=20,$A17-'Outil Cibles'!F$7&gt;0), 'Outil Cibles'!F$21, IF(AND($A17-'Outil Cibles'!F$7&lt;=40, $A17-'Outil Cibles'!F$7&gt;0), 'Outil Cibles'!F$22, 0)))</f>
        <v>5.1850137535102592</v>
      </c>
      <c r="E17" s="23">
        <f>IF($A17='Outil Cibles'!G$7, 'Outil Cibles'!G$21, IF(AND($A17-'Outil Cibles'!G$7&lt;=20,$A17-'Outil Cibles'!G$7&gt;0), 'Outil Cibles'!G$21, IF(AND($A17-'Outil Cibles'!G$7&lt;=40, $A17-'Outil Cibles'!G$7&gt;0), 'Outil Cibles'!G$22, 0)))</f>
        <v>0</v>
      </c>
      <c r="F17" s="23">
        <f>IF($A17='Outil Cibles'!H$7, 'Outil Cibles'!H$21, IF(AND($A17-'Outil Cibles'!H$7&lt;=20,$A17-'Outil Cibles'!H$7&gt;0), 'Outil Cibles'!H$21, IF(AND($A17-'Outil Cibles'!H$7&lt;=40, $A17-'Outil Cibles'!H$7&gt;0), 'Outil Cibles'!H$22, 0)))</f>
        <v>0</v>
      </c>
      <c r="G17" s="23">
        <f>IF($A17='Outil Cibles'!I$7, 'Outil Cibles'!I$21, IF(AND($A17-'Outil Cibles'!I$7&lt;=20,$A17-'Outil Cibles'!I$7&gt;0), 'Outil Cibles'!I$21, IF(AND($A17-'Outil Cibles'!I$7&lt;=40, $A17-'Outil Cibles'!I$7&gt;0), 'Outil Cibles'!I$22, 0)))</f>
        <v>0</v>
      </c>
      <c r="H17" s="23">
        <f>IF($A17='Outil Cibles'!J$7, 'Outil Cibles'!J$21, IF(AND($A17-'Outil Cibles'!J$7&lt;=20,$A17-'Outil Cibles'!J$7&gt;0), 'Outil Cibles'!J$21, IF(AND($A17-'Outil Cibles'!J$7&lt;=40, $A17-'Outil Cibles'!J$7&gt;0), 'Outil Cibles'!J$22, 0)))</f>
        <v>0</v>
      </c>
      <c r="I17" s="23">
        <f>IF($A17='Outil Cibles'!K$7, 'Outil Cibles'!K$21, IF(AND($A17-'Outil Cibles'!K$7&lt;=20,$A17-'Outil Cibles'!K$7&gt;0), 'Outil Cibles'!K$21, IF(AND($A17-'Outil Cibles'!K$7&lt;=40, $A17-'Outil Cibles'!K$7&gt;0), 'Outil Cibles'!K$22, 0)))</f>
        <v>0</v>
      </c>
      <c r="J17" s="23">
        <f>IF($A17='Outil Cibles'!L$7, 'Outil Cibles'!L$21, IF(AND($A17-'Outil Cibles'!L$7&lt;=20,$A17-'Outil Cibles'!L$7&gt;0), 'Outil Cibles'!L$21, IF(AND($A17-'Outil Cibles'!L$7&lt;=40, $A17-'Outil Cibles'!L$7&gt;0), 'Outil Cibles'!L$22, 0)))</f>
        <v>0</v>
      </c>
      <c r="K17" s="23">
        <f>IF($A17='Outil Cibles'!M$7, 'Outil Cibles'!M$21, IF(AND($A17-'Outil Cibles'!M$7&lt;=20,$A17-'Outil Cibles'!M$7&gt;0), 'Outil Cibles'!M$21, IF(AND($A17-'Outil Cibles'!M$7&lt;=40, $A17-'Outil Cibles'!M$7&gt;0), 'Outil Cibles'!M$22, 0)))</f>
        <v>0</v>
      </c>
      <c r="L17" s="23">
        <f t="shared" si="2"/>
        <v>14.73320175393302</v>
      </c>
      <c r="N17">
        <v>2034</v>
      </c>
      <c r="O17">
        <f>B17*'Outil Cibles'!$D$8</f>
        <v>2585.5157380365981</v>
      </c>
      <c r="P17">
        <f>C17*'Outil Cibles'!$E$8</f>
        <v>6962.6722623861624</v>
      </c>
      <c r="Q17">
        <f>D17*'Outil Cibles'!$F$8</f>
        <v>5185.0137535102594</v>
      </c>
      <c r="R17">
        <f>E17*'Outil Cibles'!$G$8</f>
        <v>0</v>
      </c>
      <c r="S17">
        <f>F17*'Outil Cibles'!$H$8</f>
        <v>0</v>
      </c>
      <c r="T17">
        <f>G17*'Outil Cibles'!$I$8</f>
        <v>0</v>
      </c>
      <c r="U17">
        <f>H17*'Outil Cibles'!$J$8</f>
        <v>0</v>
      </c>
      <c r="V17">
        <f>I17*'Outil Cibles'!$K$8</f>
        <v>0</v>
      </c>
      <c r="W17">
        <f>J17*'Outil Cibles'!$L$8</f>
        <v>0</v>
      </c>
      <c r="X17">
        <f>K17*'Outil Cibles'!$M$8</f>
        <v>0</v>
      </c>
      <c r="Y17">
        <f t="shared" si="3"/>
        <v>14733.201753933019</v>
      </c>
    </row>
    <row r="18" spans="1:25" x14ac:dyDescent="0.3">
      <c r="A18" s="10">
        <v>2035</v>
      </c>
      <c r="B18" s="23">
        <f>IF($A18='Outil Cibles'!D$7, 'Outil Cibles'!D$21, IF(AND($A18-'Outil Cibles'!D$7&lt;=20,$A18-'Outil Cibles'!D$7&gt;0), 'Outil Cibles'!D$21, IF(AND($A18-'Outil Cibles'!D$7&lt;=40, $A18-'Outil Cibles'!D$7&gt;0), 'Outil Cibles'!D$22, 0)))</f>
        <v>2.5855157380365981</v>
      </c>
      <c r="C18" s="23">
        <f>IF($A18='Outil Cibles'!E$7, 'Outil Cibles'!E$21, IF(AND($A18-'Outil Cibles'!E$7&lt;=20,$A18-'Outil Cibles'!E$7&gt;0), 'Outil Cibles'!E$21, IF(AND($A18-'Outil Cibles'!E$7&lt;=40, $A18-'Outil Cibles'!E$7&gt;0), 'Outil Cibles'!E$22, 0)))</f>
        <v>6.9626722623861621</v>
      </c>
      <c r="D18" s="23">
        <f>IF($A18='Outil Cibles'!F$7, 'Outil Cibles'!F$21, IF(AND($A18-'Outil Cibles'!F$7&lt;=20,$A18-'Outil Cibles'!F$7&gt;0), 'Outil Cibles'!F$21, IF(AND($A18-'Outil Cibles'!F$7&lt;=40, $A18-'Outil Cibles'!F$7&gt;0), 'Outil Cibles'!F$22, 0)))</f>
        <v>5.1850137535102592</v>
      </c>
      <c r="E18" s="23">
        <f>IF($A18='Outil Cibles'!G$7, 'Outil Cibles'!G$21, IF(AND($A18-'Outil Cibles'!G$7&lt;=20,$A18-'Outil Cibles'!G$7&gt;0), 'Outil Cibles'!G$21, IF(AND($A18-'Outil Cibles'!G$7&lt;=40, $A18-'Outil Cibles'!G$7&gt;0), 'Outil Cibles'!G$22, 0)))</f>
        <v>3.5914413199390673</v>
      </c>
      <c r="F18" s="23">
        <f>IF($A18='Outil Cibles'!H$7, 'Outil Cibles'!H$21, IF(AND($A18-'Outil Cibles'!H$7&lt;=20,$A18-'Outil Cibles'!H$7&gt;0), 'Outil Cibles'!H$21, IF(AND($A18-'Outil Cibles'!H$7&lt;=40, $A18-'Outil Cibles'!H$7&gt;0), 'Outil Cibles'!H$22, 0)))</f>
        <v>0</v>
      </c>
      <c r="G18" s="23">
        <f>IF($A18='Outil Cibles'!I$7, 'Outil Cibles'!I$21, IF(AND($A18-'Outil Cibles'!I$7&lt;=20,$A18-'Outil Cibles'!I$7&gt;0), 'Outil Cibles'!I$21, IF(AND($A18-'Outil Cibles'!I$7&lt;=40, $A18-'Outil Cibles'!I$7&gt;0), 'Outil Cibles'!I$22, 0)))</f>
        <v>0</v>
      </c>
      <c r="H18" s="23">
        <f>IF($A18='Outil Cibles'!J$7, 'Outil Cibles'!J$21, IF(AND($A18-'Outil Cibles'!J$7&lt;=20,$A18-'Outil Cibles'!J$7&gt;0), 'Outil Cibles'!J$21, IF(AND($A18-'Outil Cibles'!J$7&lt;=40, $A18-'Outil Cibles'!J$7&gt;0), 'Outil Cibles'!J$22, 0)))</f>
        <v>0</v>
      </c>
      <c r="I18" s="23">
        <f>IF($A18='Outil Cibles'!K$7, 'Outil Cibles'!K$21, IF(AND($A18-'Outil Cibles'!K$7&lt;=20,$A18-'Outil Cibles'!K$7&gt;0), 'Outil Cibles'!K$21, IF(AND($A18-'Outil Cibles'!K$7&lt;=40, $A18-'Outil Cibles'!K$7&gt;0), 'Outil Cibles'!K$22, 0)))</f>
        <v>0</v>
      </c>
      <c r="J18" s="23">
        <f>IF($A18='Outil Cibles'!L$7, 'Outil Cibles'!L$21, IF(AND($A18-'Outil Cibles'!L$7&lt;=20,$A18-'Outil Cibles'!L$7&gt;0), 'Outil Cibles'!L$21, IF(AND($A18-'Outil Cibles'!L$7&lt;=40, $A18-'Outil Cibles'!L$7&gt;0), 'Outil Cibles'!L$22, 0)))</f>
        <v>0</v>
      </c>
      <c r="K18" s="23">
        <f>IF($A18='Outil Cibles'!M$7, 'Outil Cibles'!M$21, IF(AND($A18-'Outil Cibles'!M$7&lt;=20,$A18-'Outil Cibles'!M$7&gt;0), 'Outil Cibles'!M$21, IF(AND($A18-'Outil Cibles'!M$7&lt;=40, $A18-'Outil Cibles'!M$7&gt;0), 'Outil Cibles'!M$22, 0)))</f>
        <v>0</v>
      </c>
      <c r="L18" s="23">
        <f t="shared" si="2"/>
        <v>18.324643073872089</v>
      </c>
      <c r="N18" s="10">
        <v>2035</v>
      </c>
      <c r="O18">
        <f>B18*'Outil Cibles'!$D$8</f>
        <v>2585.5157380365981</v>
      </c>
      <c r="P18">
        <f>C18*'Outil Cibles'!$E$8</f>
        <v>6962.6722623861624</v>
      </c>
      <c r="Q18">
        <f>D18*'Outil Cibles'!$F$8</f>
        <v>5185.0137535102594</v>
      </c>
      <c r="R18">
        <f>E18*'Outil Cibles'!$G$8</f>
        <v>3591.4413199390674</v>
      </c>
      <c r="S18">
        <f>F18*'Outil Cibles'!$H$8</f>
        <v>0</v>
      </c>
      <c r="T18">
        <f>G18*'Outil Cibles'!$I$8</f>
        <v>0</v>
      </c>
      <c r="U18">
        <f>H18*'Outil Cibles'!$J$8</f>
        <v>0</v>
      </c>
      <c r="V18">
        <f>I18*'Outil Cibles'!$K$8</f>
        <v>0</v>
      </c>
      <c r="W18">
        <f>J18*'Outil Cibles'!$L$8</f>
        <v>0</v>
      </c>
      <c r="X18">
        <f>K18*'Outil Cibles'!$M$8</f>
        <v>0</v>
      </c>
      <c r="Y18">
        <f t="shared" si="3"/>
        <v>18324.643073872088</v>
      </c>
    </row>
    <row r="19" spans="1:25" x14ac:dyDescent="0.3">
      <c r="A19">
        <v>2036</v>
      </c>
      <c r="B19" s="23">
        <f>IF($A19='Outil Cibles'!D$7, 'Outil Cibles'!D$21, IF(AND($A19-'Outil Cibles'!D$7&lt;=20,$A19-'Outil Cibles'!D$7&gt;0), 'Outil Cibles'!D$21, IF(AND($A19-'Outil Cibles'!D$7&lt;=40, $A19-'Outil Cibles'!D$7&gt;0), 'Outil Cibles'!D$22, 0)))</f>
        <v>2.5855157380365981</v>
      </c>
      <c r="C19" s="23">
        <f>IF($A19='Outil Cibles'!E$7, 'Outil Cibles'!E$21, IF(AND($A19-'Outil Cibles'!E$7&lt;=20,$A19-'Outil Cibles'!E$7&gt;0), 'Outil Cibles'!E$21, IF(AND($A19-'Outil Cibles'!E$7&lt;=40, $A19-'Outil Cibles'!E$7&gt;0), 'Outil Cibles'!E$22, 0)))</f>
        <v>6.9626722623861621</v>
      </c>
      <c r="D19" s="23">
        <f>IF($A19='Outil Cibles'!F$7, 'Outil Cibles'!F$21, IF(AND($A19-'Outil Cibles'!F$7&lt;=20,$A19-'Outil Cibles'!F$7&gt;0), 'Outil Cibles'!F$21, IF(AND($A19-'Outil Cibles'!F$7&lt;=40, $A19-'Outil Cibles'!F$7&gt;0), 'Outil Cibles'!F$22, 0)))</f>
        <v>5.1850137535102592</v>
      </c>
      <c r="E19" s="23">
        <f>IF($A19='Outil Cibles'!G$7, 'Outil Cibles'!G$21, IF(AND($A19-'Outil Cibles'!G$7&lt;=20,$A19-'Outil Cibles'!G$7&gt;0), 'Outil Cibles'!G$21, IF(AND($A19-'Outil Cibles'!G$7&lt;=40, $A19-'Outil Cibles'!G$7&gt;0), 'Outil Cibles'!G$22, 0)))</f>
        <v>3.5914413199390673</v>
      </c>
      <c r="F19" s="23">
        <f>IF($A19='Outil Cibles'!H$7, 'Outil Cibles'!H$21, IF(AND($A19-'Outil Cibles'!H$7&lt;=20,$A19-'Outil Cibles'!H$7&gt;0), 'Outil Cibles'!H$21, IF(AND($A19-'Outil Cibles'!H$7&lt;=40, $A19-'Outil Cibles'!H$7&gt;0), 'Outil Cibles'!H$22, 0)))</f>
        <v>0</v>
      </c>
      <c r="G19" s="23">
        <f>IF($A19='Outil Cibles'!I$7, 'Outil Cibles'!I$21, IF(AND($A19-'Outil Cibles'!I$7&lt;=20,$A19-'Outil Cibles'!I$7&gt;0), 'Outil Cibles'!I$21, IF(AND($A19-'Outil Cibles'!I$7&lt;=40, $A19-'Outil Cibles'!I$7&gt;0), 'Outil Cibles'!I$22, 0)))</f>
        <v>0</v>
      </c>
      <c r="H19" s="23">
        <f>IF($A19='Outil Cibles'!J$7, 'Outil Cibles'!J$21, IF(AND($A19-'Outil Cibles'!J$7&lt;=20,$A19-'Outil Cibles'!J$7&gt;0), 'Outil Cibles'!J$21, IF(AND($A19-'Outil Cibles'!J$7&lt;=40, $A19-'Outil Cibles'!J$7&gt;0), 'Outil Cibles'!J$22, 0)))</f>
        <v>0</v>
      </c>
      <c r="I19" s="23">
        <f>IF($A19='Outil Cibles'!K$7, 'Outil Cibles'!K$21, IF(AND($A19-'Outil Cibles'!K$7&lt;=20,$A19-'Outil Cibles'!K$7&gt;0), 'Outil Cibles'!K$21, IF(AND($A19-'Outil Cibles'!K$7&lt;=40, $A19-'Outil Cibles'!K$7&gt;0), 'Outil Cibles'!K$22, 0)))</f>
        <v>0</v>
      </c>
      <c r="J19" s="23">
        <f>IF($A19='Outil Cibles'!L$7, 'Outil Cibles'!L$21, IF(AND($A19-'Outil Cibles'!L$7&lt;=20,$A19-'Outil Cibles'!L$7&gt;0), 'Outil Cibles'!L$21, IF(AND($A19-'Outil Cibles'!L$7&lt;=40, $A19-'Outil Cibles'!L$7&gt;0), 'Outil Cibles'!L$22, 0)))</f>
        <v>0</v>
      </c>
      <c r="K19" s="23">
        <f>IF($A19='Outil Cibles'!M$7, 'Outil Cibles'!M$21, IF(AND($A19-'Outil Cibles'!M$7&lt;=20,$A19-'Outil Cibles'!M$7&gt;0), 'Outil Cibles'!M$21, IF(AND($A19-'Outil Cibles'!M$7&lt;=40, $A19-'Outil Cibles'!M$7&gt;0), 'Outil Cibles'!M$22, 0)))</f>
        <v>0</v>
      </c>
      <c r="L19" s="23">
        <f t="shared" si="2"/>
        <v>18.324643073872089</v>
      </c>
      <c r="N19">
        <v>2036</v>
      </c>
      <c r="O19">
        <f>B19*'Outil Cibles'!$D$8</f>
        <v>2585.5157380365981</v>
      </c>
      <c r="P19">
        <f>C19*'Outil Cibles'!$E$8</f>
        <v>6962.6722623861624</v>
      </c>
      <c r="Q19">
        <f>D19*'Outil Cibles'!$F$8</f>
        <v>5185.0137535102594</v>
      </c>
      <c r="R19">
        <f>E19*'Outil Cibles'!$G$8</f>
        <v>3591.4413199390674</v>
      </c>
      <c r="S19">
        <f>F19*'Outil Cibles'!$H$8</f>
        <v>0</v>
      </c>
      <c r="T19">
        <f>G19*'Outil Cibles'!$I$8</f>
        <v>0</v>
      </c>
      <c r="U19">
        <f>H19*'Outil Cibles'!$J$8</f>
        <v>0</v>
      </c>
      <c r="V19">
        <f>I19*'Outil Cibles'!$K$8</f>
        <v>0</v>
      </c>
      <c r="W19">
        <f>J19*'Outil Cibles'!$L$8</f>
        <v>0</v>
      </c>
      <c r="X19">
        <f>K19*'Outil Cibles'!$M$8</f>
        <v>0</v>
      </c>
      <c r="Y19">
        <f t="shared" si="3"/>
        <v>18324.643073872088</v>
      </c>
    </row>
    <row r="20" spans="1:25" x14ac:dyDescent="0.3">
      <c r="A20">
        <v>2037</v>
      </c>
      <c r="B20" s="23">
        <f>IF($A20='Outil Cibles'!D$7, 'Outil Cibles'!D$21, IF(AND($A20-'Outil Cibles'!D$7&lt;=20,$A20-'Outil Cibles'!D$7&gt;0), 'Outil Cibles'!D$21, IF(AND($A20-'Outil Cibles'!D$7&lt;=40, $A20-'Outil Cibles'!D$7&gt;0), 'Outil Cibles'!D$22, 0)))</f>
        <v>2.5855157380365981</v>
      </c>
      <c r="C20" s="23">
        <f>IF($A20='Outil Cibles'!E$7, 'Outil Cibles'!E$21, IF(AND($A20-'Outil Cibles'!E$7&lt;=20,$A20-'Outil Cibles'!E$7&gt;0), 'Outil Cibles'!E$21, IF(AND($A20-'Outil Cibles'!E$7&lt;=40, $A20-'Outil Cibles'!E$7&gt;0), 'Outil Cibles'!E$22, 0)))</f>
        <v>6.9626722623861621</v>
      </c>
      <c r="D20" s="23">
        <f>IF($A20='Outil Cibles'!F$7, 'Outil Cibles'!F$21, IF(AND($A20-'Outil Cibles'!F$7&lt;=20,$A20-'Outil Cibles'!F$7&gt;0), 'Outil Cibles'!F$21, IF(AND($A20-'Outil Cibles'!F$7&lt;=40, $A20-'Outil Cibles'!F$7&gt;0), 'Outil Cibles'!F$22, 0)))</f>
        <v>5.1850137535102592</v>
      </c>
      <c r="E20" s="23">
        <f>IF($A20='Outil Cibles'!G$7, 'Outil Cibles'!G$21, IF(AND($A20-'Outil Cibles'!G$7&lt;=20,$A20-'Outil Cibles'!G$7&gt;0), 'Outil Cibles'!G$21, IF(AND($A20-'Outil Cibles'!G$7&lt;=40, $A20-'Outil Cibles'!G$7&gt;0), 'Outil Cibles'!G$22, 0)))</f>
        <v>3.5914413199390673</v>
      </c>
      <c r="F20" s="23">
        <f>IF($A20='Outil Cibles'!H$7, 'Outil Cibles'!H$21, IF(AND($A20-'Outil Cibles'!H$7&lt;=20,$A20-'Outil Cibles'!H$7&gt;0), 'Outil Cibles'!H$21, IF(AND($A20-'Outil Cibles'!H$7&lt;=40, $A20-'Outil Cibles'!H$7&gt;0), 'Outil Cibles'!H$22, 0)))</f>
        <v>0</v>
      </c>
      <c r="G20" s="23">
        <f>IF($A20='Outil Cibles'!I$7, 'Outil Cibles'!I$21, IF(AND($A20-'Outil Cibles'!I$7&lt;=20,$A20-'Outil Cibles'!I$7&gt;0), 'Outil Cibles'!I$21, IF(AND($A20-'Outil Cibles'!I$7&lt;=40, $A20-'Outil Cibles'!I$7&gt;0), 'Outil Cibles'!I$22, 0)))</f>
        <v>0</v>
      </c>
      <c r="H20" s="23">
        <f>IF($A20='Outil Cibles'!J$7, 'Outil Cibles'!J$21, IF(AND($A20-'Outil Cibles'!J$7&lt;=20,$A20-'Outil Cibles'!J$7&gt;0), 'Outil Cibles'!J$21, IF(AND($A20-'Outil Cibles'!J$7&lt;=40, $A20-'Outil Cibles'!J$7&gt;0), 'Outil Cibles'!J$22, 0)))</f>
        <v>0</v>
      </c>
      <c r="I20" s="23">
        <f>IF($A20='Outil Cibles'!K$7, 'Outil Cibles'!K$21, IF(AND($A20-'Outil Cibles'!K$7&lt;=20,$A20-'Outil Cibles'!K$7&gt;0), 'Outil Cibles'!K$21, IF(AND($A20-'Outil Cibles'!K$7&lt;=40, $A20-'Outil Cibles'!K$7&gt;0), 'Outil Cibles'!K$22, 0)))</f>
        <v>0</v>
      </c>
      <c r="J20" s="23">
        <f>IF($A20='Outil Cibles'!L$7, 'Outil Cibles'!L$21, IF(AND($A20-'Outil Cibles'!L$7&lt;=20,$A20-'Outil Cibles'!L$7&gt;0), 'Outil Cibles'!L$21, IF(AND($A20-'Outil Cibles'!L$7&lt;=40, $A20-'Outil Cibles'!L$7&gt;0), 'Outil Cibles'!L$22, 0)))</f>
        <v>0</v>
      </c>
      <c r="K20" s="23">
        <f>IF($A20='Outil Cibles'!M$7, 'Outil Cibles'!M$21, IF(AND($A20-'Outil Cibles'!M$7&lt;=20,$A20-'Outil Cibles'!M$7&gt;0), 'Outil Cibles'!M$21, IF(AND($A20-'Outil Cibles'!M$7&lt;=40, $A20-'Outil Cibles'!M$7&gt;0), 'Outil Cibles'!M$22, 0)))</f>
        <v>0</v>
      </c>
      <c r="L20" s="23">
        <f t="shared" si="2"/>
        <v>18.324643073872089</v>
      </c>
      <c r="N20">
        <v>2037</v>
      </c>
      <c r="O20">
        <f>B20*'Outil Cibles'!$D$8</f>
        <v>2585.5157380365981</v>
      </c>
      <c r="P20">
        <f>C20*'Outil Cibles'!$E$8</f>
        <v>6962.6722623861624</v>
      </c>
      <c r="Q20">
        <f>D20*'Outil Cibles'!$F$8</f>
        <v>5185.0137535102594</v>
      </c>
      <c r="R20">
        <f>E20*'Outil Cibles'!$G$8</f>
        <v>3591.4413199390674</v>
      </c>
      <c r="S20">
        <f>F20*'Outil Cibles'!$H$8</f>
        <v>0</v>
      </c>
      <c r="T20">
        <f>G20*'Outil Cibles'!$I$8</f>
        <v>0</v>
      </c>
      <c r="U20">
        <f>H20*'Outil Cibles'!$J$8</f>
        <v>0</v>
      </c>
      <c r="V20">
        <f>I20*'Outil Cibles'!$K$8</f>
        <v>0</v>
      </c>
      <c r="W20">
        <f>J20*'Outil Cibles'!$L$8</f>
        <v>0</v>
      </c>
      <c r="X20">
        <f>K20*'Outil Cibles'!$M$8</f>
        <v>0</v>
      </c>
      <c r="Y20">
        <f t="shared" si="3"/>
        <v>18324.643073872088</v>
      </c>
    </row>
    <row r="21" spans="1:25" x14ac:dyDescent="0.3">
      <c r="A21">
        <v>2038</v>
      </c>
      <c r="B21" s="23">
        <f>IF($A21='Outil Cibles'!D$7, 'Outil Cibles'!D$21, IF(AND($A21-'Outil Cibles'!D$7&lt;=20,$A21-'Outil Cibles'!D$7&gt;0), 'Outil Cibles'!D$21, IF(AND($A21-'Outil Cibles'!D$7&lt;=40, $A21-'Outil Cibles'!D$7&gt;0), 'Outil Cibles'!D$22, 0)))</f>
        <v>2.5855157380365981</v>
      </c>
      <c r="C21" s="23">
        <f>IF($A21='Outil Cibles'!E$7, 'Outil Cibles'!E$21, IF(AND($A21-'Outil Cibles'!E$7&lt;=20,$A21-'Outil Cibles'!E$7&gt;0), 'Outil Cibles'!E$21, IF(AND($A21-'Outil Cibles'!E$7&lt;=40, $A21-'Outil Cibles'!E$7&gt;0), 'Outil Cibles'!E$22, 0)))</f>
        <v>6.9626722623861621</v>
      </c>
      <c r="D21" s="23">
        <f>IF($A21='Outil Cibles'!F$7, 'Outil Cibles'!F$21, IF(AND($A21-'Outil Cibles'!F$7&lt;=20,$A21-'Outil Cibles'!F$7&gt;0), 'Outil Cibles'!F$21, IF(AND($A21-'Outil Cibles'!F$7&lt;=40, $A21-'Outil Cibles'!F$7&gt;0), 'Outil Cibles'!F$22, 0)))</f>
        <v>5.1850137535102592</v>
      </c>
      <c r="E21" s="23">
        <f>IF($A21='Outil Cibles'!G$7, 'Outil Cibles'!G$21, IF(AND($A21-'Outil Cibles'!G$7&lt;=20,$A21-'Outil Cibles'!G$7&gt;0), 'Outil Cibles'!G$21, IF(AND($A21-'Outil Cibles'!G$7&lt;=40, $A21-'Outil Cibles'!G$7&gt;0), 'Outil Cibles'!G$22, 0)))</f>
        <v>3.5914413199390673</v>
      </c>
      <c r="F21" s="23">
        <f>IF($A21='Outil Cibles'!H$7, 'Outil Cibles'!H$21, IF(AND($A21-'Outil Cibles'!H$7&lt;=20,$A21-'Outil Cibles'!H$7&gt;0), 'Outil Cibles'!H$21, IF(AND($A21-'Outil Cibles'!H$7&lt;=40, $A21-'Outil Cibles'!H$7&gt;0), 'Outil Cibles'!H$22, 0)))</f>
        <v>2.8187471118968008</v>
      </c>
      <c r="G21" s="23">
        <f>IF($A21='Outil Cibles'!I$7, 'Outil Cibles'!I$21, IF(AND($A21-'Outil Cibles'!I$7&lt;=20,$A21-'Outil Cibles'!I$7&gt;0), 'Outil Cibles'!I$21, IF(AND($A21-'Outil Cibles'!I$7&lt;=40, $A21-'Outil Cibles'!I$7&gt;0), 'Outil Cibles'!I$22, 0)))</f>
        <v>0</v>
      </c>
      <c r="H21" s="23">
        <f>IF($A21='Outil Cibles'!J$7, 'Outil Cibles'!J$21, IF(AND($A21-'Outil Cibles'!J$7&lt;=20,$A21-'Outil Cibles'!J$7&gt;0), 'Outil Cibles'!J$21, IF(AND($A21-'Outil Cibles'!J$7&lt;=40, $A21-'Outil Cibles'!J$7&gt;0), 'Outil Cibles'!J$22, 0)))</f>
        <v>0</v>
      </c>
      <c r="I21" s="23">
        <f>IF($A21='Outil Cibles'!K$7, 'Outil Cibles'!K$21, IF(AND($A21-'Outil Cibles'!K$7&lt;=20,$A21-'Outil Cibles'!K$7&gt;0), 'Outil Cibles'!K$21, IF(AND($A21-'Outil Cibles'!K$7&lt;=40, $A21-'Outil Cibles'!K$7&gt;0), 'Outil Cibles'!K$22, 0)))</f>
        <v>0</v>
      </c>
      <c r="J21" s="23">
        <f>IF($A21='Outil Cibles'!L$7, 'Outil Cibles'!L$21, IF(AND($A21-'Outil Cibles'!L$7&lt;=20,$A21-'Outil Cibles'!L$7&gt;0), 'Outil Cibles'!L$21, IF(AND($A21-'Outil Cibles'!L$7&lt;=40, $A21-'Outil Cibles'!L$7&gt;0), 'Outil Cibles'!L$22, 0)))</f>
        <v>0</v>
      </c>
      <c r="K21" s="23">
        <f>IF($A21='Outil Cibles'!M$7, 'Outil Cibles'!M$21, IF(AND($A21-'Outil Cibles'!M$7&lt;=20,$A21-'Outil Cibles'!M$7&gt;0), 'Outil Cibles'!M$21, IF(AND($A21-'Outil Cibles'!M$7&lt;=40, $A21-'Outil Cibles'!M$7&gt;0), 'Outil Cibles'!M$22, 0)))</f>
        <v>0</v>
      </c>
      <c r="L21" s="23">
        <f t="shared" si="2"/>
        <v>21.14339018576889</v>
      </c>
      <c r="N21">
        <v>2038</v>
      </c>
      <c r="O21">
        <f>B21*'Outil Cibles'!$D$8</f>
        <v>2585.5157380365981</v>
      </c>
      <c r="P21">
        <f>C21*'Outil Cibles'!$E$8</f>
        <v>6962.6722623861624</v>
      </c>
      <c r="Q21">
        <f>D21*'Outil Cibles'!$F$8</f>
        <v>5185.0137535102594</v>
      </c>
      <c r="R21">
        <f>E21*'Outil Cibles'!$G$8</f>
        <v>3591.4413199390674</v>
      </c>
      <c r="S21">
        <f>F21*'Outil Cibles'!$H$8</f>
        <v>2818.747111896801</v>
      </c>
      <c r="T21">
        <f>G21*'Outil Cibles'!$I$8</f>
        <v>0</v>
      </c>
      <c r="U21">
        <f>H21*'Outil Cibles'!$J$8</f>
        <v>0</v>
      </c>
      <c r="V21">
        <f>I21*'Outil Cibles'!$K$8</f>
        <v>0</v>
      </c>
      <c r="W21">
        <f>J21*'Outil Cibles'!$L$8</f>
        <v>0</v>
      </c>
      <c r="X21">
        <f>K21*'Outil Cibles'!$M$8</f>
        <v>0</v>
      </c>
      <c r="Y21">
        <f t="shared" si="3"/>
        <v>21143.390185768891</v>
      </c>
    </row>
    <row r="22" spans="1:25" x14ac:dyDescent="0.3">
      <c r="A22">
        <v>2039</v>
      </c>
      <c r="B22" s="23">
        <f>IF($A22='Outil Cibles'!D$7, 'Outil Cibles'!D$21, IF(AND($A22-'Outil Cibles'!D$7&lt;=20,$A22-'Outil Cibles'!D$7&gt;0), 'Outil Cibles'!D$21, IF(AND($A22-'Outil Cibles'!D$7&lt;=40, $A22-'Outil Cibles'!D$7&gt;0), 'Outil Cibles'!D$22, 0)))</f>
        <v>2.5855157380365981</v>
      </c>
      <c r="C22" s="23">
        <f>IF($A22='Outil Cibles'!E$7, 'Outil Cibles'!E$21, IF(AND($A22-'Outil Cibles'!E$7&lt;=20,$A22-'Outil Cibles'!E$7&gt;0), 'Outil Cibles'!E$21, IF(AND($A22-'Outil Cibles'!E$7&lt;=40, $A22-'Outil Cibles'!E$7&gt;0), 'Outil Cibles'!E$22, 0)))</f>
        <v>6.9626722623861621</v>
      </c>
      <c r="D22" s="23">
        <f>IF($A22='Outil Cibles'!F$7, 'Outil Cibles'!F$21, IF(AND($A22-'Outil Cibles'!F$7&lt;=20,$A22-'Outil Cibles'!F$7&gt;0), 'Outil Cibles'!F$21, IF(AND($A22-'Outil Cibles'!F$7&lt;=40, $A22-'Outil Cibles'!F$7&gt;0), 'Outil Cibles'!F$22, 0)))</f>
        <v>5.1850137535102592</v>
      </c>
      <c r="E22" s="23">
        <f>IF($A22='Outil Cibles'!G$7, 'Outil Cibles'!G$21, IF(AND($A22-'Outil Cibles'!G$7&lt;=20,$A22-'Outil Cibles'!G$7&gt;0), 'Outil Cibles'!G$21, IF(AND($A22-'Outil Cibles'!G$7&lt;=40, $A22-'Outil Cibles'!G$7&gt;0), 'Outil Cibles'!G$22, 0)))</f>
        <v>3.5914413199390673</v>
      </c>
      <c r="F22" s="23">
        <f>IF($A22='Outil Cibles'!H$7, 'Outil Cibles'!H$21, IF(AND($A22-'Outil Cibles'!H$7&lt;=20,$A22-'Outil Cibles'!H$7&gt;0), 'Outil Cibles'!H$21, IF(AND($A22-'Outil Cibles'!H$7&lt;=40, $A22-'Outil Cibles'!H$7&gt;0), 'Outil Cibles'!H$22, 0)))</f>
        <v>2.8187471118968008</v>
      </c>
      <c r="G22" s="23">
        <f>IF($A22='Outil Cibles'!I$7, 'Outil Cibles'!I$21, IF(AND($A22-'Outil Cibles'!I$7&lt;=20,$A22-'Outil Cibles'!I$7&gt;0), 'Outil Cibles'!I$21, IF(AND($A22-'Outil Cibles'!I$7&lt;=40, $A22-'Outil Cibles'!I$7&gt;0), 'Outil Cibles'!I$22, 0)))</f>
        <v>0</v>
      </c>
      <c r="H22" s="23">
        <f>IF($A22='Outil Cibles'!J$7, 'Outil Cibles'!J$21, IF(AND($A22-'Outil Cibles'!J$7&lt;=20,$A22-'Outil Cibles'!J$7&gt;0), 'Outil Cibles'!J$21, IF(AND($A22-'Outil Cibles'!J$7&lt;=40, $A22-'Outil Cibles'!J$7&gt;0), 'Outil Cibles'!J$22, 0)))</f>
        <v>0</v>
      </c>
      <c r="I22" s="23">
        <f>IF($A22='Outil Cibles'!K$7, 'Outil Cibles'!K$21, IF(AND($A22-'Outil Cibles'!K$7&lt;=20,$A22-'Outil Cibles'!K$7&gt;0), 'Outil Cibles'!K$21, IF(AND($A22-'Outil Cibles'!K$7&lt;=40, $A22-'Outil Cibles'!K$7&gt;0), 'Outil Cibles'!K$22, 0)))</f>
        <v>0</v>
      </c>
      <c r="J22" s="23">
        <f>IF($A22='Outil Cibles'!L$7, 'Outil Cibles'!L$21, IF(AND($A22-'Outil Cibles'!L$7&lt;=20,$A22-'Outil Cibles'!L$7&gt;0), 'Outil Cibles'!L$21, IF(AND($A22-'Outil Cibles'!L$7&lt;=40, $A22-'Outil Cibles'!L$7&gt;0), 'Outil Cibles'!L$22, 0)))</f>
        <v>0</v>
      </c>
      <c r="K22" s="23">
        <f>IF($A22='Outil Cibles'!M$7, 'Outil Cibles'!M$21, IF(AND($A22-'Outil Cibles'!M$7&lt;=20,$A22-'Outil Cibles'!M$7&gt;0), 'Outil Cibles'!M$21, IF(AND($A22-'Outil Cibles'!M$7&lt;=40, $A22-'Outil Cibles'!M$7&gt;0), 'Outil Cibles'!M$22, 0)))</f>
        <v>0</v>
      </c>
      <c r="L22" s="23">
        <f t="shared" si="2"/>
        <v>21.14339018576889</v>
      </c>
      <c r="N22">
        <v>2039</v>
      </c>
      <c r="O22">
        <f>B22*'Outil Cibles'!$D$8</f>
        <v>2585.5157380365981</v>
      </c>
      <c r="P22">
        <f>C22*'Outil Cibles'!$E$8</f>
        <v>6962.6722623861624</v>
      </c>
      <c r="Q22">
        <f>D22*'Outil Cibles'!$F$8</f>
        <v>5185.0137535102594</v>
      </c>
      <c r="R22">
        <f>E22*'Outil Cibles'!$G$8</f>
        <v>3591.4413199390674</v>
      </c>
      <c r="S22">
        <f>F22*'Outil Cibles'!$H$8</f>
        <v>2818.747111896801</v>
      </c>
      <c r="T22">
        <f>G22*'Outil Cibles'!$I$8</f>
        <v>0</v>
      </c>
      <c r="U22">
        <f>H22*'Outil Cibles'!$J$8</f>
        <v>0</v>
      </c>
      <c r="V22">
        <f>I22*'Outil Cibles'!$K$8</f>
        <v>0</v>
      </c>
      <c r="W22">
        <f>J22*'Outil Cibles'!$L$8</f>
        <v>0</v>
      </c>
      <c r="X22">
        <f>K22*'Outil Cibles'!$M$8</f>
        <v>0</v>
      </c>
      <c r="Y22">
        <f t="shared" si="3"/>
        <v>21143.390185768891</v>
      </c>
    </row>
    <row r="23" spans="1:25" x14ac:dyDescent="0.3">
      <c r="A23" s="10">
        <v>2040</v>
      </c>
      <c r="B23" s="23">
        <f>IF($A23='Outil Cibles'!D$7, 'Outil Cibles'!D$21, IF(AND($A23-'Outil Cibles'!D$7&lt;=20,$A23-'Outil Cibles'!D$7&gt;0), 'Outil Cibles'!D$21, IF(AND($A23-'Outil Cibles'!D$7&lt;=40, $A23-'Outil Cibles'!D$7&gt;0), 'Outil Cibles'!D$22, 0)))</f>
        <v>2.5855157380365981</v>
      </c>
      <c r="C23" s="23">
        <f>IF($A23='Outil Cibles'!E$7, 'Outil Cibles'!E$21, IF(AND($A23-'Outil Cibles'!E$7&lt;=20,$A23-'Outil Cibles'!E$7&gt;0), 'Outil Cibles'!E$21, IF(AND($A23-'Outil Cibles'!E$7&lt;=40, $A23-'Outil Cibles'!E$7&gt;0), 'Outil Cibles'!E$22, 0)))</f>
        <v>6.9626722623861621</v>
      </c>
      <c r="D23" s="23">
        <f>IF($A23='Outil Cibles'!F$7, 'Outil Cibles'!F$21, IF(AND($A23-'Outil Cibles'!F$7&lt;=20,$A23-'Outil Cibles'!F$7&gt;0), 'Outil Cibles'!F$21, IF(AND($A23-'Outil Cibles'!F$7&lt;=40, $A23-'Outil Cibles'!F$7&gt;0), 'Outil Cibles'!F$22, 0)))</f>
        <v>5.1850137535102592</v>
      </c>
      <c r="E23" s="23">
        <f>IF($A23='Outil Cibles'!G$7, 'Outil Cibles'!G$21, IF(AND($A23-'Outil Cibles'!G$7&lt;=20,$A23-'Outil Cibles'!G$7&gt;0), 'Outil Cibles'!G$21, IF(AND($A23-'Outil Cibles'!G$7&lt;=40, $A23-'Outil Cibles'!G$7&gt;0), 'Outil Cibles'!G$22, 0)))</f>
        <v>3.5914413199390673</v>
      </c>
      <c r="F23" s="23">
        <f>IF($A23='Outil Cibles'!H$7, 'Outil Cibles'!H$21, IF(AND($A23-'Outil Cibles'!H$7&lt;=20,$A23-'Outil Cibles'!H$7&gt;0), 'Outil Cibles'!H$21, IF(AND($A23-'Outil Cibles'!H$7&lt;=40, $A23-'Outil Cibles'!H$7&gt;0), 'Outil Cibles'!H$22, 0)))</f>
        <v>2.8187471118968008</v>
      </c>
      <c r="G23" s="23">
        <f>IF($A23='Outil Cibles'!I$7, 'Outil Cibles'!I$21, IF(AND($A23-'Outil Cibles'!I$7&lt;=20,$A23-'Outil Cibles'!I$7&gt;0), 'Outil Cibles'!I$21, IF(AND($A23-'Outil Cibles'!I$7&lt;=40, $A23-'Outil Cibles'!I$7&gt;0), 'Outil Cibles'!I$22, 0)))</f>
        <v>2.3732147362230469</v>
      </c>
      <c r="H23" s="23">
        <f>IF($A23='Outil Cibles'!J$7, 'Outil Cibles'!J$21, IF(AND($A23-'Outil Cibles'!J$7&lt;=20,$A23-'Outil Cibles'!J$7&gt;0), 'Outil Cibles'!J$21, IF(AND($A23-'Outil Cibles'!J$7&lt;=40, $A23-'Outil Cibles'!J$7&gt;0), 'Outil Cibles'!J$22, 0)))</f>
        <v>0</v>
      </c>
      <c r="I23" s="23">
        <f>IF($A23='Outil Cibles'!K$7, 'Outil Cibles'!K$21, IF(AND($A23-'Outil Cibles'!K$7&lt;=20,$A23-'Outil Cibles'!K$7&gt;0), 'Outil Cibles'!K$21, IF(AND($A23-'Outil Cibles'!K$7&lt;=40, $A23-'Outil Cibles'!K$7&gt;0), 'Outil Cibles'!K$22, 0)))</f>
        <v>0</v>
      </c>
      <c r="J23" s="23">
        <f>IF($A23='Outil Cibles'!L$7, 'Outil Cibles'!L$21, IF(AND($A23-'Outil Cibles'!L$7&lt;=20,$A23-'Outil Cibles'!L$7&gt;0), 'Outil Cibles'!L$21, IF(AND($A23-'Outil Cibles'!L$7&lt;=40, $A23-'Outil Cibles'!L$7&gt;0), 'Outil Cibles'!L$22, 0)))</f>
        <v>0</v>
      </c>
      <c r="K23" s="23">
        <f>IF($A23='Outil Cibles'!M$7, 'Outil Cibles'!M$21, IF(AND($A23-'Outil Cibles'!M$7&lt;=20,$A23-'Outil Cibles'!M$7&gt;0), 'Outil Cibles'!M$21, IF(AND($A23-'Outil Cibles'!M$7&lt;=40, $A23-'Outil Cibles'!M$7&gt;0), 'Outil Cibles'!M$22, 0)))</f>
        <v>0</v>
      </c>
      <c r="L23" s="23">
        <f t="shared" si="2"/>
        <v>23.516604921991938</v>
      </c>
      <c r="N23" s="10">
        <v>2040</v>
      </c>
      <c r="O23">
        <f>B23*'Outil Cibles'!$D$8</f>
        <v>2585.5157380365981</v>
      </c>
      <c r="P23">
        <f>C23*'Outil Cibles'!$E$8</f>
        <v>6962.6722623861624</v>
      </c>
      <c r="Q23">
        <f>D23*'Outil Cibles'!$F$8</f>
        <v>5185.0137535102594</v>
      </c>
      <c r="R23">
        <f>E23*'Outil Cibles'!$G$8</f>
        <v>3591.4413199390674</v>
      </c>
      <c r="S23">
        <f>F23*'Outil Cibles'!$H$8</f>
        <v>2818.747111896801</v>
      </c>
      <c r="T23">
        <f>G23*'Outil Cibles'!$I$8</f>
        <v>2373.2147362230471</v>
      </c>
      <c r="U23">
        <f>H23*'Outil Cibles'!$J$8</f>
        <v>0</v>
      </c>
      <c r="V23">
        <f>I23*'Outil Cibles'!$K$8</f>
        <v>0</v>
      </c>
      <c r="W23">
        <f>J23*'Outil Cibles'!$L$8</f>
        <v>0</v>
      </c>
      <c r="X23">
        <f>K23*'Outil Cibles'!$M$8</f>
        <v>0</v>
      </c>
      <c r="Y23">
        <f t="shared" si="3"/>
        <v>23516.604921991937</v>
      </c>
    </row>
    <row r="24" spans="1:25" x14ac:dyDescent="0.3">
      <c r="A24">
        <v>2041</v>
      </c>
      <c r="B24" s="23">
        <f>IF($A24='Outil Cibles'!D$7, 'Outil Cibles'!D$21, IF(AND($A24-'Outil Cibles'!D$7&lt;=20,$A24-'Outil Cibles'!D$7&gt;0), 'Outil Cibles'!D$21, IF(AND($A24-'Outil Cibles'!D$7&lt;=40, $A24-'Outil Cibles'!D$7&gt;0), 'Outil Cibles'!D$22, 0)))</f>
        <v>2.5855157380365981</v>
      </c>
      <c r="C24" s="23">
        <f>IF($A24='Outil Cibles'!E$7, 'Outil Cibles'!E$21, IF(AND($A24-'Outil Cibles'!E$7&lt;=20,$A24-'Outil Cibles'!E$7&gt;0), 'Outil Cibles'!E$21, IF(AND($A24-'Outil Cibles'!E$7&lt;=40, $A24-'Outil Cibles'!E$7&gt;0), 'Outil Cibles'!E$22, 0)))</f>
        <v>6.9626722623861621</v>
      </c>
      <c r="D24" s="23">
        <f>IF($A24='Outil Cibles'!F$7, 'Outil Cibles'!F$21, IF(AND($A24-'Outil Cibles'!F$7&lt;=20,$A24-'Outil Cibles'!F$7&gt;0), 'Outil Cibles'!F$21, IF(AND($A24-'Outil Cibles'!F$7&lt;=40, $A24-'Outil Cibles'!F$7&gt;0), 'Outil Cibles'!F$22, 0)))</f>
        <v>5.1850137535102592</v>
      </c>
      <c r="E24" s="23">
        <f>IF($A24='Outil Cibles'!G$7, 'Outil Cibles'!G$21, IF(AND($A24-'Outil Cibles'!G$7&lt;=20,$A24-'Outil Cibles'!G$7&gt;0), 'Outil Cibles'!G$21, IF(AND($A24-'Outil Cibles'!G$7&lt;=40, $A24-'Outil Cibles'!G$7&gt;0), 'Outil Cibles'!G$22, 0)))</f>
        <v>3.5914413199390673</v>
      </c>
      <c r="F24" s="23">
        <f>IF($A24='Outil Cibles'!H$7, 'Outil Cibles'!H$21, IF(AND($A24-'Outil Cibles'!H$7&lt;=20,$A24-'Outil Cibles'!H$7&gt;0), 'Outil Cibles'!H$21, IF(AND($A24-'Outil Cibles'!H$7&lt;=40, $A24-'Outil Cibles'!H$7&gt;0), 'Outil Cibles'!H$22, 0)))</f>
        <v>2.8187471118968008</v>
      </c>
      <c r="G24" s="23">
        <f>IF($A24='Outil Cibles'!I$7, 'Outil Cibles'!I$21, IF(AND($A24-'Outil Cibles'!I$7&lt;=20,$A24-'Outil Cibles'!I$7&gt;0), 'Outil Cibles'!I$21, IF(AND($A24-'Outil Cibles'!I$7&lt;=40, $A24-'Outil Cibles'!I$7&gt;0), 'Outil Cibles'!I$22, 0)))</f>
        <v>2.3732147362230469</v>
      </c>
      <c r="H24" s="23">
        <f>IF($A24='Outil Cibles'!J$7, 'Outil Cibles'!J$21, IF(AND($A24-'Outil Cibles'!J$7&lt;=20,$A24-'Outil Cibles'!J$7&gt;0), 'Outil Cibles'!J$21, IF(AND($A24-'Outil Cibles'!J$7&lt;=40, $A24-'Outil Cibles'!J$7&gt;0), 'Outil Cibles'!J$22, 0)))</f>
        <v>0</v>
      </c>
      <c r="I24" s="23">
        <f>IF($A24='Outil Cibles'!K$7, 'Outil Cibles'!K$21, IF(AND($A24-'Outil Cibles'!K$7&lt;=20,$A24-'Outil Cibles'!K$7&gt;0), 'Outil Cibles'!K$21, IF(AND($A24-'Outil Cibles'!K$7&lt;=40, $A24-'Outil Cibles'!K$7&gt;0), 'Outil Cibles'!K$22, 0)))</f>
        <v>0</v>
      </c>
      <c r="J24" s="23">
        <f>IF($A24='Outil Cibles'!L$7, 'Outil Cibles'!L$21, IF(AND($A24-'Outil Cibles'!L$7&lt;=20,$A24-'Outil Cibles'!L$7&gt;0), 'Outil Cibles'!L$21, IF(AND($A24-'Outil Cibles'!L$7&lt;=40, $A24-'Outil Cibles'!L$7&gt;0), 'Outil Cibles'!L$22, 0)))</f>
        <v>0</v>
      </c>
      <c r="K24" s="23">
        <f>IF($A24='Outil Cibles'!M$7, 'Outil Cibles'!M$21, IF(AND($A24-'Outil Cibles'!M$7&lt;=20,$A24-'Outil Cibles'!M$7&gt;0), 'Outil Cibles'!M$21, IF(AND($A24-'Outil Cibles'!M$7&lt;=40, $A24-'Outil Cibles'!M$7&gt;0), 'Outil Cibles'!M$22, 0)))</f>
        <v>0</v>
      </c>
      <c r="L24" s="23">
        <f t="shared" si="2"/>
        <v>23.516604921991938</v>
      </c>
      <c r="N24">
        <v>2041</v>
      </c>
      <c r="O24">
        <f>B24*'Outil Cibles'!$D$8</f>
        <v>2585.5157380365981</v>
      </c>
      <c r="P24">
        <f>C24*'Outil Cibles'!$E$8</f>
        <v>6962.6722623861624</v>
      </c>
      <c r="Q24">
        <f>D24*'Outil Cibles'!$F$8</f>
        <v>5185.0137535102594</v>
      </c>
      <c r="R24">
        <f>E24*'Outil Cibles'!$G$8</f>
        <v>3591.4413199390674</v>
      </c>
      <c r="S24">
        <f>F24*'Outil Cibles'!$H$8</f>
        <v>2818.747111896801</v>
      </c>
      <c r="T24">
        <f>G24*'Outil Cibles'!$I$8</f>
        <v>2373.2147362230471</v>
      </c>
      <c r="U24">
        <f>H24*'Outil Cibles'!$J$8</f>
        <v>0</v>
      </c>
      <c r="V24">
        <f>I24*'Outil Cibles'!$K$8</f>
        <v>0</v>
      </c>
      <c r="W24">
        <f>J24*'Outil Cibles'!$L$8</f>
        <v>0</v>
      </c>
      <c r="X24">
        <f>K24*'Outil Cibles'!$M$8</f>
        <v>0</v>
      </c>
      <c r="Y24">
        <f t="shared" si="3"/>
        <v>23516.604921991937</v>
      </c>
    </row>
    <row r="25" spans="1:25" x14ac:dyDescent="0.3">
      <c r="A25">
        <v>2042</v>
      </c>
      <c r="B25" s="23">
        <f>IF($A25='Outil Cibles'!D$7, 'Outil Cibles'!D$21, IF(AND($A25-'Outil Cibles'!D$7&lt;=20,$A25-'Outil Cibles'!D$7&gt;0), 'Outil Cibles'!D$21, IF(AND($A25-'Outil Cibles'!D$7&lt;=40, $A25-'Outil Cibles'!D$7&gt;0), 'Outil Cibles'!D$22, 0)))</f>
        <v>2.5855157380365981</v>
      </c>
      <c r="C25" s="23">
        <f>IF($A25='Outil Cibles'!E$7, 'Outil Cibles'!E$21, IF(AND($A25-'Outil Cibles'!E$7&lt;=20,$A25-'Outil Cibles'!E$7&gt;0), 'Outil Cibles'!E$21, IF(AND($A25-'Outil Cibles'!E$7&lt;=40, $A25-'Outil Cibles'!E$7&gt;0), 'Outil Cibles'!E$22, 0)))</f>
        <v>6.9626722623861621</v>
      </c>
      <c r="D25" s="23">
        <f>IF($A25='Outil Cibles'!F$7, 'Outil Cibles'!F$21, IF(AND($A25-'Outil Cibles'!F$7&lt;=20,$A25-'Outil Cibles'!F$7&gt;0), 'Outil Cibles'!F$21, IF(AND($A25-'Outil Cibles'!F$7&lt;=40, $A25-'Outil Cibles'!F$7&gt;0), 'Outil Cibles'!F$22, 0)))</f>
        <v>5.1850137535102592</v>
      </c>
      <c r="E25" s="23">
        <f>IF($A25='Outil Cibles'!G$7, 'Outil Cibles'!G$21, IF(AND($A25-'Outil Cibles'!G$7&lt;=20,$A25-'Outil Cibles'!G$7&gt;0), 'Outil Cibles'!G$21, IF(AND($A25-'Outil Cibles'!G$7&lt;=40, $A25-'Outil Cibles'!G$7&gt;0), 'Outil Cibles'!G$22, 0)))</f>
        <v>3.5914413199390673</v>
      </c>
      <c r="F25" s="23">
        <f>IF($A25='Outil Cibles'!H$7, 'Outil Cibles'!H$21, IF(AND($A25-'Outil Cibles'!H$7&lt;=20,$A25-'Outil Cibles'!H$7&gt;0), 'Outil Cibles'!H$21, IF(AND($A25-'Outil Cibles'!H$7&lt;=40, $A25-'Outil Cibles'!H$7&gt;0), 'Outil Cibles'!H$22, 0)))</f>
        <v>2.8187471118968008</v>
      </c>
      <c r="G25" s="23">
        <f>IF($A25='Outil Cibles'!I$7, 'Outil Cibles'!I$21, IF(AND($A25-'Outil Cibles'!I$7&lt;=20,$A25-'Outil Cibles'!I$7&gt;0), 'Outil Cibles'!I$21, IF(AND($A25-'Outil Cibles'!I$7&lt;=40, $A25-'Outil Cibles'!I$7&gt;0), 'Outil Cibles'!I$22, 0)))</f>
        <v>2.3732147362230469</v>
      </c>
      <c r="H25" s="23">
        <f>IF($A25='Outil Cibles'!J$7, 'Outil Cibles'!J$21, IF(AND($A25-'Outil Cibles'!J$7&lt;=20,$A25-'Outil Cibles'!J$7&gt;0), 'Outil Cibles'!J$21, IF(AND($A25-'Outil Cibles'!J$7&lt;=40, $A25-'Outil Cibles'!J$7&gt;0), 'Outil Cibles'!J$22, 0)))</f>
        <v>1.9454894525084028</v>
      </c>
      <c r="I25" s="23">
        <f>IF($A25='Outil Cibles'!K$7, 'Outil Cibles'!K$21, IF(AND($A25-'Outil Cibles'!K$7&lt;=20,$A25-'Outil Cibles'!K$7&gt;0), 'Outil Cibles'!K$21, IF(AND($A25-'Outil Cibles'!K$7&lt;=40, $A25-'Outil Cibles'!K$7&gt;0), 'Outil Cibles'!K$22, 0)))</f>
        <v>0</v>
      </c>
      <c r="J25" s="23">
        <f>IF($A25='Outil Cibles'!L$7, 'Outil Cibles'!L$21, IF(AND($A25-'Outil Cibles'!L$7&lt;=20,$A25-'Outil Cibles'!L$7&gt;0), 'Outil Cibles'!L$21, IF(AND($A25-'Outil Cibles'!L$7&lt;=40, $A25-'Outil Cibles'!L$7&gt;0), 'Outil Cibles'!L$22, 0)))</f>
        <v>0</v>
      </c>
      <c r="K25" s="23">
        <f>IF($A25='Outil Cibles'!M$7, 'Outil Cibles'!M$21, IF(AND($A25-'Outil Cibles'!M$7&lt;=20,$A25-'Outil Cibles'!M$7&gt;0), 'Outil Cibles'!M$21, IF(AND($A25-'Outil Cibles'!M$7&lt;=40, $A25-'Outil Cibles'!M$7&gt;0), 'Outil Cibles'!M$22, 0)))</f>
        <v>0</v>
      </c>
      <c r="L25" s="23">
        <f t="shared" si="2"/>
        <v>25.462094374500342</v>
      </c>
      <c r="N25">
        <v>2042</v>
      </c>
      <c r="O25">
        <f>B25*'Outil Cibles'!$D$8</f>
        <v>2585.5157380365981</v>
      </c>
      <c r="P25">
        <f>C25*'Outil Cibles'!$E$8</f>
        <v>6962.6722623861624</v>
      </c>
      <c r="Q25">
        <f>D25*'Outil Cibles'!$F$8</f>
        <v>5185.0137535102594</v>
      </c>
      <c r="R25">
        <f>E25*'Outil Cibles'!$G$8</f>
        <v>3591.4413199390674</v>
      </c>
      <c r="S25">
        <f>F25*'Outil Cibles'!$H$8</f>
        <v>2818.747111896801</v>
      </c>
      <c r="T25">
        <f>G25*'Outil Cibles'!$I$8</f>
        <v>2373.2147362230471</v>
      </c>
      <c r="U25">
        <f>H25*'Outil Cibles'!$J$8</f>
        <v>1945.4894525084028</v>
      </c>
      <c r="V25">
        <f>I25*'Outil Cibles'!$K$8</f>
        <v>0</v>
      </c>
      <c r="W25">
        <f>J25*'Outil Cibles'!$L$8</f>
        <v>0</v>
      </c>
      <c r="X25">
        <f>K25*'Outil Cibles'!$M$8</f>
        <v>0</v>
      </c>
      <c r="Y25">
        <f t="shared" si="3"/>
        <v>25462.094374500339</v>
      </c>
    </row>
    <row r="26" spans="1:25" x14ac:dyDescent="0.3">
      <c r="A26">
        <v>2043</v>
      </c>
      <c r="B26" s="23">
        <f>IF($A26='Outil Cibles'!D$7, 'Outil Cibles'!D$21, IF(AND($A26-'Outil Cibles'!D$7&lt;=20,$A26-'Outil Cibles'!D$7&gt;0), 'Outil Cibles'!D$21, IF(AND($A26-'Outil Cibles'!D$7&lt;=40, $A26-'Outil Cibles'!D$7&gt;0), 'Outil Cibles'!D$22, 0)))</f>
        <v>2.5855157380365981</v>
      </c>
      <c r="C26" s="23">
        <f>IF($A26='Outil Cibles'!E$7, 'Outil Cibles'!E$21, IF(AND($A26-'Outil Cibles'!E$7&lt;=20,$A26-'Outil Cibles'!E$7&gt;0), 'Outil Cibles'!E$21, IF(AND($A26-'Outil Cibles'!E$7&lt;=40, $A26-'Outil Cibles'!E$7&gt;0), 'Outil Cibles'!E$22, 0)))</f>
        <v>6.9626722623861621</v>
      </c>
      <c r="D26" s="23">
        <f>IF($A26='Outil Cibles'!F$7, 'Outil Cibles'!F$21, IF(AND($A26-'Outil Cibles'!F$7&lt;=20,$A26-'Outil Cibles'!F$7&gt;0), 'Outil Cibles'!F$21, IF(AND($A26-'Outil Cibles'!F$7&lt;=40, $A26-'Outil Cibles'!F$7&gt;0), 'Outil Cibles'!F$22, 0)))</f>
        <v>5.1850137535102592</v>
      </c>
      <c r="E26" s="23">
        <f>IF($A26='Outil Cibles'!G$7, 'Outil Cibles'!G$21, IF(AND($A26-'Outil Cibles'!G$7&lt;=20,$A26-'Outil Cibles'!G$7&gt;0), 'Outil Cibles'!G$21, IF(AND($A26-'Outil Cibles'!G$7&lt;=40, $A26-'Outil Cibles'!G$7&gt;0), 'Outil Cibles'!G$22, 0)))</f>
        <v>3.5914413199390673</v>
      </c>
      <c r="F26" s="23">
        <f>IF($A26='Outil Cibles'!H$7, 'Outil Cibles'!H$21, IF(AND($A26-'Outil Cibles'!H$7&lt;=20,$A26-'Outil Cibles'!H$7&gt;0), 'Outil Cibles'!H$21, IF(AND($A26-'Outil Cibles'!H$7&lt;=40, $A26-'Outil Cibles'!H$7&gt;0), 'Outil Cibles'!H$22, 0)))</f>
        <v>2.8187471118968008</v>
      </c>
      <c r="G26" s="23">
        <f>IF($A26='Outil Cibles'!I$7, 'Outil Cibles'!I$21, IF(AND($A26-'Outil Cibles'!I$7&lt;=20,$A26-'Outil Cibles'!I$7&gt;0), 'Outil Cibles'!I$21, IF(AND($A26-'Outil Cibles'!I$7&lt;=40, $A26-'Outil Cibles'!I$7&gt;0), 'Outil Cibles'!I$22, 0)))</f>
        <v>2.3732147362230469</v>
      </c>
      <c r="H26" s="23">
        <f>IF($A26='Outil Cibles'!J$7, 'Outil Cibles'!J$21, IF(AND($A26-'Outil Cibles'!J$7&lt;=20,$A26-'Outil Cibles'!J$7&gt;0), 'Outil Cibles'!J$21, IF(AND($A26-'Outil Cibles'!J$7&lt;=40, $A26-'Outil Cibles'!J$7&gt;0), 'Outil Cibles'!J$22, 0)))</f>
        <v>1.9454894525084028</v>
      </c>
      <c r="I26" s="23">
        <f>IF($A26='Outil Cibles'!K$7, 'Outil Cibles'!K$21, IF(AND($A26-'Outil Cibles'!K$7&lt;=20,$A26-'Outil Cibles'!K$7&gt;0), 'Outil Cibles'!K$21, IF(AND($A26-'Outil Cibles'!K$7&lt;=40, $A26-'Outil Cibles'!K$7&gt;0), 'Outil Cibles'!K$22, 0)))</f>
        <v>0</v>
      </c>
      <c r="J26" s="23">
        <f>IF($A26='Outil Cibles'!L$7, 'Outil Cibles'!L$21, IF(AND($A26-'Outil Cibles'!L$7&lt;=20,$A26-'Outil Cibles'!L$7&gt;0), 'Outil Cibles'!L$21, IF(AND($A26-'Outil Cibles'!L$7&lt;=40, $A26-'Outil Cibles'!L$7&gt;0), 'Outil Cibles'!L$22, 0)))</f>
        <v>0</v>
      </c>
      <c r="K26" s="23">
        <f>IF($A26='Outil Cibles'!M$7, 'Outil Cibles'!M$21, IF(AND($A26-'Outil Cibles'!M$7&lt;=20,$A26-'Outil Cibles'!M$7&gt;0), 'Outil Cibles'!M$21, IF(AND($A26-'Outil Cibles'!M$7&lt;=40, $A26-'Outil Cibles'!M$7&gt;0), 'Outil Cibles'!M$22, 0)))</f>
        <v>0</v>
      </c>
      <c r="L26" s="23">
        <f t="shared" si="2"/>
        <v>25.462094374500342</v>
      </c>
      <c r="N26">
        <v>2043</v>
      </c>
      <c r="O26">
        <f>B26*'Outil Cibles'!$D$8</f>
        <v>2585.5157380365981</v>
      </c>
      <c r="P26">
        <f>C26*'Outil Cibles'!$E$8</f>
        <v>6962.6722623861624</v>
      </c>
      <c r="Q26">
        <f>D26*'Outil Cibles'!$F$8</f>
        <v>5185.0137535102594</v>
      </c>
      <c r="R26">
        <f>E26*'Outil Cibles'!$G$8</f>
        <v>3591.4413199390674</v>
      </c>
      <c r="S26">
        <f>F26*'Outil Cibles'!$H$8</f>
        <v>2818.747111896801</v>
      </c>
      <c r="T26">
        <f>G26*'Outil Cibles'!$I$8</f>
        <v>2373.2147362230471</v>
      </c>
      <c r="U26">
        <f>H26*'Outil Cibles'!$J$8</f>
        <v>1945.4894525084028</v>
      </c>
      <c r="V26">
        <f>I26*'Outil Cibles'!$K$8</f>
        <v>0</v>
      </c>
      <c r="W26">
        <f>J26*'Outil Cibles'!$L$8</f>
        <v>0</v>
      </c>
      <c r="X26">
        <f>K26*'Outil Cibles'!$M$8</f>
        <v>0</v>
      </c>
      <c r="Y26">
        <f t="shared" si="3"/>
        <v>25462.094374500339</v>
      </c>
    </row>
    <row r="27" spans="1:25" x14ac:dyDescent="0.3">
      <c r="A27">
        <v>2044</v>
      </c>
      <c r="B27" s="23">
        <f>IF($A27='Outil Cibles'!D$7, 'Outil Cibles'!D$21, IF(AND($A27-'Outil Cibles'!D$7&lt;=20,$A27-'Outil Cibles'!D$7&gt;0), 'Outil Cibles'!D$21, IF(AND($A27-'Outil Cibles'!D$7&lt;=40, $A27-'Outil Cibles'!D$7&gt;0), 'Outil Cibles'!D$22, 0)))</f>
        <v>2.5855157380365981</v>
      </c>
      <c r="C27" s="23">
        <f>IF($A27='Outil Cibles'!E$7, 'Outil Cibles'!E$21, IF(AND($A27-'Outil Cibles'!E$7&lt;=20,$A27-'Outil Cibles'!E$7&gt;0), 'Outil Cibles'!E$21, IF(AND($A27-'Outil Cibles'!E$7&lt;=40, $A27-'Outil Cibles'!E$7&gt;0), 'Outil Cibles'!E$22, 0)))</f>
        <v>6.9626722623861621</v>
      </c>
      <c r="D27" s="23">
        <f>IF($A27='Outil Cibles'!F$7, 'Outil Cibles'!F$21, IF(AND($A27-'Outil Cibles'!F$7&lt;=20,$A27-'Outil Cibles'!F$7&gt;0), 'Outil Cibles'!F$21, IF(AND($A27-'Outil Cibles'!F$7&lt;=40, $A27-'Outil Cibles'!F$7&gt;0), 'Outil Cibles'!F$22, 0)))</f>
        <v>5.1850137535102592</v>
      </c>
      <c r="E27" s="23">
        <f>IF($A27='Outil Cibles'!G$7, 'Outil Cibles'!G$21, IF(AND($A27-'Outil Cibles'!G$7&lt;=20,$A27-'Outil Cibles'!G$7&gt;0), 'Outil Cibles'!G$21, IF(AND($A27-'Outil Cibles'!G$7&lt;=40, $A27-'Outil Cibles'!G$7&gt;0), 'Outil Cibles'!G$22, 0)))</f>
        <v>3.5914413199390673</v>
      </c>
      <c r="F27" s="23">
        <f>IF($A27='Outil Cibles'!H$7, 'Outil Cibles'!H$21, IF(AND($A27-'Outil Cibles'!H$7&lt;=20,$A27-'Outil Cibles'!H$7&gt;0), 'Outil Cibles'!H$21, IF(AND($A27-'Outil Cibles'!H$7&lt;=40, $A27-'Outil Cibles'!H$7&gt;0), 'Outil Cibles'!H$22, 0)))</f>
        <v>2.8187471118968008</v>
      </c>
      <c r="G27" s="23">
        <f>IF($A27='Outil Cibles'!I$7, 'Outil Cibles'!I$21, IF(AND($A27-'Outil Cibles'!I$7&lt;=20,$A27-'Outil Cibles'!I$7&gt;0), 'Outil Cibles'!I$21, IF(AND($A27-'Outil Cibles'!I$7&lt;=40, $A27-'Outil Cibles'!I$7&gt;0), 'Outil Cibles'!I$22, 0)))</f>
        <v>2.3732147362230469</v>
      </c>
      <c r="H27" s="23">
        <f>IF($A27='Outil Cibles'!J$7, 'Outil Cibles'!J$21, IF(AND($A27-'Outil Cibles'!J$7&lt;=20,$A27-'Outil Cibles'!J$7&gt;0), 'Outil Cibles'!J$21, IF(AND($A27-'Outil Cibles'!J$7&lt;=40, $A27-'Outil Cibles'!J$7&gt;0), 'Outil Cibles'!J$22, 0)))</f>
        <v>1.9454894525084028</v>
      </c>
      <c r="I27" s="23">
        <f>IF($A27='Outil Cibles'!K$7, 'Outil Cibles'!K$21, IF(AND($A27-'Outil Cibles'!K$7&lt;=20,$A27-'Outil Cibles'!K$7&gt;0), 'Outil Cibles'!K$21, IF(AND($A27-'Outil Cibles'!K$7&lt;=40, $A27-'Outil Cibles'!K$7&gt;0), 'Outil Cibles'!K$22, 0)))</f>
        <v>1.4857888961774444</v>
      </c>
      <c r="J27" s="23">
        <f>IF($A27='Outil Cibles'!L$7, 'Outil Cibles'!L$21, IF(AND($A27-'Outil Cibles'!L$7&lt;=20,$A27-'Outil Cibles'!L$7&gt;0), 'Outil Cibles'!L$21, IF(AND($A27-'Outil Cibles'!L$7&lt;=40, $A27-'Outil Cibles'!L$7&gt;0), 'Outil Cibles'!L$22, 0)))</f>
        <v>0</v>
      </c>
      <c r="K27" s="23">
        <f>IF($A27='Outil Cibles'!M$7, 'Outil Cibles'!M$21, IF(AND($A27-'Outil Cibles'!M$7&lt;=20,$A27-'Outil Cibles'!M$7&gt;0), 'Outil Cibles'!M$21, IF(AND($A27-'Outil Cibles'!M$7&lt;=40, $A27-'Outil Cibles'!M$7&gt;0), 'Outil Cibles'!M$22, 0)))</f>
        <v>0</v>
      </c>
      <c r="L27" s="23">
        <f t="shared" si="2"/>
        <v>26.947883270677785</v>
      </c>
      <c r="N27">
        <v>2044</v>
      </c>
      <c r="O27">
        <f>B27*'Outil Cibles'!$D$8</f>
        <v>2585.5157380365981</v>
      </c>
      <c r="P27">
        <f>C27*'Outil Cibles'!$E$8</f>
        <v>6962.6722623861624</v>
      </c>
      <c r="Q27">
        <f>D27*'Outil Cibles'!$F$8</f>
        <v>5185.0137535102594</v>
      </c>
      <c r="R27">
        <f>E27*'Outil Cibles'!$G$8</f>
        <v>3591.4413199390674</v>
      </c>
      <c r="S27">
        <f>F27*'Outil Cibles'!$H$8</f>
        <v>2818.747111896801</v>
      </c>
      <c r="T27">
        <f>G27*'Outil Cibles'!$I$8</f>
        <v>2373.2147362230471</v>
      </c>
      <c r="U27">
        <f>H27*'Outil Cibles'!$J$8</f>
        <v>1945.4894525084028</v>
      </c>
      <c r="V27">
        <f>I27*'Outil Cibles'!$K$8</f>
        <v>1485.7888961774443</v>
      </c>
      <c r="W27">
        <f>J27*'Outil Cibles'!$L$8</f>
        <v>0</v>
      </c>
      <c r="X27">
        <f>K27*'Outil Cibles'!$M$8</f>
        <v>0</v>
      </c>
      <c r="Y27">
        <f t="shared" si="3"/>
        <v>26947.883270677783</v>
      </c>
    </row>
    <row r="28" spans="1:25" x14ac:dyDescent="0.3">
      <c r="A28" s="10">
        <v>2045</v>
      </c>
      <c r="B28" s="23">
        <f>IF($A28='Outil Cibles'!D$7, 'Outil Cibles'!D$21, IF(AND($A28-'Outil Cibles'!D$7&lt;=20,$A28-'Outil Cibles'!D$7&gt;0), 'Outil Cibles'!D$21, IF(AND($A28-'Outil Cibles'!D$7&lt;=40, $A28-'Outil Cibles'!D$7&gt;0), 'Outil Cibles'!D$22, 0)))</f>
        <v>0.41469957764721316</v>
      </c>
      <c r="C28" s="23">
        <f>IF($A28='Outil Cibles'!E$7, 'Outil Cibles'!E$21, IF(AND($A28-'Outil Cibles'!E$7&lt;=20,$A28-'Outil Cibles'!E$7&gt;0), 'Outil Cibles'!E$21, IF(AND($A28-'Outil Cibles'!E$7&lt;=40, $A28-'Outil Cibles'!E$7&gt;0), 'Outil Cibles'!E$22, 0)))</f>
        <v>6.9626722623861621</v>
      </c>
      <c r="D28" s="23">
        <f>IF($A28='Outil Cibles'!F$7, 'Outil Cibles'!F$21, IF(AND($A28-'Outil Cibles'!F$7&lt;=20,$A28-'Outil Cibles'!F$7&gt;0), 'Outil Cibles'!F$21, IF(AND($A28-'Outil Cibles'!F$7&lt;=40, $A28-'Outil Cibles'!F$7&gt;0), 'Outil Cibles'!F$22, 0)))</f>
        <v>5.1850137535102592</v>
      </c>
      <c r="E28" s="23">
        <f>IF($A28='Outil Cibles'!G$7, 'Outil Cibles'!G$21, IF(AND($A28-'Outil Cibles'!G$7&lt;=20,$A28-'Outil Cibles'!G$7&gt;0), 'Outil Cibles'!G$21, IF(AND($A28-'Outil Cibles'!G$7&lt;=40, $A28-'Outil Cibles'!G$7&gt;0), 'Outil Cibles'!G$22, 0)))</f>
        <v>3.5914413199390673</v>
      </c>
      <c r="F28" s="23">
        <f>IF($A28='Outil Cibles'!H$7, 'Outil Cibles'!H$21, IF(AND($A28-'Outil Cibles'!H$7&lt;=20,$A28-'Outil Cibles'!H$7&gt;0), 'Outil Cibles'!H$21, IF(AND($A28-'Outil Cibles'!H$7&lt;=40, $A28-'Outil Cibles'!H$7&gt;0), 'Outil Cibles'!H$22, 0)))</f>
        <v>2.8187471118968008</v>
      </c>
      <c r="G28" s="23">
        <f>IF($A28='Outil Cibles'!I$7, 'Outil Cibles'!I$21, IF(AND($A28-'Outil Cibles'!I$7&lt;=20,$A28-'Outil Cibles'!I$7&gt;0), 'Outil Cibles'!I$21, IF(AND($A28-'Outil Cibles'!I$7&lt;=40, $A28-'Outil Cibles'!I$7&gt;0), 'Outil Cibles'!I$22, 0)))</f>
        <v>2.3732147362230469</v>
      </c>
      <c r="H28" s="23">
        <f>IF($A28='Outil Cibles'!J$7, 'Outil Cibles'!J$21, IF(AND($A28-'Outil Cibles'!J$7&lt;=20,$A28-'Outil Cibles'!J$7&gt;0), 'Outil Cibles'!J$21, IF(AND($A28-'Outil Cibles'!J$7&lt;=40, $A28-'Outil Cibles'!J$7&gt;0), 'Outil Cibles'!J$22, 0)))</f>
        <v>1.9454894525084028</v>
      </c>
      <c r="I28" s="23">
        <f>IF($A28='Outil Cibles'!K$7, 'Outil Cibles'!K$21, IF(AND($A28-'Outil Cibles'!K$7&lt;=20,$A28-'Outil Cibles'!K$7&gt;0), 'Outil Cibles'!K$21, IF(AND($A28-'Outil Cibles'!K$7&lt;=40, $A28-'Outil Cibles'!K$7&gt;0), 'Outil Cibles'!K$22, 0)))</f>
        <v>1.4857888961774444</v>
      </c>
      <c r="J28" s="23">
        <f>IF($A28='Outil Cibles'!L$7, 'Outil Cibles'!L$21, IF(AND($A28-'Outil Cibles'!L$7&lt;=20,$A28-'Outil Cibles'!L$7&gt;0), 'Outil Cibles'!L$21, IF(AND($A28-'Outil Cibles'!L$7&lt;=40, $A28-'Outil Cibles'!L$7&gt;0), 'Outil Cibles'!L$22, 0)))</f>
        <v>0</v>
      </c>
      <c r="K28" s="23">
        <f>IF($A28='Outil Cibles'!M$7, 'Outil Cibles'!M$21, IF(AND($A28-'Outil Cibles'!M$7&lt;=20,$A28-'Outil Cibles'!M$7&gt;0), 'Outil Cibles'!M$21, IF(AND($A28-'Outil Cibles'!M$7&lt;=40, $A28-'Outil Cibles'!M$7&gt;0), 'Outil Cibles'!M$22, 0)))</f>
        <v>0</v>
      </c>
      <c r="L28" s="23">
        <f t="shared" si="2"/>
        <v>24.777067110288399</v>
      </c>
      <c r="N28" s="10">
        <v>2045</v>
      </c>
      <c r="O28">
        <f>B28*'Outil Cibles'!$D$8</f>
        <v>414.69957764721318</v>
      </c>
      <c r="P28">
        <f>C28*'Outil Cibles'!$E$8</f>
        <v>6962.6722623861624</v>
      </c>
      <c r="Q28">
        <f>D28*'Outil Cibles'!$F$8</f>
        <v>5185.0137535102594</v>
      </c>
      <c r="R28">
        <f>E28*'Outil Cibles'!$G$8</f>
        <v>3591.4413199390674</v>
      </c>
      <c r="S28">
        <f>F28*'Outil Cibles'!$H$8</f>
        <v>2818.747111896801</v>
      </c>
      <c r="T28">
        <f>G28*'Outil Cibles'!$I$8</f>
        <v>2373.2147362230471</v>
      </c>
      <c r="U28">
        <f>H28*'Outil Cibles'!$J$8</f>
        <v>1945.4894525084028</v>
      </c>
      <c r="V28">
        <f>I28*'Outil Cibles'!$K$8</f>
        <v>1485.7888961774443</v>
      </c>
      <c r="W28">
        <f>J28*'Outil Cibles'!$L$8</f>
        <v>0</v>
      </c>
      <c r="X28">
        <f>K28*'Outil Cibles'!$M$8</f>
        <v>0</v>
      </c>
      <c r="Y28">
        <f t="shared" si="3"/>
        <v>24777.067110288397</v>
      </c>
    </row>
    <row r="29" spans="1:25" x14ac:dyDescent="0.3">
      <c r="A29">
        <v>2046</v>
      </c>
      <c r="B29" s="23">
        <f>IF($A29='Outil Cibles'!D$7, 'Outil Cibles'!D$21, IF(AND($A29-'Outil Cibles'!D$7&lt;=20,$A29-'Outil Cibles'!D$7&gt;0), 'Outil Cibles'!D$21, IF(AND($A29-'Outil Cibles'!D$7&lt;=40, $A29-'Outil Cibles'!D$7&gt;0), 'Outil Cibles'!D$22, 0)))</f>
        <v>0.41469957764721316</v>
      </c>
      <c r="C29" s="23">
        <f>IF($A29='Outil Cibles'!E$7, 'Outil Cibles'!E$21, IF(AND($A29-'Outil Cibles'!E$7&lt;=20,$A29-'Outil Cibles'!E$7&gt;0), 'Outil Cibles'!E$21, IF(AND($A29-'Outil Cibles'!E$7&lt;=40, $A29-'Outil Cibles'!E$7&gt;0), 'Outil Cibles'!E$22, 0)))</f>
        <v>6.9626722623861621</v>
      </c>
      <c r="D29" s="23">
        <f>IF($A29='Outil Cibles'!F$7, 'Outil Cibles'!F$21, IF(AND($A29-'Outil Cibles'!F$7&lt;=20,$A29-'Outil Cibles'!F$7&gt;0), 'Outil Cibles'!F$21, IF(AND($A29-'Outil Cibles'!F$7&lt;=40, $A29-'Outil Cibles'!F$7&gt;0), 'Outil Cibles'!F$22, 0)))</f>
        <v>5.1850137535102592</v>
      </c>
      <c r="E29" s="23">
        <f>IF($A29='Outil Cibles'!G$7, 'Outil Cibles'!G$21, IF(AND($A29-'Outil Cibles'!G$7&lt;=20,$A29-'Outil Cibles'!G$7&gt;0), 'Outil Cibles'!G$21, IF(AND($A29-'Outil Cibles'!G$7&lt;=40, $A29-'Outil Cibles'!G$7&gt;0), 'Outil Cibles'!G$22, 0)))</f>
        <v>3.5914413199390673</v>
      </c>
      <c r="F29" s="23">
        <f>IF($A29='Outil Cibles'!H$7, 'Outil Cibles'!H$21, IF(AND($A29-'Outil Cibles'!H$7&lt;=20,$A29-'Outil Cibles'!H$7&gt;0), 'Outil Cibles'!H$21, IF(AND($A29-'Outil Cibles'!H$7&lt;=40, $A29-'Outil Cibles'!H$7&gt;0), 'Outil Cibles'!H$22, 0)))</f>
        <v>2.8187471118968008</v>
      </c>
      <c r="G29" s="23">
        <f>IF($A29='Outil Cibles'!I$7, 'Outil Cibles'!I$21, IF(AND($A29-'Outil Cibles'!I$7&lt;=20,$A29-'Outil Cibles'!I$7&gt;0), 'Outil Cibles'!I$21, IF(AND($A29-'Outil Cibles'!I$7&lt;=40, $A29-'Outil Cibles'!I$7&gt;0), 'Outil Cibles'!I$22, 0)))</f>
        <v>2.3732147362230469</v>
      </c>
      <c r="H29" s="23">
        <f>IF($A29='Outil Cibles'!J$7, 'Outil Cibles'!J$21, IF(AND($A29-'Outil Cibles'!J$7&lt;=20,$A29-'Outil Cibles'!J$7&gt;0), 'Outil Cibles'!J$21, IF(AND($A29-'Outil Cibles'!J$7&lt;=40, $A29-'Outil Cibles'!J$7&gt;0), 'Outil Cibles'!J$22, 0)))</f>
        <v>1.9454894525084028</v>
      </c>
      <c r="I29" s="23">
        <f>IF($A29='Outil Cibles'!K$7, 'Outil Cibles'!K$21, IF(AND($A29-'Outil Cibles'!K$7&lt;=20,$A29-'Outil Cibles'!K$7&gt;0), 'Outil Cibles'!K$21, IF(AND($A29-'Outil Cibles'!K$7&lt;=40, $A29-'Outil Cibles'!K$7&gt;0), 'Outil Cibles'!K$22, 0)))</f>
        <v>1.4857888961774444</v>
      </c>
      <c r="J29" s="23">
        <f>IF($A29='Outil Cibles'!L$7, 'Outil Cibles'!L$21, IF(AND($A29-'Outil Cibles'!L$7&lt;=20,$A29-'Outil Cibles'!L$7&gt;0), 'Outil Cibles'!L$21, IF(AND($A29-'Outil Cibles'!L$7&lt;=40, $A29-'Outil Cibles'!L$7&gt;0), 'Outil Cibles'!L$22, 0)))</f>
        <v>0</v>
      </c>
      <c r="K29" s="23">
        <f>IF($A29='Outil Cibles'!M$7, 'Outil Cibles'!M$21, IF(AND($A29-'Outil Cibles'!M$7&lt;=20,$A29-'Outil Cibles'!M$7&gt;0), 'Outil Cibles'!M$21, IF(AND($A29-'Outil Cibles'!M$7&lt;=40, $A29-'Outil Cibles'!M$7&gt;0), 'Outil Cibles'!M$22, 0)))</f>
        <v>0</v>
      </c>
      <c r="L29" s="23">
        <f t="shared" si="2"/>
        <v>24.777067110288399</v>
      </c>
      <c r="N29">
        <v>2046</v>
      </c>
      <c r="O29">
        <f>B29*'Outil Cibles'!$D$8</f>
        <v>414.69957764721318</v>
      </c>
      <c r="P29">
        <f>C29*'Outil Cibles'!$E$8</f>
        <v>6962.6722623861624</v>
      </c>
      <c r="Q29">
        <f>D29*'Outil Cibles'!$F$8</f>
        <v>5185.0137535102594</v>
      </c>
      <c r="R29">
        <f>E29*'Outil Cibles'!$G$8</f>
        <v>3591.4413199390674</v>
      </c>
      <c r="S29">
        <f>F29*'Outil Cibles'!$H$8</f>
        <v>2818.747111896801</v>
      </c>
      <c r="T29">
        <f>G29*'Outil Cibles'!$I$8</f>
        <v>2373.2147362230471</v>
      </c>
      <c r="U29">
        <f>H29*'Outil Cibles'!$J$8</f>
        <v>1945.4894525084028</v>
      </c>
      <c r="V29">
        <f>I29*'Outil Cibles'!$K$8</f>
        <v>1485.7888961774443</v>
      </c>
      <c r="W29">
        <f>J29*'Outil Cibles'!$L$8</f>
        <v>0</v>
      </c>
      <c r="X29">
        <f>K29*'Outil Cibles'!$M$8</f>
        <v>0</v>
      </c>
      <c r="Y29">
        <f t="shared" si="3"/>
        <v>24777.067110288397</v>
      </c>
    </row>
    <row r="30" spans="1:25" x14ac:dyDescent="0.3">
      <c r="A30">
        <v>2047</v>
      </c>
      <c r="B30" s="23">
        <f>IF($A30='Outil Cibles'!D$7, 'Outil Cibles'!D$21, IF(AND($A30-'Outil Cibles'!D$7&lt;=20,$A30-'Outil Cibles'!D$7&gt;0), 'Outil Cibles'!D$21, IF(AND($A30-'Outil Cibles'!D$7&lt;=40, $A30-'Outil Cibles'!D$7&gt;0), 'Outil Cibles'!D$22, 0)))</f>
        <v>0.41469957764721316</v>
      </c>
      <c r="C30" s="23">
        <f>IF($A30='Outil Cibles'!E$7, 'Outil Cibles'!E$21, IF(AND($A30-'Outil Cibles'!E$7&lt;=20,$A30-'Outil Cibles'!E$7&gt;0), 'Outil Cibles'!E$21, IF(AND($A30-'Outil Cibles'!E$7&lt;=40, $A30-'Outil Cibles'!E$7&gt;0), 'Outil Cibles'!E$22, 0)))</f>
        <v>0.99944040982840654</v>
      </c>
      <c r="D30" s="23">
        <f>IF($A30='Outil Cibles'!F$7, 'Outil Cibles'!F$21, IF(AND($A30-'Outil Cibles'!F$7&lt;=20,$A30-'Outil Cibles'!F$7&gt;0), 'Outil Cibles'!F$21, IF(AND($A30-'Outil Cibles'!F$7&lt;=40, $A30-'Outil Cibles'!F$7&gt;0), 'Outil Cibles'!F$22, 0)))</f>
        <v>5.1850137535102592</v>
      </c>
      <c r="E30" s="23">
        <f>IF($A30='Outil Cibles'!G$7, 'Outil Cibles'!G$21, IF(AND($A30-'Outil Cibles'!G$7&lt;=20,$A30-'Outil Cibles'!G$7&gt;0), 'Outil Cibles'!G$21, IF(AND($A30-'Outil Cibles'!G$7&lt;=40, $A30-'Outil Cibles'!G$7&gt;0), 'Outil Cibles'!G$22, 0)))</f>
        <v>3.5914413199390673</v>
      </c>
      <c r="F30" s="23">
        <f>IF($A30='Outil Cibles'!H$7, 'Outil Cibles'!H$21, IF(AND($A30-'Outil Cibles'!H$7&lt;=20,$A30-'Outil Cibles'!H$7&gt;0), 'Outil Cibles'!H$21, IF(AND($A30-'Outil Cibles'!H$7&lt;=40, $A30-'Outil Cibles'!H$7&gt;0), 'Outil Cibles'!H$22, 0)))</f>
        <v>2.8187471118968008</v>
      </c>
      <c r="G30" s="23">
        <f>IF($A30='Outil Cibles'!I$7, 'Outil Cibles'!I$21, IF(AND($A30-'Outil Cibles'!I$7&lt;=20,$A30-'Outil Cibles'!I$7&gt;0), 'Outil Cibles'!I$21, IF(AND($A30-'Outil Cibles'!I$7&lt;=40, $A30-'Outil Cibles'!I$7&gt;0), 'Outil Cibles'!I$22, 0)))</f>
        <v>2.3732147362230469</v>
      </c>
      <c r="H30" s="23">
        <f>IF($A30='Outil Cibles'!J$7, 'Outil Cibles'!J$21, IF(AND($A30-'Outil Cibles'!J$7&lt;=20,$A30-'Outil Cibles'!J$7&gt;0), 'Outil Cibles'!J$21, IF(AND($A30-'Outil Cibles'!J$7&lt;=40, $A30-'Outil Cibles'!J$7&gt;0), 'Outil Cibles'!J$22, 0)))</f>
        <v>1.9454894525084028</v>
      </c>
      <c r="I30" s="23">
        <f>IF($A30='Outil Cibles'!K$7, 'Outil Cibles'!K$21, IF(AND($A30-'Outil Cibles'!K$7&lt;=20,$A30-'Outil Cibles'!K$7&gt;0), 'Outil Cibles'!K$21, IF(AND($A30-'Outil Cibles'!K$7&lt;=40, $A30-'Outil Cibles'!K$7&gt;0), 'Outil Cibles'!K$22, 0)))</f>
        <v>1.4857888961774444</v>
      </c>
      <c r="J30" s="23">
        <f>IF($A30='Outil Cibles'!L$7, 'Outil Cibles'!L$21, IF(AND($A30-'Outil Cibles'!L$7&lt;=20,$A30-'Outil Cibles'!L$7&gt;0), 'Outil Cibles'!L$21, IF(AND($A30-'Outil Cibles'!L$7&lt;=40, $A30-'Outil Cibles'!L$7&gt;0), 'Outil Cibles'!L$22, 0)))</f>
        <v>0</v>
      </c>
      <c r="K30" s="23">
        <f>IF($A30='Outil Cibles'!M$7, 'Outil Cibles'!M$21, IF(AND($A30-'Outil Cibles'!M$7&lt;=20,$A30-'Outil Cibles'!M$7&gt;0), 'Outil Cibles'!M$21, IF(AND($A30-'Outil Cibles'!M$7&lt;=40, $A30-'Outil Cibles'!M$7&gt;0), 'Outil Cibles'!M$22, 0)))</f>
        <v>0</v>
      </c>
      <c r="L30" s="23">
        <f t="shared" si="2"/>
        <v>18.813835257730641</v>
      </c>
      <c r="N30">
        <v>2047</v>
      </c>
      <c r="O30">
        <f>B30*'Outil Cibles'!$D$8</f>
        <v>414.69957764721318</v>
      </c>
      <c r="P30">
        <f>C30*'Outil Cibles'!$E$8</f>
        <v>999.44040982840659</v>
      </c>
      <c r="Q30">
        <f>D30*'Outil Cibles'!$F$8</f>
        <v>5185.0137535102594</v>
      </c>
      <c r="R30">
        <f>E30*'Outil Cibles'!$G$8</f>
        <v>3591.4413199390674</v>
      </c>
      <c r="S30">
        <f>F30*'Outil Cibles'!$H$8</f>
        <v>2818.747111896801</v>
      </c>
      <c r="T30">
        <f>G30*'Outil Cibles'!$I$8</f>
        <v>2373.2147362230471</v>
      </c>
      <c r="U30">
        <f>H30*'Outil Cibles'!$J$8</f>
        <v>1945.4894525084028</v>
      </c>
      <c r="V30">
        <f>I30*'Outil Cibles'!$K$8</f>
        <v>1485.7888961774443</v>
      </c>
      <c r="W30">
        <f>J30*'Outil Cibles'!$L$8</f>
        <v>0</v>
      </c>
      <c r="X30">
        <f>K30*'Outil Cibles'!$M$8</f>
        <v>0</v>
      </c>
      <c r="Y30">
        <f t="shared" si="3"/>
        <v>18813.83525773064</v>
      </c>
    </row>
    <row r="31" spans="1:25" x14ac:dyDescent="0.3">
      <c r="A31">
        <v>2048</v>
      </c>
      <c r="B31" s="23">
        <f>IF($A31='Outil Cibles'!D$7, 'Outil Cibles'!D$21, IF(AND($A31-'Outil Cibles'!D$7&lt;=20,$A31-'Outil Cibles'!D$7&gt;0), 'Outil Cibles'!D$21, IF(AND($A31-'Outil Cibles'!D$7&lt;=40, $A31-'Outil Cibles'!D$7&gt;0), 'Outil Cibles'!D$22, 0)))</f>
        <v>0.41469957764721316</v>
      </c>
      <c r="C31" s="23">
        <f>IF($A31='Outil Cibles'!E$7, 'Outil Cibles'!E$21, IF(AND($A31-'Outil Cibles'!E$7&lt;=20,$A31-'Outil Cibles'!E$7&gt;0), 'Outil Cibles'!E$21, IF(AND($A31-'Outil Cibles'!E$7&lt;=40, $A31-'Outil Cibles'!E$7&gt;0), 'Outil Cibles'!E$22, 0)))</f>
        <v>0.99944040982840654</v>
      </c>
      <c r="D31" s="23">
        <f>IF($A31='Outil Cibles'!F$7, 'Outil Cibles'!F$21, IF(AND($A31-'Outil Cibles'!F$7&lt;=20,$A31-'Outil Cibles'!F$7&gt;0), 'Outil Cibles'!F$21, IF(AND($A31-'Outil Cibles'!F$7&lt;=40, $A31-'Outil Cibles'!F$7&gt;0), 'Outil Cibles'!F$22, 0)))</f>
        <v>5.1850137535102592</v>
      </c>
      <c r="E31" s="23">
        <f>IF($A31='Outil Cibles'!G$7, 'Outil Cibles'!G$21, IF(AND($A31-'Outil Cibles'!G$7&lt;=20,$A31-'Outil Cibles'!G$7&gt;0), 'Outil Cibles'!G$21, IF(AND($A31-'Outil Cibles'!G$7&lt;=40, $A31-'Outil Cibles'!G$7&gt;0), 'Outil Cibles'!G$22, 0)))</f>
        <v>3.5914413199390673</v>
      </c>
      <c r="F31" s="23">
        <f>IF($A31='Outil Cibles'!H$7, 'Outil Cibles'!H$21, IF(AND($A31-'Outil Cibles'!H$7&lt;=20,$A31-'Outil Cibles'!H$7&gt;0), 'Outil Cibles'!H$21, IF(AND($A31-'Outil Cibles'!H$7&lt;=40, $A31-'Outil Cibles'!H$7&gt;0), 'Outil Cibles'!H$22, 0)))</f>
        <v>2.8187471118968008</v>
      </c>
      <c r="G31" s="23">
        <f>IF($A31='Outil Cibles'!I$7, 'Outil Cibles'!I$21, IF(AND($A31-'Outil Cibles'!I$7&lt;=20,$A31-'Outil Cibles'!I$7&gt;0), 'Outil Cibles'!I$21, IF(AND($A31-'Outil Cibles'!I$7&lt;=40, $A31-'Outil Cibles'!I$7&gt;0), 'Outil Cibles'!I$22, 0)))</f>
        <v>2.3732147362230469</v>
      </c>
      <c r="H31" s="23">
        <f>IF($A31='Outil Cibles'!J$7, 'Outil Cibles'!J$21, IF(AND($A31-'Outil Cibles'!J$7&lt;=20,$A31-'Outil Cibles'!J$7&gt;0), 'Outil Cibles'!J$21, IF(AND($A31-'Outil Cibles'!J$7&lt;=40, $A31-'Outil Cibles'!J$7&gt;0), 'Outil Cibles'!J$22, 0)))</f>
        <v>1.9454894525084028</v>
      </c>
      <c r="I31" s="23">
        <f>IF($A31='Outil Cibles'!K$7, 'Outil Cibles'!K$21, IF(AND($A31-'Outil Cibles'!K$7&lt;=20,$A31-'Outil Cibles'!K$7&gt;0), 'Outil Cibles'!K$21, IF(AND($A31-'Outil Cibles'!K$7&lt;=40, $A31-'Outil Cibles'!K$7&gt;0), 'Outil Cibles'!K$22, 0)))</f>
        <v>1.4857888961774444</v>
      </c>
      <c r="J31" s="23">
        <f>IF($A31='Outil Cibles'!L$7, 'Outil Cibles'!L$21, IF(AND($A31-'Outil Cibles'!L$7&lt;=20,$A31-'Outil Cibles'!L$7&gt;0), 'Outil Cibles'!L$21, IF(AND($A31-'Outil Cibles'!L$7&lt;=40, $A31-'Outil Cibles'!L$7&gt;0), 'Outil Cibles'!L$22, 0)))</f>
        <v>0.56998405015544618</v>
      </c>
      <c r="K31" s="23">
        <f>IF($A31='Outil Cibles'!M$7, 'Outil Cibles'!M$21, IF(AND($A31-'Outil Cibles'!M$7&lt;=20,$A31-'Outil Cibles'!M$7&gt;0), 'Outil Cibles'!M$21, IF(AND($A31-'Outil Cibles'!M$7&lt;=40, $A31-'Outil Cibles'!M$7&gt;0), 'Outil Cibles'!M$22, 0)))</f>
        <v>0</v>
      </c>
      <c r="L31" s="23">
        <f t="shared" si="2"/>
        <v>19.383819307886089</v>
      </c>
      <c r="N31">
        <v>2048</v>
      </c>
      <c r="O31">
        <f>B31*'Outil Cibles'!$D$8</f>
        <v>414.69957764721318</v>
      </c>
      <c r="P31">
        <f>C31*'Outil Cibles'!$E$8</f>
        <v>999.44040982840659</v>
      </c>
      <c r="Q31">
        <f>D31*'Outil Cibles'!$F$8</f>
        <v>5185.0137535102594</v>
      </c>
      <c r="R31">
        <f>E31*'Outil Cibles'!$G$8</f>
        <v>3591.4413199390674</v>
      </c>
      <c r="S31">
        <f>F31*'Outil Cibles'!$H$8</f>
        <v>2818.747111896801</v>
      </c>
      <c r="T31">
        <f>G31*'Outil Cibles'!$I$8</f>
        <v>2373.2147362230471</v>
      </c>
      <c r="U31">
        <f>H31*'Outil Cibles'!$J$8</f>
        <v>1945.4894525084028</v>
      </c>
      <c r="V31">
        <f>I31*'Outil Cibles'!$K$8</f>
        <v>1485.7888961774443</v>
      </c>
      <c r="W31">
        <f>J31*'Outil Cibles'!$L$8</f>
        <v>569.9840501554462</v>
      </c>
      <c r="X31">
        <f>K31*'Outil Cibles'!$M$8</f>
        <v>0</v>
      </c>
      <c r="Y31">
        <f t="shared" si="3"/>
        <v>19383.819307886086</v>
      </c>
    </row>
    <row r="32" spans="1:25" x14ac:dyDescent="0.3">
      <c r="A32">
        <v>2049</v>
      </c>
      <c r="B32" s="23">
        <f>IF($A32='Outil Cibles'!D$7, 'Outil Cibles'!D$21, IF(AND($A32-'Outil Cibles'!D$7&lt;=20,$A32-'Outil Cibles'!D$7&gt;0), 'Outil Cibles'!D$21, IF(AND($A32-'Outil Cibles'!D$7&lt;=40, $A32-'Outil Cibles'!D$7&gt;0), 'Outil Cibles'!D$22, 0)))</f>
        <v>0.41469957764721316</v>
      </c>
      <c r="C32" s="23">
        <f>IF($A32='Outil Cibles'!E$7, 'Outil Cibles'!E$21, IF(AND($A32-'Outil Cibles'!E$7&lt;=20,$A32-'Outil Cibles'!E$7&gt;0), 'Outil Cibles'!E$21, IF(AND($A32-'Outil Cibles'!E$7&lt;=40, $A32-'Outil Cibles'!E$7&gt;0), 'Outil Cibles'!E$22, 0)))</f>
        <v>0.99944040982840654</v>
      </c>
      <c r="D32" s="23">
        <f>IF($A32='Outil Cibles'!F$7, 'Outil Cibles'!F$21, IF(AND($A32-'Outil Cibles'!F$7&lt;=20,$A32-'Outil Cibles'!F$7&gt;0), 'Outil Cibles'!F$21, IF(AND($A32-'Outil Cibles'!F$7&lt;=40, $A32-'Outil Cibles'!F$7&gt;0), 'Outil Cibles'!F$22, 0)))</f>
        <v>5.1850137535102592</v>
      </c>
      <c r="E32" s="23">
        <f>IF($A32='Outil Cibles'!G$7, 'Outil Cibles'!G$21, IF(AND($A32-'Outil Cibles'!G$7&lt;=20,$A32-'Outil Cibles'!G$7&gt;0), 'Outil Cibles'!G$21, IF(AND($A32-'Outil Cibles'!G$7&lt;=40, $A32-'Outil Cibles'!G$7&gt;0), 'Outil Cibles'!G$22, 0)))</f>
        <v>3.5914413199390673</v>
      </c>
      <c r="F32" s="23">
        <f>IF($A32='Outil Cibles'!H$7, 'Outil Cibles'!H$21, IF(AND($A32-'Outil Cibles'!H$7&lt;=20,$A32-'Outil Cibles'!H$7&gt;0), 'Outil Cibles'!H$21, IF(AND($A32-'Outil Cibles'!H$7&lt;=40, $A32-'Outil Cibles'!H$7&gt;0), 'Outil Cibles'!H$22, 0)))</f>
        <v>2.8187471118968008</v>
      </c>
      <c r="G32" s="23">
        <f>IF($A32='Outil Cibles'!I$7, 'Outil Cibles'!I$21, IF(AND($A32-'Outil Cibles'!I$7&lt;=20,$A32-'Outil Cibles'!I$7&gt;0), 'Outil Cibles'!I$21, IF(AND($A32-'Outil Cibles'!I$7&lt;=40, $A32-'Outil Cibles'!I$7&gt;0), 'Outil Cibles'!I$22, 0)))</f>
        <v>2.3732147362230469</v>
      </c>
      <c r="H32" s="23">
        <f>IF($A32='Outil Cibles'!J$7, 'Outil Cibles'!J$21, IF(AND($A32-'Outil Cibles'!J$7&lt;=20,$A32-'Outil Cibles'!J$7&gt;0), 'Outil Cibles'!J$21, IF(AND($A32-'Outil Cibles'!J$7&lt;=40, $A32-'Outil Cibles'!J$7&gt;0), 'Outil Cibles'!J$22, 0)))</f>
        <v>1.9454894525084028</v>
      </c>
      <c r="I32" s="23">
        <f>IF($A32='Outil Cibles'!K$7, 'Outil Cibles'!K$21, IF(AND($A32-'Outil Cibles'!K$7&lt;=20,$A32-'Outil Cibles'!K$7&gt;0), 'Outil Cibles'!K$21, IF(AND($A32-'Outil Cibles'!K$7&lt;=40, $A32-'Outil Cibles'!K$7&gt;0), 'Outil Cibles'!K$22, 0)))</f>
        <v>1.4857888961774444</v>
      </c>
      <c r="J32" s="23">
        <f>IF($A32='Outil Cibles'!L$7, 'Outil Cibles'!L$21, IF(AND($A32-'Outil Cibles'!L$7&lt;=20,$A32-'Outil Cibles'!L$7&gt;0), 'Outil Cibles'!L$21, IF(AND($A32-'Outil Cibles'!L$7&lt;=40, $A32-'Outil Cibles'!L$7&gt;0), 'Outil Cibles'!L$22, 0)))</f>
        <v>0.56998405015544618</v>
      </c>
      <c r="K32" s="23">
        <f>IF($A32='Outil Cibles'!M$7, 'Outil Cibles'!M$21, IF(AND($A32-'Outil Cibles'!M$7&lt;=20,$A32-'Outil Cibles'!M$7&gt;0), 'Outil Cibles'!M$21, IF(AND($A32-'Outil Cibles'!M$7&lt;=40, $A32-'Outil Cibles'!M$7&gt;0), 'Outil Cibles'!M$22, 0)))</f>
        <v>0</v>
      </c>
      <c r="L32" s="23">
        <f t="shared" si="2"/>
        <v>19.383819307886089</v>
      </c>
      <c r="N32">
        <v>2049</v>
      </c>
      <c r="O32">
        <f>B32*'Outil Cibles'!$D$8</f>
        <v>414.69957764721318</v>
      </c>
      <c r="P32">
        <f>C32*'Outil Cibles'!$E$8</f>
        <v>999.44040982840659</v>
      </c>
      <c r="Q32">
        <f>D32*'Outil Cibles'!$F$8</f>
        <v>5185.0137535102594</v>
      </c>
      <c r="R32">
        <f>E32*'Outil Cibles'!$G$8</f>
        <v>3591.4413199390674</v>
      </c>
      <c r="S32">
        <f>F32*'Outil Cibles'!$H$8</f>
        <v>2818.747111896801</v>
      </c>
      <c r="T32">
        <f>G32*'Outil Cibles'!$I$8</f>
        <v>2373.2147362230471</v>
      </c>
      <c r="U32">
        <f>H32*'Outil Cibles'!$J$8</f>
        <v>1945.4894525084028</v>
      </c>
      <c r="V32">
        <f>I32*'Outil Cibles'!$K$8</f>
        <v>1485.7888961774443</v>
      </c>
      <c r="W32">
        <f>J32*'Outil Cibles'!$L$8</f>
        <v>569.9840501554462</v>
      </c>
      <c r="X32">
        <f>K32*'Outil Cibles'!$M$8</f>
        <v>0</v>
      </c>
      <c r="Y32">
        <f t="shared" si="3"/>
        <v>19383.819307886086</v>
      </c>
    </row>
    <row r="33" spans="1:25" x14ac:dyDescent="0.3">
      <c r="A33" s="10">
        <v>2050</v>
      </c>
      <c r="B33" s="23">
        <f>IF($A33='Outil Cibles'!D$7, 'Outil Cibles'!D$21, IF(AND($A33-'Outil Cibles'!D$7&lt;=20,$A33-'Outil Cibles'!D$7&gt;0), 'Outil Cibles'!D$21, IF(AND($A33-'Outil Cibles'!D$7&lt;=40, $A33-'Outil Cibles'!D$7&gt;0), 'Outil Cibles'!D$22, 0)))</f>
        <v>0.41469957764721316</v>
      </c>
      <c r="C33" s="23">
        <f>IF($A33='Outil Cibles'!E$7, 'Outil Cibles'!E$21, IF(AND($A33-'Outil Cibles'!E$7&lt;=20,$A33-'Outil Cibles'!E$7&gt;0), 'Outil Cibles'!E$21, IF(AND($A33-'Outil Cibles'!E$7&lt;=40, $A33-'Outil Cibles'!E$7&gt;0), 'Outil Cibles'!E$22, 0)))</f>
        <v>0.99944040982840654</v>
      </c>
      <c r="D33" s="23">
        <f>IF($A33='Outil Cibles'!F$7, 'Outil Cibles'!F$21, IF(AND($A33-'Outil Cibles'!F$7&lt;=20,$A33-'Outil Cibles'!F$7&gt;0), 'Outil Cibles'!F$21, IF(AND($A33-'Outil Cibles'!F$7&lt;=40, $A33-'Outil Cibles'!F$7&gt;0), 'Outil Cibles'!F$22, 0)))</f>
        <v>5.1850137535102592</v>
      </c>
      <c r="E33" s="23">
        <f>IF($A33='Outil Cibles'!G$7, 'Outil Cibles'!G$21, IF(AND($A33-'Outil Cibles'!G$7&lt;=20,$A33-'Outil Cibles'!G$7&gt;0), 'Outil Cibles'!G$21, IF(AND($A33-'Outil Cibles'!G$7&lt;=40, $A33-'Outil Cibles'!G$7&gt;0), 'Outil Cibles'!G$22, 0)))</f>
        <v>3.5914413199390673</v>
      </c>
      <c r="F33" s="23">
        <f>IF($A33='Outil Cibles'!H$7, 'Outil Cibles'!H$21, IF(AND($A33-'Outil Cibles'!H$7&lt;=20,$A33-'Outil Cibles'!H$7&gt;0), 'Outil Cibles'!H$21, IF(AND($A33-'Outil Cibles'!H$7&lt;=40, $A33-'Outil Cibles'!H$7&gt;0), 'Outil Cibles'!H$22, 0)))</f>
        <v>2.8187471118968008</v>
      </c>
      <c r="G33" s="23">
        <f>IF($A33='Outil Cibles'!I$7, 'Outil Cibles'!I$21, IF(AND($A33-'Outil Cibles'!I$7&lt;=20,$A33-'Outil Cibles'!I$7&gt;0), 'Outil Cibles'!I$21, IF(AND($A33-'Outil Cibles'!I$7&lt;=40, $A33-'Outil Cibles'!I$7&gt;0), 'Outil Cibles'!I$22, 0)))</f>
        <v>2.3732147362230469</v>
      </c>
      <c r="H33" s="23">
        <f>IF($A33='Outil Cibles'!J$7, 'Outil Cibles'!J$21, IF(AND($A33-'Outil Cibles'!J$7&lt;=20,$A33-'Outil Cibles'!J$7&gt;0), 'Outil Cibles'!J$21, IF(AND($A33-'Outil Cibles'!J$7&lt;=40, $A33-'Outil Cibles'!J$7&gt;0), 'Outil Cibles'!J$22, 0)))</f>
        <v>1.9454894525084028</v>
      </c>
      <c r="I33" s="23">
        <f>IF($A33='Outil Cibles'!K$7, 'Outil Cibles'!K$21, IF(AND($A33-'Outil Cibles'!K$7&lt;=20,$A33-'Outil Cibles'!K$7&gt;0), 'Outil Cibles'!K$21, IF(AND($A33-'Outil Cibles'!K$7&lt;=40, $A33-'Outil Cibles'!K$7&gt;0), 'Outil Cibles'!K$22, 0)))</f>
        <v>1.4857888961774444</v>
      </c>
      <c r="J33" s="23">
        <f>IF($A33='Outil Cibles'!L$7, 'Outil Cibles'!L$21, IF(AND($A33-'Outil Cibles'!L$7&lt;=20,$A33-'Outil Cibles'!L$7&gt;0), 'Outil Cibles'!L$21, IF(AND($A33-'Outil Cibles'!L$7&lt;=40, $A33-'Outil Cibles'!L$7&gt;0), 'Outil Cibles'!L$22, 0)))</f>
        <v>0.56998405015544618</v>
      </c>
      <c r="K33" s="23">
        <f>IF($A33='Outil Cibles'!M$7, 'Outil Cibles'!M$21, IF(AND($A33-'Outil Cibles'!M$7&lt;=20,$A33-'Outil Cibles'!M$7&gt;0), 'Outil Cibles'!M$21, IF(AND($A33-'Outil Cibles'!M$7&lt;=40, $A33-'Outil Cibles'!M$7&gt;0), 'Outil Cibles'!M$22, 0)))</f>
        <v>0.28322332478112072</v>
      </c>
      <c r="L33" s="23">
        <f t="shared" si="2"/>
        <v>19.667042632667211</v>
      </c>
      <c r="N33" s="10">
        <v>2050</v>
      </c>
      <c r="O33">
        <f>B33*'Outil Cibles'!$D$8</f>
        <v>414.69957764721318</v>
      </c>
      <c r="P33">
        <f>C33*'Outil Cibles'!$E$8</f>
        <v>999.44040982840659</v>
      </c>
      <c r="Q33">
        <f>D33*'Outil Cibles'!$F$8</f>
        <v>5185.0137535102594</v>
      </c>
      <c r="R33">
        <f>E33*'Outil Cibles'!$G$8</f>
        <v>3591.4413199390674</v>
      </c>
      <c r="S33">
        <f>F33*'Outil Cibles'!$H$8</f>
        <v>2818.747111896801</v>
      </c>
      <c r="T33">
        <f>G33*'Outil Cibles'!$I$8</f>
        <v>2373.2147362230471</v>
      </c>
      <c r="U33">
        <f>H33*'Outil Cibles'!$J$8</f>
        <v>1945.4894525084028</v>
      </c>
      <c r="V33">
        <f>I33*'Outil Cibles'!$K$8</f>
        <v>1485.7888961774443</v>
      </c>
      <c r="W33">
        <f>J33*'Outil Cibles'!$L$8</f>
        <v>569.9840501554462</v>
      </c>
      <c r="X33">
        <f>K33*'Outil Cibles'!$M$8</f>
        <v>283.22332478112071</v>
      </c>
      <c r="Y33">
        <f t="shared" si="3"/>
        <v>19667.042632667206</v>
      </c>
    </row>
    <row r="34" spans="1:25" x14ac:dyDescent="0.3">
      <c r="A34">
        <v>2051</v>
      </c>
      <c r="B34" s="23">
        <f>IF($A34='Outil Cibles'!D$7, 'Outil Cibles'!D$21, IF(AND($A34-'Outil Cibles'!D$7&lt;=20,$A34-'Outil Cibles'!D$7&gt;0), 'Outil Cibles'!D$21, IF(AND($A34-'Outil Cibles'!D$7&lt;=40, $A34-'Outil Cibles'!D$7&gt;0), 'Outil Cibles'!D$22, 0)))</f>
        <v>0.41469957764721316</v>
      </c>
      <c r="C34" s="23">
        <f>IF($A34='Outil Cibles'!E$7, 'Outil Cibles'!E$21, IF(AND($A34-'Outil Cibles'!E$7&lt;=20,$A34-'Outil Cibles'!E$7&gt;0), 'Outil Cibles'!E$21, IF(AND($A34-'Outil Cibles'!E$7&lt;=40, $A34-'Outil Cibles'!E$7&gt;0), 'Outil Cibles'!E$22, 0)))</f>
        <v>0.99944040982840654</v>
      </c>
      <c r="D34" s="23">
        <f>IF($A34='Outil Cibles'!F$7, 'Outil Cibles'!F$21, IF(AND($A34-'Outil Cibles'!F$7&lt;=20,$A34-'Outil Cibles'!F$7&gt;0), 'Outil Cibles'!F$21, IF(AND($A34-'Outil Cibles'!F$7&lt;=40, $A34-'Outil Cibles'!F$7&gt;0), 'Outil Cibles'!F$22, 0)))</f>
        <v>0.28322332478112072</v>
      </c>
      <c r="E34" s="23">
        <f>IF($A34='Outil Cibles'!G$7, 'Outil Cibles'!G$21, IF(AND($A34-'Outil Cibles'!G$7&lt;=20,$A34-'Outil Cibles'!G$7&gt;0), 'Outil Cibles'!G$21, IF(AND($A34-'Outil Cibles'!G$7&lt;=40, $A34-'Outil Cibles'!G$7&gt;0), 'Outil Cibles'!G$22, 0)))</f>
        <v>3.5914413199390673</v>
      </c>
      <c r="F34" s="23">
        <f>IF($A34='Outil Cibles'!H$7, 'Outil Cibles'!H$21, IF(AND($A34-'Outil Cibles'!H$7&lt;=20,$A34-'Outil Cibles'!H$7&gt;0), 'Outil Cibles'!H$21, IF(AND($A34-'Outil Cibles'!H$7&lt;=40, $A34-'Outil Cibles'!H$7&gt;0), 'Outil Cibles'!H$22, 0)))</f>
        <v>2.8187471118968008</v>
      </c>
      <c r="G34" s="23">
        <f>IF($A34='Outil Cibles'!I$7, 'Outil Cibles'!I$21, IF(AND($A34-'Outil Cibles'!I$7&lt;=20,$A34-'Outil Cibles'!I$7&gt;0), 'Outil Cibles'!I$21, IF(AND($A34-'Outil Cibles'!I$7&lt;=40, $A34-'Outil Cibles'!I$7&gt;0), 'Outil Cibles'!I$22, 0)))</f>
        <v>2.3732147362230469</v>
      </c>
      <c r="H34" s="23">
        <f>IF($A34='Outil Cibles'!J$7, 'Outil Cibles'!J$21, IF(AND($A34-'Outil Cibles'!J$7&lt;=20,$A34-'Outil Cibles'!J$7&gt;0), 'Outil Cibles'!J$21, IF(AND($A34-'Outil Cibles'!J$7&lt;=40, $A34-'Outil Cibles'!J$7&gt;0), 'Outil Cibles'!J$22, 0)))</f>
        <v>1.9454894525084028</v>
      </c>
      <c r="I34" s="23">
        <f>IF($A34='Outil Cibles'!K$7, 'Outil Cibles'!K$21, IF(AND($A34-'Outil Cibles'!K$7&lt;=20,$A34-'Outil Cibles'!K$7&gt;0), 'Outil Cibles'!K$21, IF(AND($A34-'Outil Cibles'!K$7&lt;=40, $A34-'Outil Cibles'!K$7&gt;0), 'Outil Cibles'!K$22, 0)))</f>
        <v>1.4857888961774444</v>
      </c>
      <c r="J34" s="23">
        <f>IF($A34='Outil Cibles'!L$7, 'Outil Cibles'!L$21, IF(AND($A34-'Outil Cibles'!L$7&lt;=20,$A34-'Outil Cibles'!L$7&gt;0), 'Outil Cibles'!L$21, IF(AND($A34-'Outil Cibles'!L$7&lt;=40, $A34-'Outil Cibles'!L$7&gt;0), 'Outil Cibles'!L$22, 0)))</f>
        <v>0.56998405015544618</v>
      </c>
      <c r="K34" s="23">
        <f>IF($A34='Outil Cibles'!M$7, 'Outil Cibles'!M$21, IF(AND($A34-'Outil Cibles'!M$7&lt;=20,$A34-'Outil Cibles'!M$7&gt;0), 'Outil Cibles'!M$21, IF(AND($A34-'Outil Cibles'!M$7&lt;=40, $A34-'Outil Cibles'!M$7&gt;0), 'Outil Cibles'!M$22, 0)))</f>
        <v>0.28322332478112072</v>
      </c>
      <c r="L34" s="23">
        <f t="shared" si="2"/>
        <v>14.765252203938068</v>
      </c>
      <c r="N34" s="10">
        <v>2051</v>
      </c>
      <c r="O34">
        <f>B34*'Outil Cibles'!$D$8</f>
        <v>414.69957764721318</v>
      </c>
      <c r="P34">
        <f>C34*'Outil Cibles'!$E$8</f>
        <v>999.44040982840659</v>
      </c>
      <c r="Q34">
        <f>D34*'Outil Cibles'!$F$8</f>
        <v>283.22332478112071</v>
      </c>
      <c r="R34">
        <f>E34*'Outil Cibles'!$G$8</f>
        <v>3591.4413199390674</v>
      </c>
      <c r="S34">
        <f>F34*'Outil Cibles'!$H$8</f>
        <v>2818.747111896801</v>
      </c>
      <c r="T34">
        <f>G34*'Outil Cibles'!$I$8</f>
        <v>2373.2147362230471</v>
      </c>
      <c r="U34">
        <f>H34*'Outil Cibles'!$J$8</f>
        <v>1945.4894525084028</v>
      </c>
      <c r="V34">
        <f>I34*'Outil Cibles'!$K$8</f>
        <v>1485.7888961774443</v>
      </c>
      <c r="W34">
        <f>J34*'Outil Cibles'!$L$8</f>
        <v>569.9840501554462</v>
      </c>
      <c r="X34">
        <f>K34*'Outil Cibles'!$M$8</f>
        <v>283.22332478112071</v>
      </c>
      <c r="Y34">
        <f t="shared" si="3"/>
        <v>14765.252203938067</v>
      </c>
    </row>
    <row r="35" spans="1:25" x14ac:dyDescent="0.3">
      <c r="A35">
        <v>2052</v>
      </c>
      <c r="B35" s="23">
        <f>IF($A35='Outil Cibles'!D$7, 'Outil Cibles'!D$21, IF(AND($A35-'Outil Cibles'!D$7&lt;=20,$A35-'Outil Cibles'!D$7&gt;0), 'Outil Cibles'!D$21, IF(AND($A35-'Outil Cibles'!D$7&lt;=40, $A35-'Outil Cibles'!D$7&gt;0), 'Outil Cibles'!D$22, 0)))</f>
        <v>0.41469957764721316</v>
      </c>
      <c r="C35" s="23">
        <f>IF($A35='Outil Cibles'!E$7, 'Outil Cibles'!E$21, IF(AND($A35-'Outil Cibles'!E$7&lt;=20,$A35-'Outil Cibles'!E$7&gt;0), 'Outil Cibles'!E$21, IF(AND($A35-'Outil Cibles'!E$7&lt;=40, $A35-'Outil Cibles'!E$7&gt;0), 'Outil Cibles'!E$22, 0)))</f>
        <v>0.99944040982840654</v>
      </c>
      <c r="D35" s="23">
        <f>IF($A35='Outil Cibles'!F$7, 'Outil Cibles'!F$21, IF(AND($A35-'Outil Cibles'!F$7&lt;=20,$A35-'Outil Cibles'!F$7&gt;0), 'Outil Cibles'!F$21, IF(AND($A35-'Outil Cibles'!F$7&lt;=40, $A35-'Outil Cibles'!F$7&gt;0), 'Outil Cibles'!F$22, 0)))</f>
        <v>0.28322332478112072</v>
      </c>
      <c r="E35" s="23">
        <f>IF($A35='Outil Cibles'!G$7, 'Outil Cibles'!G$21, IF(AND($A35-'Outil Cibles'!G$7&lt;=20,$A35-'Outil Cibles'!G$7&gt;0), 'Outil Cibles'!G$21, IF(AND($A35-'Outil Cibles'!G$7&lt;=40, $A35-'Outil Cibles'!G$7&gt;0), 'Outil Cibles'!G$22, 0)))</f>
        <v>3.5914413199390673</v>
      </c>
      <c r="F35" s="23">
        <f>IF($A35='Outil Cibles'!H$7, 'Outil Cibles'!H$21, IF(AND($A35-'Outil Cibles'!H$7&lt;=20,$A35-'Outil Cibles'!H$7&gt;0), 'Outil Cibles'!H$21, IF(AND($A35-'Outil Cibles'!H$7&lt;=40, $A35-'Outil Cibles'!H$7&gt;0), 'Outil Cibles'!H$22, 0)))</f>
        <v>2.8187471118968008</v>
      </c>
      <c r="G35" s="23">
        <f>IF($A35='Outil Cibles'!I$7, 'Outil Cibles'!I$21, IF(AND($A35-'Outil Cibles'!I$7&lt;=20,$A35-'Outil Cibles'!I$7&gt;0), 'Outil Cibles'!I$21, IF(AND($A35-'Outil Cibles'!I$7&lt;=40, $A35-'Outil Cibles'!I$7&gt;0), 'Outil Cibles'!I$22, 0)))</f>
        <v>2.3732147362230469</v>
      </c>
      <c r="H35" s="23">
        <f>IF($A35='Outil Cibles'!J$7, 'Outil Cibles'!J$21, IF(AND($A35-'Outil Cibles'!J$7&lt;=20,$A35-'Outil Cibles'!J$7&gt;0), 'Outil Cibles'!J$21, IF(AND($A35-'Outil Cibles'!J$7&lt;=40, $A35-'Outil Cibles'!J$7&gt;0), 'Outil Cibles'!J$22, 0)))</f>
        <v>1.9454894525084028</v>
      </c>
      <c r="I35" s="23">
        <f>IF($A35='Outil Cibles'!K$7, 'Outil Cibles'!K$21, IF(AND($A35-'Outil Cibles'!K$7&lt;=20,$A35-'Outil Cibles'!K$7&gt;0), 'Outil Cibles'!K$21, IF(AND($A35-'Outil Cibles'!K$7&lt;=40, $A35-'Outil Cibles'!K$7&gt;0), 'Outil Cibles'!K$22, 0)))</f>
        <v>1.4857888961774444</v>
      </c>
      <c r="J35" s="23">
        <f>IF($A35='Outil Cibles'!L$7, 'Outil Cibles'!L$21, IF(AND($A35-'Outil Cibles'!L$7&lt;=20,$A35-'Outil Cibles'!L$7&gt;0), 'Outil Cibles'!L$21, IF(AND($A35-'Outil Cibles'!L$7&lt;=40, $A35-'Outil Cibles'!L$7&gt;0), 'Outil Cibles'!L$22, 0)))</f>
        <v>0.56998405015544618</v>
      </c>
      <c r="K35" s="23">
        <f>IF($A35='Outil Cibles'!M$7, 'Outil Cibles'!M$21, IF(AND($A35-'Outil Cibles'!M$7&lt;=20,$A35-'Outil Cibles'!M$7&gt;0), 'Outil Cibles'!M$21, IF(AND($A35-'Outil Cibles'!M$7&lt;=40, $A35-'Outil Cibles'!M$7&gt;0), 'Outil Cibles'!M$22, 0)))</f>
        <v>0.28322332478112072</v>
      </c>
      <c r="L35" s="23">
        <f t="shared" si="2"/>
        <v>14.765252203938068</v>
      </c>
      <c r="N35">
        <v>2052</v>
      </c>
      <c r="O35">
        <f>B35*'Outil Cibles'!$D$8</f>
        <v>414.69957764721318</v>
      </c>
      <c r="P35">
        <f>C35*'Outil Cibles'!$E$8</f>
        <v>999.44040982840659</v>
      </c>
      <c r="Q35">
        <f>D35*'Outil Cibles'!$F$8</f>
        <v>283.22332478112071</v>
      </c>
      <c r="R35">
        <f>E35*'Outil Cibles'!$G$8</f>
        <v>3591.4413199390674</v>
      </c>
      <c r="S35">
        <f>F35*'Outil Cibles'!$H$8</f>
        <v>2818.747111896801</v>
      </c>
      <c r="T35">
        <f>G35*'Outil Cibles'!$I$8</f>
        <v>2373.2147362230471</v>
      </c>
      <c r="U35">
        <f>H35*'Outil Cibles'!$J$8</f>
        <v>1945.4894525084028</v>
      </c>
      <c r="V35">
        <f>I35*'Outil Cibles'!$K$8</f>
        <v>1485.7888961774443</v>
      </c>
      <c r="W35">
        <f>J35*'Outil Cibles'!$L$8</f>
        <v>569.9840501554462</v>
      </c>
      <c r="X35">
        <f>K35*'Outil Cibles'!$M$8</f>
        <v>283.22332478112071</v>
      </c>
      <c r="Y35">
        <f t="shared" si="3"/>
        <v>14765.252203938067</v>
      </c>
    </row>
    <row r="36" spans="1:25" x14ac:dyDescent="0.3">
      <c r="A36">
        <v>2053</v>
      </c>
      <c r="B36" s="23">
        <f>IF($A36='Outil Cibles'!D$7, 'Outil Cibles'!D$21, IF(AND($A36-'Outil Cibles'!D$7&lt;=20,$A36-'Outil Cibles'!D$7&gt;0), 'Outil Cibles'!D$21, IF(AND($A36-'Outil Cibles'!D$7&lt;=40, $A36-'Outil Cibles'!D$7&gt;0), 'Outil Cibles'!D$22, 0)))</f>
        <v>0.41469957764721316</v>
      </c>
      <c r="C36" s="23">
        <f>IF($A36='Outil Cibles'!E$7, 'Outil Cibles'!E$21, IF(AND($A36-'Outil Cibles'!E$7&lt;=20,$A36-'Outil Cibles'!E$7&gt;0), 'Outil Cibles'!E$21, IF(AND($A36-'Outil Cibles'!E$7&lt;=40, $A36-'Outil Cibles'!E$7&gt;0), 'Outil Cibles'!E$22, 0)))</f>
        <v>0.99944040982840654</v>
      </c>
      <c r="D36" s="23">
        <f>IF($A36='Outil Cibles'!F$7, 'Outil Cibles'!F$21, IF(AND($A36-'Outil Cibles'!F$7&lt;=20,$A36-'Outil Cibles'!F$7&gt;0), 'Outil Cibles'!F$21, IF(AND($A36-'Outil Cibles'!F$7&lt;=40, $A36-'Outil Cibles'!F$7&gt;0), 'Outil Cibles'!F$22, 0)))</f>
        <v>0.28322332478112072</v>
      </c>
      <c r="E36" s="23">
        <f>IF($A36='Outil Cibles'!G$7, 'Outil Cibles'!G$21, IF(AND($A36-'Outil Cibles'!G$7&lt;=20,$A36-'Outil Cibles'!G$7&gt;0), 'Outil Cibles'!G$21, IF(AND($A36-'Outil Cibles'!G$7&lt;=40, $A36-'Outil Cibles'!G$7&gt;0), 'Outil Cibles'!G$22, 0)))</f>
        <v>3.5914413199390673</v>
      </c>
      <c r="F36" s="23">
        <f>IF($A36='Outil Cibles'!H$7, 'Outil Cibles'!H$21, IF(AND($A36-'Outil Cibles'!H$7&lt;=20,$A36-'Outil Cibles'!H$7&gt;0), 'Outil Cibles'!H$21, IF(AND($A36-'Outil Cibles'!H$7&lt;=40, $A36-'Outil Cibles'!H$7&gt;0), 'Outil Cibles'!H$22, 0)))</f>
        <v>2.8187471118968008</v>
      </c>
      <c r="G36" s="23">
        <f>IF($A36='Outil Cibles'!I$7, 'Outil Cibles'!I$21, IF(AND($A36-'Outil Cibles'!I$7&lt;=20,$A36-'Outil Cibles'!I$7&gt;0), 'Outil Cibles'!I$21, IF(AND($A36-'Outil Cibles'!I$7&lt;=40, $A36-'Outil Cibles'!I$7&gt;0), 'Outil Cibles'!I$22, 0)))</f>
        <v>2.3732147362230469</v>
      </c>
      <c r="H36" s="23">
        <f>IF($A36='Outil Cibles'!J$7, 'Outil Cibles'!J$21, IF(AND($A36-'Outil Cibles'!J$7&lt;=20,$A36-'Outil Cibles'!J$7&gt;0), 'Outil Cibles'!J$21, IF(AND($A36-'Outil Cibles'!J$7&lt;=40, $A36-'Outil Cibles'!J$7&gt;0), 'Outil Cibles'!J$22, 0)))</f>
        <v>1.9454894525084028</v>
      </c>
      <c r="I36" s="23">
        <f>IF($A36='Outil Cibles'!K$7, 'Outil Cibles'!K$21, IF(AND($A36-'Outil Cibles'!K$7&lt;=20,$A36-'Outil Cibles'!K$7&gt;0), 'Outil Cibles'!K$21, IF(AND($A36-'Outil Cibles'!K$7&lt;=40, $A36-'Outil Cibles'!K$7&gt;0), 'Outil Cibles'!K$22, 0)))</f>
        <v>1.4857888961774444</v>
      </c>
      <c r="J36" s="23">
        <f>IF($A36='Outil Cibles'!L$7, 'Outil Cibles'!L$21, IF(AND($A36-'Outil Cibles'!L$7&lt;=20,$A36-'Outil Cibles'!L$7&gt;0), 'Outil Cibles'!L$21, IF(AND($A36-'Outil Cibles'!L$7&lt;=40, $A36-'Outil Cibles'!L$7&gt;0), 'Outil Cibles'!L$22, 0)))</f>
        <v>0.56998405015544618</v>
      </c>
      <c r="K36" s="23">
        <f>IF($A36='Outil Cibles'!M$7, 'Outil Cibles'!M$21, IF(AND($A36-'Outil Cibles'!M$7&lt;=20,$A36-'Outil Cibles'!M$7&gt;0), 'Outil Cibles'!M$21, IF(AND($A36-'Outil Cibles'!M$7&lt;=40, $A36-'Outil Cibles'!M$7&gt;0), 'Outil Cibles'!M$22, 0)))</f>
        <v>0.28322332478112072</v>
      </c>
      <c r="L36" s="23">
        <f t="shared" si="2"/>
        <v>14.765252203938068</v>
      </c>
      <c r="N36">
        <v>2053</v>
      </c>
      <c r="O36">
        <f>B36*'Outil Cibles'!$D$8</f>
        <v>414.69957764721318</v>
      </c>
      <c r="P36">
        <f>C36*'Outil Cibles'!$E$8</f>
        <v>999.44040982840659</v>
      </c>
      <c r="Q36">
        <f>D36*'Outil Cibles'!$F$8</f>
        <v>283.22332478112071</v>
      </c>
      <c r="R36">
        <f>E36*'Outil Cibles'!$G$8</f>
        <v>3591.4413199390674</v>
      </c>
      <c r="S36">
        <f>F36*'Outil Cibles'!$H$8</f>
        <v>2818.747111896801</v>
      </c>
      <c r="T36">
        <f>G36*'Outil Cibles'!$I$8</f>
        <v>2373.2147362230471</v>
      </c>
      <c r="U36">
        <f>H36*'Outil Cibles'!$J$8</f>
        <v>1945.4894525084028</v>
      </c>
      <c r="V36">
        <f>I36*'Outil Cibles'!$K$8</f>
        <v>1485.7888961774443</v>
      </c>
      <c r="W36">
        <f>J36*'Outil Cibles'!$L$8</f>
        <v>569.9840501554462</v>
      </c>
      <c r="X36">
        <f>K36*'Outil Cibles'!$M$8</f>
        <v>283.22332478112071</v>
      </c>
      <c r="Y36">
        <f t="shared" si="3"/>
        <v>14765.252203938067</v>
      </c>
    </row>
    <row r="37" spans="1:25" x14ac:dyDescent="0.3">
      <c r="A37">
        <v>2054</v>
      </c>
      <c r="B37" s="23">
        <f>IF($A37='Outil Cibles'!D$7, 'Outil Cibles'!D$21, IF(AND($A37-'Outil Cibles'!D$7&lt;=20,$A37-'Outil Cibles'!D$7&gt;0), 'Outil Cibles'!D$21, IF(AND($A37-'Outil Cibles'!D$7&lt;=40, $A37-'Outil Cibles'!D$7&gt;0), 'Outil Cibles'!D$22, 0)))</f>
        <v>0.41469957764721316</v>
      </c>
      <c r="C37" s="23">
        <f>IF($A37='Outil Cibles'!E$7, 'Outil Cibles'!E$21, IF(AND($A37-'Outil Cibles'!E$7&lt;=20,$A37-'Outil Cibles'!E$7&gt;0), 'Outil Cibles'!E$21, IF(AND($A37-'Outil Cibles'!E$7&lt;=40, $A37-'Outil Cibles'!E$7&gt;0), 'Outil Cibles'!E$22, 0)))</f>
        <v>0.99944040982840654</v>
      </c>
      <c r="D37" s="23">
        <f>IF($A37='Outil Cibles'!F$7, 'Outil Cibles'!F$21, IF(AND($A37-'Outil Cibles'!F$7&lt;=20,$A37-'Outil Cibles'!F$7&gt;0), 'Outil Cibles'!F$21, IF(AND($A37-'Outil Cibles'!F$7&lt;=40, $A37-'Outil Cibles'!F$7&gt;0), 'Outil Cibles'!F$22, 0)))</f>
        <v>0.28322332478112072</v>
      </c>
      <c r="E37" s="23">
        <f>IF($A37='Outil Cibles'!G$7, 'Outil Cibles'!G$21, IF(AND($A37-'Outil Cibles'!G$7&lt;=20,$A37-'Outil Cibles'!G$7&gt;0), 'Outil Cibles'!G$21, IF(AND($A37-'Outil Cibles'!G$7&lt;=40, $A37-'Outil Cibles'!G$7&gt;0), 'Outil Cibles'!G$22, 0)))</f>
        <v>3.5914413199390673</v>
      </c>
      <c r="F37" s="23">
        <f>IF($A37='Outil Cibles'!H$7, 'Outil Cibles'!H$21, IF(AND($A37-'Outil Cibles'!H$7&lt;=20,$A37-'Outil Cibles'!H$7&gt;0), 'Outil Cibles'!H$21, IF(AND($A37-'Outil Cibles'!H$7&lt;=40, $A37-'Outil Cibles'!H$7&gt;0), 'Outil Cibles'!H$22, 0)))</f>
        <v>2.8187471118968008</v>
      </c>
      <c r="G37" s="23">
        <f>IF($A37='Outil Cibles'!I$7, 'Outil Cibles'!I$21, IF(AND($A37-'Outil Cibles'!I$7&lt;=20,$A37-'Outil Cibles'!I$7&gt;0), 'Outil Cibles'!I$21, IF(AND($A37-'Outil Cibles'!I$7&lt;=40, $A37-'Outil Cibles'!I$7&gt;0), 'Outil Cibles'!I$22, 0)))</f>
        <v>2.3732147362230469</v>
      </c>
      <c r="H37" s="23">
        <f>IF($A37='Outil Cibles'!J$7, 'Outil Cibles'!J$21, IF(AND($A37-'Outil Cibles'!J$7&lt;=20,$A37-'Outil Cibles'!J$7&gt;0), 'Outil Cibles'!J$21, IF(AND($A37-'Outil Cibles'!J$7&lt;=40, $A37-'Outil Cibles'!J$7&gt;0), 'Outil Cibles'!J$22, 0)))</f>
        <v>1.9454894525084028</v>
      </c>
      <c r="I37" s="23">
        <f>IF($A37='Outil Cibles'!K$7, 'Outil Cibles'!K$21, IF(AND($A37-'Outil Cibles'!K$7&lt;=20,$A37-'Outil Cibles'!K$7&gt;0), 'Outil Cibles'!K$21, IF(AND($A37-'Outil Cibles'!K$7&lt;=40, $A37-'Outil Cibles'!K$7&gt;0), 'Outil Cibles'!K$22, 0)))</f>
        <v>1.4857888961774444</v>
      </c>
      <c r="J37" s="23">
        <f>IF($A37='Outil Cibles'!L$7, 'Outil Cibles'!L$21, IF(AND($A37-'Outil Cibles'!L$7&lt;=20,$A37-'Outil Cibles'!L$7&gt;0), 'Outil Cibles'!L$21, IF(AND($A37-'Outil Cibles'!L$7&lt;=40, $A37-'Outil Cibles'!L$7&gt;0), 'Outil Cibles'!L$22, 0)))</f>
        <v>0.56998405015544618</v>
      </c>
      <c r="K37" s="23">
        <f>IF($A37='Outil Cibles'!M$7, 'Outil Cibles'!M$21, IF(AND($A37-'Outil Cibles'!M$7&lt;=20,$A37-'Outil Cibles'!M$7&gt;0), 'Outil Cibles'!M$21, IF(AND($A37-'Outil Cibles'!M$7&lt;=40, $A37-'Outil Cibles'!M$7&gt;0), 'Outil Cibles'!M$22, 0)))</f>
        <v>0.28322332478112072</v>
      </c>
      <c r="L37" s="23">
        <f t="shared" si="2"/>
        <v>14.765252203938068</v>
      </c>
      <c r="N37">
        <v>2054</v>
      </c>
      <c r="O37">
        <f>B37*'Outil Cibles'!$D$8</f>
        <v>414.69957764721318</v>
      </c>
      <c r="P37">
        <f>C37*'Outil Cibles'!$E$8</f>
        <v>999.44040982840659</v>
      </c>
      <c r="Q37">
        <f>D37*'Outil Cibles'!$F$8</f>
        <v>283.22332478112071</v>
      </c>
      <c r="R37">
        <f>E37*'Outil Cibles'!$G$8</f>
        <v>3591.4413199390674</v>
      </c>
      <c r="S37">
        <f>F37*'Outil Cibles'!$H$8</f>
        <v>2818.747111896801</v>
      </c>
      <c r="T37">
        <f>G37*'Outil Cibles'!$I$8</f>
        <v>2373.2147362230471</v>
      </c>
      <c r="U37">
        <f>H37*'Outil Cibles'!$J$8</f>
        <v>1945.4894525084028</v>
      </c>
      <c r="V37">
        <f>I37*'Outil Cibles'!$K$8</f>
        <v>1485.7888961774443</v>
      </c>
      <c r="W37">
        <f>J37*'Outil Cibles'!$L$8</f>
        <v>569.9840501554462</v>
      </c>
      <c r="X37">
        <f>K37*'Outil Cibles'!$M$8</f>
        <v>283.22332478112071</v>
      </c>
      <c r="Y37">
        <f t="shared" si="3"/>
        <v>14765.252203938067</v>
      </c>
    </row>
    <row r="38" spans="1:25" x14ac:dyDescent="0.3">
      <c r="A38" s="10">
        <v>2055</v>
      </c>
      <c r="B38" s="23">
        <f>IF($A38='Outil Cibles'!D$7, 'Outil Cibles'!D$21, IF(AND($A38-'Outil Cibles'!D$7&lt;=20,$A38-'Outil Cibles'!D$7&gt;0), 'Outil Cibles'!D$21, IF(AND($A38-'Outil Cibles'!D$7&lt;=40, $A38-'Outil Cibles'!D$7&gt;0), 'Outil Cibles'!D$22, 0)))</f>
        <v>0.41469957764721316</v>
      </c>
      <c r="C38" s="23">
        <f>IF($A38='Outil Cibles'!E$7, 'Outil Cibles'!E$21, IF(AND($A38-'Outil Cibles'!E$7&lt;=20,$A38-'Outil Cibles'!E$7&gt;0), 'Outil Cibles'!E$21, IF(AND($A38-'Outil Cibles'!E$7&lt;=40, $A38-'Outil Cibles'!E$7&gt;0), 'Outil Cibles'!E$22, 0)))</f>
        <v>0.99944040982840654</v>
      </c>
      <c r="D38" s="23">
        <f>IF($A38='Outil Cibles'!F$7, 'Outil Cibles'!F$21, IF(AND($A38-'Outil Cibles'!F$7&lt;=20,$A38-'Outil Cibles'!F$7&gt;0), 'Outil Cibles'!F$21, IF(AND($A38-'Outil Cibles'!F$7&lt;=40, $A38-'Outil Cibles'!F$7&gt;0), 'Outil Cibles'!F$22, 0)))</f>
        <v>0.28322332478112072</v>
      </c>
      <c r="E38" s="23">
        <f>IF($A38='Outil Cibles'!G$7, 'Outil Cibles'!G$21, IF(AND($A38-'Outil Cibles'!G$7&lt;=20,$A38-'Outil Cibles'!G$7&gt;0), 'Outil Cibles'!G$21, IF(AND($A38-'Outil Cibles'!G$7&lt;=40, $A38-'Outil Cibles'!G$7&gt;0), 'Outil Cibles'!G$22, 0)))</f>
        <v>3.5914413199390673</v>
      </c>
      <c r="F38" s="23">
        <f>IF($A38='Outil Cibles'!H$7, 'Outil Cibles'!H$21, IF(AND($A38-'Outil Cibles'!H$7&lt;=20,$A38-'Outil Cibles'!H$7&gt;0), 'Outil Cibles'!H$21, IF(AND($A38-'Outil Cibles'!H$7&lt;=40, $A38-'Outil Cibles'!H$7&gt;0), 'Outil Cibles'!H$22, 0)))</f>
        <v>2.8187471118968008</v>
      </c>
      <c r="G38" s="23">
        <f>IF($A38='Outil Cibles'!I$7, 'Outil Cibles'!I$21, IF(AND($A38-'Outil Cibles'!I$7&lt;=20,$A38-'Outil Cibles'!I$7&gt;0), 'Outil Cibles'!I$21, IF(AND($A38-'Outil Cibles'!I$7&lt;=40, $A38-'Outil Cibles'!I$7&gt;0), 'Outil Cibles'!I$22, 0)))</f>
        <v>2.3732147362230469</v>
      </c>
      <c r="H38" s="23">
        <f>IF($A38='Outil Cibles'!J$7, 'Outil Cibles'!J$21, IF(AND($A38-'Outil Cibles'!J$7&lt;=20,$A38-'Outil Cibles'!J$7&gt;0), 'Outil Cibles'!J$21, IF(AND($A38-'Outil Cibles'!J$7&lt;=40, $A38-'Outil Cibles'!J$7&gt;0), 'Outil Cibles'!J$22, 0)))</f>
        <v>1.9454894525084028</v>
      </c>
      <c r="I38" s="23">
        <f>IF($A38='Outil Cibles'!K$7, 'Outil Cibles'!K$21, IF(AND($A38-'Outil Cibles'!K$7&lt;=20,$A38-'Outil Cibles'!K$7&gt;0), 'Outil Cibles'!K$21, IF(AND($A38-'Outil Cibles'!K$7&lt;=40, $A38-'Outil Cibles'!K$7&gt;0), 'Outil Cibles'!K$22, 0)))</f>
        <v>1.4857888961774444</v>
      </c>
      <c r="J38" s="23">
        <f>IF($A38='Outil Cibles'!L$7, 'Outil Cibles'!L$21, IF(AND($A38-'Outil Cibles'!L$7&lt;=20,$A38-'Outil Cibles'!L$7&gt;0), 'Outil Cibles'!L$21, IF(AND($A38-'Outil Cibles'!L$7&lt;=40, $A38-'Outil Cibles'!L$7&gt;0), 'Outil Cibles'!L$22, 0)))</f>
        <v>0.56998405015544618</v>
      </c>
      <c r="K38" s="23">
        <f>IF($A38='Outil Cibles'!M$7, 'Outil Cibles'!M$21, IF(AND($A38-'Outil Cibles'!M$7&lt;=20,$A38-'Outil Cibles'!M$7&gt;0), 'Outil Cibles'!M$21, IF(AND($A38-'Outil Cibles'!M$7&lt;=40, $A38-'Outil Cibles'!M$7&gt;0), 'Outil Cibles'!M$22, 0)))</f>
        <v>0.28322332478112072</v>
      </c>
      <c r="L38" s="23">
        <f t="shared" si="2"/>
        <v>14.765252203938068</v>
      </c>
      <c r="N38">
        <v>2055</v>
      </c>
      <c r="O38">
        <f>B38*'Outil Cibles'!$D$8</f>
        <v>414.69957764721318</v>
      </c>
      <c r="P38">
        <f>C38*'Outil Cibles'!$E$8</f>
        <v>999.44040982840659</v>
      </c>
      <c r="Q38">
        <f>D38*'Outil Cibles'!$F$8</f>
        <v>283.22332478112071</v>
      </c>
      <c r="R38">
        <f>E38*'Outil Cibles'!$G$8</f>
        <v>3591.4413199390674</v>
      </c>
      <c r="S38">
        <f>F38*'Outil Cibles'!$H$8</f>
        <v>2818.747111896801</v>
      </c>
      <c r="T38">
        <f>G38*'Outil Cibles'!$I$8</f>
        <v>2373.2147362230471</v>
      </c>
      <c r="U38">
        <f>H38*'Outil Cibles'!$J$8</f>
        <v>1945.4894525084028</v>
      </c>
      <c r="V38">
        <f>I38*'Outil Cibles'!$K$8</f>
        <v>1485.7888961774443</v>
      </c>
      <c r="W38">
        <f>J38*'Outil Cibles'!$L$8</f>
        <v>569.9840501554462</v>
      </c>
      <c r="X38">
        <f>K38*'Outil Cibles'!$M$8</f>
        <v>283.22332478112071</v>
      </c>
      <c r="Y38">
        <f t="shared" si="3"/>
        <v>14765.252203938067</v>
      </c>
    </row>
    <row r="39" spans="1:25" x14ac:dyDescent="0.3">
      <c r="A39">
        <v>2056</v>
      </c>
      <c r="B39" s="23">
        <f>IF($A39='Outil Cibles'!D$7, 'Outil Cibles'!D$21, IF(AND($A39-'Outil Cibles'!D$7&lt;=20,$A39-'Outil Cibles'!D$7&gt;0), 'Outil Cibles'!D$21, IF(AND($A39-'Outil Cibles'!D$7&lt;=40, $A39-'Outil Cibles'!D$7&gt;0), 'Outil Cibles'!D$22, 0)))</f>
        <v>0.41469957764721316</v>
      </c>
      <c r="C39" s="23">
        <f>IF($A39='Outil Cibles'!E$7, 'Outil Cibles'!E$21, IF(AND($A39-'Outil Cibles'!E$7&lt;=20,$A39-'Outil Cibles'!E$7&gt;0), 'Outil Cibles'!E$21, IF(AND($A39-'Outil Cibles'!E$7&lt;=40, $A39-'Outil Cibles'!E$7&gt;0), 'Outil Cibles'!E$22, 0)))</f>
        <v>0.99944040982840654</v>
      </c>
      <c r="D39" s="23">
        <f>IF($A39='Outil Cibles'!F$7, 'Outil Cibles'!F$21, IF(AND($A39-'Outil Cibles'!F$7&lt;=20,$A39-'Outil Cibles'!F$7&gt;0), 'Outil Cibles'!F$21, IF(AND($A39-'Outil Cibles'!F$7&lt;=40, $A39-'Outil Cibles'!F$7&gt;0), 'Outil Cibles'!F$22, 0)))</f>
        <v>0.28322332478112072</v>
      </c>
      <c r="E39" s="23">
        <f>IF($A39='Outil Cibles'!G$7, 'Outil Cibles'!G$21, IF(AND($A39-'Outil Cibles'!G$7&lt;=20,$A39-'Outil Cibles'!G$7&gt;0), 'Outil Cibles'!G$21, IF(AND($A39-'Outil Cibles'!G$7&lt;=40, $A39-'Outil Cibles'!G$7&gt;0), 'Outil Cibles'!G$22, 0)))</f>
        <v>0</v>
      </c>
      <c r="F39" s="23">
        <f>IF($A39='Outil Cibles'!H$7, 'Outil Cibles'!H$21, IF(AND($A39-'Outil Cibles'!H$7&lt;=20,$A39-'Outil Cibles'!H$7&gt;0), 'Outil Cibles'!H$21, IF(AND($A39-'Outil Cibles'!H$7&lt;=40, $A39-'Outil Cibles'!H$7&gt;0), 'Outil Cibles'!H$22, 0)))</f>
        <v>2.8187471118968008</v>
      </c>
      <c r="G39" s="23">
        <f>IF($A39='Outil Cibles'!I$7, 'Outil Cibles'!I$21, IF(AND($A39-'Outil Cibles'!I$7&lt;=20,$A39-'Outil Cibles'!I$7&gt;0), 'Outil Cibles'!I$21, IF(AND($A39-'Outil Cibles'!I$7&lt;=40, $A39-'Outil Cibles'!I$7&gt;0), 'Outil Cibles'!I$22, 0)))</f>
        <v>2.3732147362230469</v>
      </c>
      <c r="H39" s="23">
        <f>IF($A39='Outil Cibles'!J$7, 'Outil Cibles'!J$21, IF(AND($A39-'Outil Cibles'!J$7&lt;=20,$A39-'Outil Cibles'!J$7&gt;0), 'Outil Cibles'!J$21, IF(AND($A39-'Outil Cibles'!J$7&lt;=40, $A39-'Outil Cibles'!J$7&gt;0), 'Outil Cibles'!J$22, 0)))</f>
        <v>1.9454894525084028</v>
      </c>
      <c r="I39" s="23">
        <f>IF($A39='Outil Cibles'!K$7, 'Outil Cibles'!K$21, IF(AND($A39-'Outil Cibles'!K$7&lt;=20,$A39-'Outil Cibles'!K$7&gt;0), 'Outil Cibles'!K$21, IF(AND($A39-'Outil Cibles'!K$7&lt;=40, $A39-'Outil Cibles'!K$7&gt;0), 'Outil Cibles'!K$22, 0)))</f>
        <v>1.4857888961774444</v>
      </c>
      <c r="J39" s="23">
        <f>IF($A39='Outil Cibles'!L$7, 'Outil Cibles'!L$21, IF(AND($A39-'Outil Cibles'!L$7&lt;=20,$A39-'Outil Cibles'!L$7&gt;0), 'Outil Cibles'!L$21, IF(AND($A39-'Outil Cibles'!L$7&lt;=40, $A39-'Outil Cibles'!L$7&gt;0), 'Outil Cibles'!L$22, 0)))</f>
        <v>0.56998405015544618</v>
      </c>
      <c r="K39" s="23">
        <f>IF($A39='Outil Cibles'!M$7, 'Outil Cibles'!M$21, IF(AND($A39-'Outil Cibles'!M$7&lt;=20,$A39-'Outil Cibles'!M$7&gt;0), 'Outil Cibles'!M$21, IF(AND($A39-'Outil Cibles'!M$7&lt;=40, $A39-'Outil Cibles'!M$7&gt;0), 'Outil Cibles'!M$22, 0)))</f>
        <v>0.28322332478112072</v>
      </c>
      <c r="L39" s="23">
        <f t="shared" si="2"/>
        <v>11.173810883999002</v>
      </c>
      <c r="N39" s="10">
        <v>2056</v>
      </c>
      <c r="O39">
        <f>B39*'Outil Cibles'!$D$8</f>
        <v>414.69957764721318</v>
      </c>
      <c r="P39">
        <f>C39*'Outil Cibles'!$E$8</f>
        <v>999.44040982840659</v>
      </c>
      <c r="Q39">
        <f>D39*'Outil Cibles'!$F$8</f>
        <v>283.22332478112071</v>
      </c>
      <c r="R39">
        <f>E39*'Outil Cibles'!$G$8</f>
        <v>0</v>
      </c>
      <c r="S39">
        <f>F39*'Outil Cibles'!$H$8</f>
        <v>2818.747111896801</v>
      </c>
      <c r="T39">
        <f>G39*'Outil Cibles'!$I$8</f>
        <v>2373.2147362230471</v>
      </c>
      <c r="U39">
        <f>H39*'Outil Cibles'!$J$8</f>
        <v>1945.4894525084028</v>
      </c>
      <c r="V39">
        <f>I39*'Outil Cibles'!$K$8</f>
        <v>1485.7888961774443</v>
      </c>
      <c r="W39">
        <f>J39*'Outil Cibles'!$L$8</f>
        <v>569.9840501554462</v>
      </c>
      <c r="X39">
        <f>K39*'Outil Cibles'!$M$8</f>
        <v>283.22332478112071</v>
      </c>
      <c r="Y39">
        <f t="shared" si="3"/>
        <v>11173.810883999002</v>
      </c>
    </row>
    <row r="40" spans="1:25" x14ac:dyDescent="0.3">
      <c r="A40">
        <v>2057</v>
      </c>
      <c r="B40" s="23">
        <f>IF($A40='Outil Cibles'!D$7, 'Outil Cibles'!D$21, IF(AND($A40-'Outil Cibles'!D$7&lt;=20,$A40-'Outil Cibles'!D$7&gt;0), 'Outil Cibles'!D$21, IF(AND($A40-'Outil Cibles'!D$7&lt;=40, $A40-'Outil Cibles'!D$7&gt;0), 'Outil Cibles'!D$22, 0)))</f>
        <v>0.41469957764721316</v>
      </c>
      <c r="C40" s="23">
        <f>IF($A40='Outil Cibles'!E$7, 'Outil Cibles'!E$21, IF(AND($A40-'Outil Cibles'!E$7&lt;=20,$A40-'Outil Cibles'!E$7&gt;0), 'Outil Cibles'!E$21, IF(AND($A40-'Outil Cibles'!E$7&lt;=40, $A40-'Outil Cibles'!E$7&gt;0), 'Outil Cibles'!E$22, 0)))</f>
        <v>0.99944040982840654</v>
      </c>
      <c r="D40" s="23">
        <f>IF($A40='Outil Cibles'!F$7, 'Outil Cibles'!F$21, IF(AND($A40-'Outil Cibles'!F$7&lt;=20,$A40-'Outil Cibles'!F$7&gt;0), 'Outil Cibles'!F$21, IF(AND($A40-'Outil Cibles'!F$7&lt;=40, $A40-'Outil Cibles'!F$7&gt;0), 'Outil Cibles'!F$22, 0)))</f>
        <v>0.28322332478112072</v>
      </c>
      <c r="E40" s="23">
        <f>IF($A40='Outil Cibles'!G$7, 'Outil Cibles'!G$21, IF(AND($A40-'Outil Cibles'!G$7&lt;=20,$A40-'Outil Cibles'!G$7&gt;0), 'Outil Cibles'!G$21, IF(AND($A40-'Outil Cibles'!G$7&lt;=40, $A40-'Outil Cibles'!G$7&gt;0), 'Outil Cibles'!G$22, 0)))</f>
        <v>0</v>
      </c>
      <c r="F40" s="23">
        <f>IF($A40='Outil Cibles'!H$7, 'Outil Cibles'!H$21, IF(AND($A40-'Outil Cibles'!H$7&lt;=20,$A40-'Outil Cibles'!H$7&gt;0), 'Outil Cibles'!H$21, IF(AND($A40-'Outil Cibles'!H$7&lt;=40, $A40-'Outil Cibles'!H$7&gt;0), 'Outil Cibles'!H$22, 0)))</f>
        <v>2.8187471118968008</v>
      </c>
      <c r="G40" s="23">
        <f>IF($A40='Outil Cibles'!I$7, 'Outil Cibles'!I$21, IF(AND($A40-'Outil Cibles'!I$7&lt;=20,$A40-'Outil Cibles'!I$7&gt;0), 'Outil Cibles'!I$21, IF(AND($A40-'Outil Cibles'!I$7&lt;=40, $A40-'Outil Cibles'!I$7&gt;0), 'Outil Cibles'!I$22, 0)))</f>
        <v>2.3732147362230469</v>
      </c>
      <c r="H40" s="23">
        <f>IF($A40='Outil Cibles'!J$7, 'Outil Cibles'!J$21, IF(AND($A40-'Outil Cibles'!J$7&lt;=20,$A40-'Outil Cibles'!J$7&gt;0), 'Outil Cibles'!J$21, IF(AND($A40-'Outil Cibles'!J$7&lt;=40, $A40-'Outil Cibles'!J$7&gt;0), 'Outil Cibles'!J$22, 0)))</f>
        <v>1.9454894525084028</v>
      </c>
      <c r="I40" s="23">
        <f>IF($A40='Outil Cibles'!K$7, 'Outil Cibles'!K$21, IF(AND($A40-'Outil Cibles'!K$7&lt;=20,$A40-'Outil Cibles'!K$7&gt;0), 'Outil Cibles'!K$21, IF(AND($A40-'Outil Cibles'!K$7&lt;=40, $A40-'Outil Cibles'!K$7&gt;0), 'Outil Cibles'!K$22, 0)))</f>
        <v>1.4857888961774444</v>
      </c>
      <c r="J40" s="23">
        <f>IF($A40='Outil Cibles'!L$7, 'Outil Cibles'!L$21, IF(AND($A40-'Outil Cibles'!L$7&lt;=20,$A40-'Outil Cibles'!L$7&gt;0), 'Outil Cibles'!L$21, IF(AND($A40-'Outil Cibles'!L$7&lt;=40, $A40-'Outil Cibles'!L$7&gt;0), 'Outil Cibles'!L$22, 0)))</f>
        <v>0.56998405015544618</v>
      </c>
      <c r="K40" s="23">
        <f>IF($A40='Outil Cibles'!M$7, 'Outil Cibles'!M$21, IF(AND($A40-'Outil Cibles'!M$7&lt;=20,$A40-'Outil Cibles'!M$7&gt;0), 'Outil Cibles'!M$21, IF(AND($A40-'Outil Cibles'!M$7&lt;=40, $A40-'Outil Cibles'!M$7&gt;0), 'Outil Cibles'!M$22, 0)))</f>
        <v>0.28322332478112072</v>
      </c>
      <c r="L40" s="23">
        <f t="shared" si="2"/>
        <v>11.173810883999002</v>
      </c>
      <c r="N40" s="10">
        <v>2057</v>
      </c>
      <c r="O40">
        <f>B40*'Outil Cibles'!$D$8</f>
        <v>414.69957764721318</v>
      </c>
      <c r="P40">
        <f>C40*'Outil Cibles'!$E$8</f>
        <v>999.44040982840659</v>
      </c>
      <c r="Q40">
        <f>D40*'Outil Cibles'!$F$8</f>
        <v>283.22332478112071</v>
      </c>
      <c r="R40">
        <f>E40*'Outil Cibles'!$G$8</f>
        <v>0</v>
      </c>
      <c r="S40">
        <f>F40*'Outil Cibles'!$H$8</f>
        <v>2818.747111896801</v>
      </c>
      <c r="T40">
        <f>G40*'Outil Cibles'!$I$8</f>
        <v>2373.2147362230471</v>
      </c>
      <c r="U40">
        <f>H40*'Outil Cibles'!$J$8</f>
        <v>1945.4894525084028</v>
      </c>
      <c r="V40">
        <f>I40*'Outil Cibles'!$K$8</f>
        <v>1485.7888961774443</v>
      </c>
      <c r="W40">
        <f>J40*'Outil Cibles'!$L$8</f>
        <v>569.9840501554462</v>
      </c>
      <c r="X40">
        <f>K40*'Outil Cibles'!$M$8</f>
        <v>283.22332478112071</v>
      </c>
      <c r="Y40">
        <f t="shared" si="3"/>
        <v>11173.810883999002</v>
      </c>
    </row>
    <row r="41" spans="1:25" x14ac:dyDescent="0.3">
      <c r="A41">
        <v>2058</v>
      </c>
      <c r="B41" s="23">
        <f>IF($A41='Outil Cibles'!D$7, 'Outil Cibles'!D$21, IF(AND($A41-'Outil Cibles'!D$7&lt;=20,$A41-'Outil Cibles'!D$7&gt;0), 'Outil Cibles'!D$21, IF(AND($A41-'Outil Cibles'!D$7&lt;=40, $A41-'Outil Cibles'!D$7&gt;0), 'Outil Cibles'!D$22, 0)))</f>
        <v>0.41469957764721316</v>
      </c>
      <c r="C41" s="23">
        <f>IF($A41='Outil Cibles'!E$7, 'Outil Cibles'!E$21, IF(AND($A41-'Outil Cibles'!E$7&lt;=20,$A41-'Outil Cibles'!E$7&gt;0), 'Outil Cibles'!E$21, IF(AND($A41-'Outil Cibles'!E$7&lt;=40, $A41-'Outil Cibles'!E$7&gt;0), 'Outil Cibles'!E$22, 0)))</f>
        <v>0.99944040982840654</v>
      </c>
      <c r="D41" s="23">
        <f>IF($A41='Outil Cibles'!F$7, 'Outil Cibles'!F$21, IF(AND($A41-'Outil Cibles'!F$7&lt;=20,$A41-'Outil Cibles'!F$7&gt;0), 'Outil Cibles'!F$21, IF(AND($A41-'Outil Cibles'!F$7&lt;=40, $A41-'Outil Cibles'!F$7&gt;0), 'Outil Cibles'!F$22, 0)))</f>
        <v>0.28322332478112072</v>
      </c>
      <c r="E41" s="23">
        <f>IF($A41='Outil Cibles'!G$7, 'Outil Cibles'!G$21, IF(AND($A41-'Outil Cibles'!G$7&lt;=20,$A41-'Outil Cibles'!G$7&gt;0), 'Outil Cibles'!G$21, IF(AND($A41-'Outil Cibles'!G$7&lt;=40, $A41-'Outil Cibles'!G$7&gt;0), 'Outil Cibles'!G$22, 0)))</f>
        <v>0</v>
      </c>
      <c r="F41" s="23">
        <f>IF($A41='Outil Cibles'!H$7, 'Outil Cibles'!H$21, IF(AND($A41-'Outil Cibles'!H$7&lt;=20,$A41-'Outil Cibles'!H$7&gt;0), 'Outil Cibles'!H$21, IF(AND($A41-'Outil Cibles'!H$7&lt;=40, $A41-'Outil Cibles'!H$7&gt;0), 'Outil Cibles'!H$22, 0)))</f>
        <v>2.8187471118968008</v>
      </c>
      <c r="G41" s="23">
        <f>IF($A41='Outil Cibles'!I$7, 'Outil Cibles'!I$21, IF(AND($A41-'Outil Cibles'!I$7&lt;=20,$A41-'Outil Cibles'!I$7&gt;0), 'Outil Cibles'!I$21, IF(AND($A41-'Outil Cibles'!I$7&lt;=40, $A41-'Outil Cibles'!I$7&gt;0), 'Outil Cibles'!I$22, 0)))</f>
        <v>2.3732147362230469</v>
      </c>
      <c r="H41" s="23">
        <f>IF($A41='Outil Cibles'!J$7, 'Outil Cibles'!J$21, IF(AND($A41-'Outil Cibles'!J$7&lt;=20,$A41-'Outil Cibles'!J$7&gt;0), 'Outil Cibles'!J$21, IF(AND($A41-'Outil Cibles'!J$7&lt;=40, $A41-'Outil Cibles'!J$7&gt;0), 'Outil Cibles'!J$22, 0)))</f>
        <v>1.9454894525084028</v>
      </c>
      <c r="I41" s="23">
        <f>IF($A41='Outil Cibles'!K$7, 'Outil Cibles'!K$21, IF(AND($A41-'Outil Cibles'!K$7&lt;=20,$A41-'Outil Cibles'!K$7&gt;0), 'Outil Cibles'!K$21, IF(AND($A41-'Outil Cibles'!K$7&lt;=40, $A41-'Outil Cibles'!K$7&gt;0), 'Outil Cibles'!K$22, 0)))</f>
        <v>1.4857888961774444</v>
      </c>
      <c r="J41" s="23">
        <f>IF($A41='Outil Cibles'!L$7, 'Outil Cibles'!L$21, IF(AND($A41-'Outil Cibles'!L$7&lt;=20,$A41-'Outil Cibles'!L$7&gt;0), 'Outil Cibles'!L$21, IF(AND($A41-'Outil Cibles'!L$7&lt;=40, $A41-'Outil Cibles'!L$7&gt;0), 'Outil Cibles'!L$22, 0)))</f>
        <v>0.56998405015544618</v>
      </c>
      <c r="K41" s="23">
        <f>IF($A41='Outil Cibles'!M$7, 'Outil Cibles'!M$21, IF(AND($A41-'Outil Cibles'!M$7&lt;=20,$A41-'Outil Cibles'!M$7&gt;0), 'Outil Cibles'!M$21, IF(AND($A41-'Outil Cibles'!M$7&lt;=40, $A41-'Outil Cibles'!M$7&gt;0), 'Outil Cibles'!M$22, 0)))</f>
        <v>0.28322332478112072</v>
      </c>
      <c r="L41" s="23">
        <f t="shared" si="2"/>
        <v>11.173810883999002</v>
      </c>
      <c r="N41">
        <v>2058</v>
      </c>
      <c r="O41">
        <f>B41*'Outil Cibles'!$D$8</f>
        <v>414.69957764721318</v>
      </c>
      <c r="P41">
        <f>C41*'Outil Cibles'!$E$8</f>
        <v>999.44040982840659</v>
      </c>
      <c r="Q41">
        <f>D41*'Outil Cibles'!$F$8</f>
        <v>283.22332478112071</v>
      </c>
      <c r="R41">
        <f>E41*'Outil Cibles'!$G$8</f>
        <v>0</v>
      </c>
      <c r="S41">
        <f>F41*'Outil Cibles'!$H$8</f>
        <v>2818.747111896801</v>
      </c>
      <c r="T41">
        <f>G41*'Outil Cibles'!$I$8</f>
        <v>2373.2147362230471</v>
      </c>
      <c r="U41">
        <f>H41*'Outil Cibles'!$J$8</f>
        <v>1945.4894525084028</v>
      </c>
      <c r="V41">
        <f>I41*'Outil Cibles'!$K$8</f>
        <v>1485.7888961774443</v>
      </c>
      <c r="W41">
        <f>J41*'Outil Cibles'!$L$8</f>
        <v>569.9840501554462</v>
      </c>
      <c r="X41">
        <f>K41*'Outil Cibles'!$M$8</f>
        <v>283.22332478112071</v>
      </c>
      <c r="Y41">
        <f t="shared" si="3"/>
        <v>11173.810883999002</v>
      </c>
    </row>
    <row r="42" spans="1:25" x14ac:dyDescent="0.3">
      <c r="A42">
        <v>2059</v>
      </c>
      <c r="B42" s="23">
        <f>IF($A42='Outil Cibles'!D$7, 'Outil Cibles'!D$21, IF(AND($A42-'Outil Cibles'!D$7&lt;=20,$A42-'Outil Cibles'!D$7&gt;0), 'Outil Cibles'!D$21, IF(AND($A42-'Outil Cibles'!D$7&lt;=40, $A42-'Outil Cibles'!D$7&gt;0), 'Outil Cibles'!D$22, 0)))</f>
        <v>0.41469957764721316</v>
      </c>
      <c r="C42" s="23">
        <f>IF($A42='Outil Cibles'!E$7, 'Outil Cibles'!E$21, IF(AND($A42-'Outil Cibles'!E$7&lt;=20,$A42-'Outil Cibles'!E$7&gt;0), 'Outil Cibles'!E$21, IF(AND($A42-'Outil Cibles'!E$7&lt;=40, $A42-'Outil Cibles'!E$7&gt;0), 'Outil Cibles'!E$22, 0)))</f>
        <v>0.99944040982840654</v>
      </c>
      <c r="D42" s="23">
        <f>IF($A42='Outil Cibles'!F$7, 'Outil Cibles'!F$21, IF(AND($A42-'Outil Cibles'!F$7&lt;=20,$A42-'Outil Cibles'!F$7&gt;0), 'Outil Cibles'!F$21, IF(AND($A42-'Outil Cibles'!F$7&lt;=40, $A42-'Outil Cibles'!F$7&gt;0), 'Outil Cibles'!F$22, 0)))</f>
        <v>0.28322332478112072</v>
      </c>
      <c r="E42" s="23">
        <f>IF($A42='Outil Cibles'!G$7, 'Outil Cibles'!G$21, IF(AND($A42-'Outil Cibles'!G$7&lt;=20,$A42-'Outil Cibles'!G$7&gt;0), 'Outil Cibles'!G$21, IF(AND($A42-'Outil Cibles'!G$7&lt;=40, $A42-'Outil Cibles'!G$7&gt;0), 'Outil Cibles'!G$22, 0)))</f>
        <v>0</v>
      </c>
      <c r="F42" s="23">
        <f>IF($A42='Outil Cibles'!H$7, 'Outil Cibles'!H$21, IF(AND($A42-'Outil Cibles'!H$7&lt;=20,$A42-'Outil Cibles'!H$7&gt;0), 'Outil Cibles'!H$21, IF(AND($A42-'Outil Cibles'!H$7&lt;=40, $A42-'Outil Cibles'!H$7&gt;0), 'Outil Cibles'!H$22, 0)))</f>
        <v>0</v>
      </c>
      <c r="G42" s="23">
        <f>IF($A42='Outil Cibles'!I$7, 'Outil Cibles'!I$21, IF(AND($A42-'Outil Cibles'!I$7&lt;=20,$A42-'Outil Cibles'!I$7&gt;0), 'Outil Cibles'!I$21, IF(AND($A42-'Outil Cibles'!I$7&lt;=40, $A42-'Outil Cibles'!I$7&gt;0), 'Outil Cibles'!I$22, 0)))</f>
        <v>2.3732147362230469</v>
      </c>
      <c r="H42" s="23">
        <f>IF($A42='Outil Cibles'!J$7, 'Outil Cibles'!J$21, IF(AND($A42-'Outil Cibles'!J$7&lt;=20,$A42-'Outil Cibles'!J$7&gt;0), 'Outil Cibles'!J$21, IF(AND($A42-'Outil Cibles'!J$7&lt;=40, $A42-'Outil Cibles'!J$7&gt;0), 'Outil Cibles'!J$22, 0)))</f>
        <v>1.9454894525084028</v>
      </c>
      <c r="I42" s="23">
        <f>IF($A42='Outil Cibles'!K$7, 'Outil Cibles'!K$21, IF(AND($A42-'Outil Cibles'!K$7&lt;=20,$A42-'Outil Cibles'!K$7&gt;0), 'Outil Cibles'!K$21, IF(AND($A42-'Outil Cibles'!K$7&lt;=40, $A42-'Outil Cibles'!K$7&gt;0), 'Outil Cibles'!K$22, 0)))</f>
        <v>1.4857888961774444</v>
      </c>
      <c r="J42" s="23">
        <f>IF($A42='Outil Cibles'!L$7, 'Outil Cibles'!L$21, IF(AND($A42-'Outil Cibles'!L$7&lt;=20,$A42-'Outil Cibles'!L$7&gt;0), 'Outil Cibles'!L$21, IF(AND($A42-'Outil Cibles'!L$7&lt;=40, $A42-'Outil Cibles'!L$7&gt;0), 'Outil Cibles'!L$22, 0)))</f>
        <v>0.56998405015544618</v>
      </c>
      <c r="K42" s="23">
        <f>IF($A42='Outil Cibles'!M$7, 'Outil Cibles'!M$21, IF(AND($A42-'Outil Cibles'!M$7&lt;=20,$A42-'Outil Cibles'!M$7&gt;0), 'Outil Cibles'!M$21, IF(AND($A42-'Outil Cibles'!M$7&lt;=40, $A42-'Outil Cibles'!M$7&gt;0), 'Outil Cibles'!M$22, 0)))</f>
        <v>0.28322332478112072</v>
      </c>
      <c r="L42" s="23">
        <f t="shared" si="2"/>
        <v>8.3550637721022021</v>
      </c>
      <c r="N42">
        <v>2059</v>
      </c>
      <c r="O42">
        <f>B42*'Outil Cibles'!$D$8</f>
        <v>414.69957764721318</v>
      </c>
      <c r="P42">
        <f>C42*'Outil Cibles'!$E$8</f>
        <v>999.44040982840659</v>
      </c>
      <c r="Q42">
        <f>D42*'Outil Cibles'!$F$8</f>
        <v>283.22332478112071</v>
      </c>
      <c r="R42">
        <f>E42*'Outil Cibles'!$G$8</f>
        <v>0</v>
      </c>
      <c r="S42">
        <f>F42*'Outil Cibles'!$H$8</f>
        <v>0</v>
      </c>
      <c r="T42">
        <f>G42*'Outil Cibles'!$I$8</f>
        <v>2373.2147362230471</v>
      </c>
      <c r="U42">
        <f>H42*'Outil Cibles'!$J$8</f>
        <v>1945.4894525084028</v>
      </c>
      <c r="V42">
        <f>I42*'Outil Cibles'!$K$8</f>
        <v>1485.7888961774443</v>
      </c>
      <c r="W42">
        <f>J42*'Outil Cibles'!$L$8</f>
        <v>569.9840501554462</v>
      </c>
      <c r="X42">
        <f>K42*'Outil Cibles'!$M$8</f>
        <v>283.22332478112071</v>
      </c>
      <c r="Y42">
        <f t="shared" si="3"/>
        <v>8355.0637721022013</v>
      </c>
    </row>
    <row r="43" spans="1:25" x14ac:dyDescent="0.3">
      <c r="A43" s="10">
        <v>2060</v>
      </c>
      <c r="B43" s="23">
        <f>IF($A43='Outil Cibles'!D$7, 'Outil Cibles'!D$21, IF(AND($A43-'Outil Cibles'!D$7&lt;=20,$A43-'Outil Cibles'!D$7&gt;0), 'Outil Cibles'!D$21, IF(AND($A43-'Outil Cibles'!D$7&lt;=40, $A43-'Outil Cibles'!D$7&gt;0), 'Outil Cibles'!D$22, 0)))</f>
        <v>0.41469957764721316</v>
      </c>
      <c r="C43" s="23">
        <f>IF($A43='Outil Cibles'!E$7, 'Outil Cibles'!E$21, IF(AND($A43-'Outil Cibles'!E$7&lt;=20,$A43-'Outil Cibles'!E$7&gt;0), 'Outil Cibles'!E$21, IF(AND($A43-'Outil Cibles'!E$7&lt;=40, $A43-'Outil Cibles'!E$7&gt;0), 'Outil Cibles'!E$22, 0)))</f>
        <v>0.99944040982840654</v>
      </c>
      <c r="D43" s="23">
        <f>IF($A43='Outil Cibles'!F$7, 'Outil Cibles'!F$21, IF(AND($A43-'Outil Cibles'!F$7&lt;=20,$A43-'Outil Cibles'!F$7&gt;0), 'Outil Cibles'!F$21, IF(AND($A43-'Outil Cibles'!F$7&lt;=40, $A43-'Outil Cibles'!F$7&gt;0), 'Outil Cibles'!F$22, 0)))</f>
        <v>0.28322332478112072</v>
      </c>
      <c r="E43" s="23">
        <f>IF($A43='Outil Cibles'!G$7, 'Outil Cibles'!G$21, IF(AND($A43-'Outil Cibles'!G$7&lt;=20,$A43-'Outil Cibles'!G$7&gt;0), 'Outil Cibles'!G$21, IF(AND($A43-'Outil Cibles'!G$7&lt;=40, $A43-'Outil Cibles'!G$7&gt;0), 'Outil Cibles'!G$22, 0)))</f>
        <v>0</v>
      </c>
      <c r="F43" s="23">
        <f>IF($A43='Outil Cibles'!H$7, 'Outil Cibles'!H$21, IF(AND($A43-'Outil Cibles'!H$7&lt;=20,$A43-'Outil Cibles'!H$7&gt;0), 'Outil Cibles'!H$21, IF(AND($A43-'Outil Cibles'!H$7&lt;=40, $A43-'Outil Cibles'!H$7&gt;0), 'Outil Cibles'!H$22, 0)))</f>
        <v>0</v>
      </c>
      <c r="G43" s="23">
        <f>IF($A43='Outil Cibles'!I$7, 'Outil Cibles'!I$21, IF(AND($A43-'Outil Cibles'!I$7&lt;=20,$A43-'Outil Cibles'!I$7&gt;0), 'Outil Cibles'!I$21, IF(AND($A43-'Outil Cibles'!I$7&lt;=40, $A43-'Outil Cibles'!I$7&gt;0), 'Outil Cibles'!I$22, 0)))</f>
        <v>2.3732147362230469</v>
      </c>
      <c r="H43" s="23">
        <f>IF($A43='Outil Cibles'!J$7, 'Outil Cibles'!J$21, IF(AND($A43-'Outil Cibles'!J$7&lt;=20,$A43-'Outil Cibles'!J$7&gt;0), 'Outil Cibles'!J$21, IF(AND($A43-'Outil Cibles'!J$7&lt;=40, $A43-'Outil Cibles'!J$7&gt;0), 'Outil Cibles'!J$22, 0)))</f>
        <v>1.9454894525084028</v>
      </c>
      <c r="I43" s="23">
        <f>IF($A43='Outil Cibles'!K$7, 'Outil Cibles'!K$21, IF(AND($A43-'Outil Cibles'!K$7&lt;=20,$A43-'Outil Cibles'!K$7&gt;0), 'Outil Cibles'!K$21, IF(AND($A43-'Outil Cibles'!K$7&lt;=40, $A43-'Outil Cibles'!K$7&gt;0), 'Outil Cibles'!K$22, 0)))</f>
        <v>1.4857888961774444</v>
      </c>
      <c r="J43" s="23">
        <f>IF($A43='Outil Cibles'!L$7, 'Outil Cibles'!L$21, IF(AND($A43-'Outil Cibles'!L$7&lt;=20,$A43-'Outil Cibles'!L$7&gt;0), 'Outil Cibles'!L$21, IF(AND($A43-'Outil Cibles'!L$7&lt;=40, $A43-'Outil Cibles'!L$7&gt;0), 'Outil Cibles'!L$22, 0)))</f>
        <v>0.56998405015544618</v>
      </c>
      <c r="K43" s="23">
        <f>IF($A43='Outil Cibles'!M$7, 'Outil Cibles'!M$21, IF(AND($A43-'Outil Cibles'!M$7&lt;=20,$A43-'Outil Cibles'!M$7&gt;0), 'Outil Cibles'!M$21, IF(AND($A43-'Outil Cibles'!M$7&lt;=40, $A43-'Outil Cibles'!M$7&gt;0), 'Outil Cibles'!M$22, 0)))</f>
        <v>0.28322332478112072</v>
      </c>
      <c r="L43" s="23">
        <f t="shared" si="2"/>
        <v>8.3550637721022021</v>
      </c>
      <c r="N43">
        <v>2060</v>
      </c>
      <c r="O43">
        <f>B43*'Outil Cibles'!$D$8</f>
        <v>414.69957764721318</v>
      </c>
      <c r="P43">
        <f>C43*'Outil Cibles'!$E$8</f>
        <v>999.44040982840659</v>
      </c>
      <c r="Q43">
        <f>D43*'Outil Cibles'!$F$8</f>
        <v>283.22332478112071</v>
      </c>
      <c r="R43">
        <f>E43*'Outil Cibles'!$G$8</f>
        <v>0</v>
      </c>
      <c r="S43">
        <f>F43*'Outil Cibles'!$H$8</f>
        <v>0</v>
      </c>
      <c r="T43">
        <f>G43*'Outil Cibles'!$I$8</f>
        <v>2373.2147362230471</v>
      </c>
      <c r="U43">
        <f>H43*'Outil Cibles'!$J$8</f>
        <v>1945.4894525084028</v>
      </c>
      <c r="V43">
        <f>I43*'Outil Cibles'!$K$8</f>
        <v>1485.7888961774443</v>
      </c>
      <c r="W43">
        <f>J43*'Outil Cibles'!$L$8</f>
        <v>569.9840501554462</v>
      </c>
      <c r="X43">
        <f>K43*'Outil Cibles'!$M$8</f>
        <v>283.22332478112071</v>
      </c>
      <c r="Y43">
        <f t="shared" si="3"/>
        <v>8355.0637721022013</v>
      </c>
    </row>
    <row r="44" spans="1:25" x14ac:dyDescent="0.3">
      <c r="A44">
        <v>2061</v>
      </c>
      <c r="B44" s="23">
        <f>IF($A44='Outil Cibles'!D$7, 'Outil Cibles'!D$21, IF(AND($A44-'Outil Cibles'!D$7&lt;=20,$A44-'Outil Cibles'!D$7&gt;0), 'Outil Cibles'!D$21, IF(AND($A44-'Outil Cibles'!D$7&lt;=40, $A44-'Outil Cibles'!D$7&gt;0), 'Outil Cibles'!D$22, 0)))</f>
        <v>0.41469957764721316</v>
      </c>
      <c r="C44" s="23">
        <f>IF($A44='Outil Cibles'!E$7, 'Outil Cibles'!E$21, IF(AND($A44-'Outil Cibles'!E$7&lt;=20,$A44-'Outil Cibles'!E$7&gt;0), 'Outil Cibles'!E$21, IF(AND($A44-'Outil Cibles'!E$7&lt;=40, $A44-'Outil Cibles'!E$7&gt;0), 'Outil Cibles'!E$22, 0)))</f>
        <v>0.99944040982840654</v>
      </c>
      <c r="D44" s="23">
        <f>IF($A44='Outil Cibles'!F$7, 'Outil Cibles'!F$21, IF(AND($A44-'Outil Cibles'!F$7&lt;=20,$A44-'Outil Cibles'!F$7&gt;0), 'Outil Cibles'!F$21, IF(AND($A44-'Outil Cibles'!F$7&lt;=40, $A44-'Outil Cibles'!F$7&gt;0), 'Outil Cibles'!F$22, 0)))</f>
        <v>0.28322332478112072</v>
      </c>
      <c r="E44" s="23">
        <f>IF($A44='Outil Cibles'!G$7, 'Outil Cibles'!G$21, IF(AND($A44-'Outil Cibles'!G$7&lt;=20,$A44-'Outil Cibles'!G$7&gt;0), 'Outil Cibles'!G$21, IF(AND($A44-'Outil Cibles'!G$7&lt;=40, $A44-'Outil Cibles'!G$7&gt;0), 'Outil Cibles'!G$22, 0)))</f>
        <v>0</v>
      </c>
      <c r="F44" s="23">
        <f>IF($A44='Outil Cibles'!H$7, 'Outil Cibles'!H$21, IF(AND($A44-'Outil Cibles'!H$7&lt;=20,$A44-'Outil Cibles'!H$7&gt;0), 'Outil Cibles'!H$21, IF(AND($A44-'Outil Cibles'!H$7&lt;=40, $A44-'Outil Cibles'!H$7&gt;0), 'Outil Cibles'!H$22, 0)))</f>
        <v>0</v>
      </c>
      <c r="G44" s="23">
        <f>IF($A44='Outil Cibles'!I$7, 'Outil Cibles'!I$21, IF(AND($A44-'Outil Cibles'!I$7&lt;=20,$A44-'Outil Cibles'!I$7&gt;0), 'Outil Cibles'!I$21, IF(AND($A44-'Outil Cibles'!I$7&lt;=40, $A44-'Outil Cibles'!I$7&gt;0), 'Outil Cibles'!I$22, 0)))</f>
        <v>0</v>
      </c>
      <c r="H44" s="23">
        <f>IF($A44='Outil Cibles'!J$7, 'Outil Cibles'!J$21, IF(AND($A44-'Outil Cibles'!J$7&lt;=20,$A44-'Outil Cibles'!J$7&gt;0), 'Outil Cibles'!J$21, IF(AND($A44-'Outil Cibles'!J$7&lt;=40, $A44-'Outil Cibles'!J$7&gt;0), 'Outil Cibles'!J$22, 0)))</f>
        <v>1.9454894525084028</v>
      </c>
      <c r="I44" s="23">
        <f>IF($A44='Outil Cibles'!K$7, 'Outil Cibles'!K$21, IF(AND($A44-'Outil Cibles'!K$7&lt;=20,$A44-'Outil Cibles'!K$7&gt;0), 'Outil Cibles'!K$21, IF(AND($A44-'Outil Cibles'!K$7&lt;=40, $A44-'Outil Cibles'!K$7&gt;0), 'Outil Cibles'!K$22, 0)))</f>
        <v>1.4857888961774444</v>
      </c>
      <c r="J44" s="23">
        <f>IF($A44='Outil Cibles'!L$7, 'Outil Cibles'!L$21, IF(AND($A44-'Outil Cibles'!L$7&lt;=20,$A44-'Outil Cibles'!L$7&gt;0), 'Outil Cibles'!L$21, IF(AND($A44-'Outil Cibles'!L$7&lt;=40, $A44-'Outil Cibles'!L$7&gt;0), 'Outil Cibles'!L$22, 0)))</f>
        <v>0.56998405015544618</v>
      </c>
      <c r="K44" s="23">
        <f>IF($A44='Outil Cibles'!M$7, 'Outil Cibles'!M$21, IF(AND($A44-'Outil Cibles'!M$7&lt;=20,$A44-'Outil Cibles'!M$7&gt;0), 'Outil Cibles'!M$21, IF(AND($A44-'Outil Cibles'!M$7&lt;=40, $A44-'Outil Cibles'!M$7&gt;0), 'Outil Cibles'!M$22, 0)))</f>
        <v>0.28322332478112072</v>
      </c>
      <c r="L44" s="23">
        <f t="shared" si="2"/>
        <v>5.9818490358791543</v>
      </c>
      <c r="N44">
        <v>2061</v>
      </c>
      <c r="O44">
        <f>B44*'Outil Cibles'!$D$8</f>
        <v>414.69957764721318</v>
      </c>
      <c r="P44">
        <f>C44*'Outil Cibles'!$E$8</f>
        <v>999.44040982840659</v>
      </c>
      <c r="Q44">
        <f>D44*'Outil Cibles'!$F$8</f>
        <v>283.22332478112071</v>
      </c>
      <c r="R44">
        <f>E44*'Outil Cibles'!$G$8</f>
        <v>0</v>
      </c>
      <c r="S44">
        <f>F44*'Outil Cibles'!$H$8</f>
        <v>0</v>
      </c>
      <c r="T44">
        <f>G44*'Outil Cibles'!$I$8</f>
        <v>0</v>
      </c>
      <c r="U44">
        <f>H44*'Outil Cibles'!$J$8</f>
        <v>1945.4894525084028</v>
      </c>
      <c r="V44">
        <f>I44*'Outil Cibles'!$K$8</f>
        <v>1485.7888961774443</v>
      </c>
      <c r="W44">
        <f>J44*'Outil Cibles'!$L$8</f>
        <v>569.9840501554462</v>
      </c>
      <c r="X44">
        <f>K44*'Outil Cibles'!$M$8</f>
        <v>283.22332478112071</v>
      </c>
      <c r="Y44">
        <f t="shared" si="3"/>
        <v>5981.8490358791551</v>
      </c>
    </row>
    <row r="45" spans="1:25" x14ac:dyDescent="0.3">
      <c r="A45">
        <v>2062</v>
      </c>
      <c r="B45" s="23">
        <f>IF($A45='Outil Cibles'!D$7, 'Outil Cibles'!D$21, IF(AND($A45-'Outil Cibles'!D$7&lt;=20,$A45-'Outil Cibles'!D$7&gt;0), 'Outil Cibles'!D$21, IF(AND($A45-'Outil Cibles'!D$7&lt;=40, $A45-'Outil Cibles'!D$7&gt;0), 'Outil Cibles'!D$22, 0)))</f>
        <v>0.41469957764721316</v>
      </c>
      <c r="C45" s="23">
        <f>IF($A45='Outil Cibles'!E$7, 'Outil Cibles'!E$21, IF(AND($A45-'Outil Cibles'!E$7&lt;=20,$A45-'Outil Cibles'!E$7&gt;0), 'Outil Cibles'!E$21, IF(AND($A45-'Outil Cibles'!E$7&lt;=40, $A45-'Outil Cibles'!E$7&gt;0), 'Outil Cibles'!E$22, 0)))</f>
        <v>0.99944040982840654</v>
      </c>
      <c r="D45" s="23">
        <f>IF($A45='Outil Cibles'!F$7, 'Outil Cibles'!F$21, IF(AND($A45-'Outil Cibles'!F$7&lt;=20,$A45-'Outil Cibles'!F$7&gt;0), 'Outil Cibles'!F$21, IF(AND($A45-'Outil Cibles'!F$7&lt;=40, $A45-'Outil Cibles'!F$7&gt;0), 'Outil Cibles'!F$22, 0)))</f>
        <v>0.28322332478112072</v>
      </c>
      <c r="E45" s="23">
        <f>IF($A45='Outil Cibles'!G$7, 'Outil Cibles'!G$21, IF(AND($A45-'Outil Cibles'!G$7&lt;=20,$A45-'Outil Cibles'!G$7&gt;0), 'Outil Cibles'!G$21, IF(AND($A45-'Outil Cibles'!G$7&lt;=40, $A45-'Outil Cibles'!G$7&gt;0), 'Outil Cibles'!G$22, 0)))</f>
        <v>0</v>
      </c>
      <c r="F45" s="23">
        <f>IF($A45='Outil Cibles'!H$7, 'Outil Cibles'!H$21, IF(AND($A45-'Outil Cibles'!H$7&lt;=20,$A45-'Outil Cibles'!H$7&gt;0), 'Outil Cibles'!H$21, IF(AND($A45-'Outil Cibles'!H$7&lt;=40, $A45-'Outil Cibles'!H$7&gt;0), 'Outil Cibles'!H$22, 0)))</f>
        <v>0</v>
      </c>
      <c r="G45" s="23">
        <f>IF($A45='Outil Cibles'!I$7, 'Outil Cibles'!I$21, IF(AND($A45-'Outil Cibles'!I$7&lt;=20,$A45-'Outil Cibles'!I$7&gt;0), 'Outil Cibles'!I$21, IF(AND($A45-'Outil Cibles'!I$7&lt;=40, $A45-'Outil Cibles'!I$7&gt;0), 'Outil Cibles'!I$22, 0)))</f>
        <v>0</v>
      </c>
      <c r="H45" s="23">
        <f>IF($A45='Outil Cibles'!J$7, 'Outil Cibles'!J$21, IF(AND($A45-'Outil Cibles'!J$7&lt;=20,$A45-'Outil Cibles'!J$7&gt;0), 'Outil Cibles'!J$21, IF(AND($A45-'Outil Cibles'!J$7&lt;=40, $A45-'Outil Cibles'!J$7&gt;0), 'Outil Cibles'!J$22, 0)))</f>
        <v>1.9454894525084028</v>
      </c>
      <c r="I45" s="23">
        <f>IF($A45='Outil Cibles'!K$7, 'Outil Cibles'!K$21, IF(AND($A45-'Outil Cibles'!K$7&lt;=20,$A45-'Outil Cibles'!K$7&gt;0), 'Outil Cibles'!K$21, IF(AND($A45-'Outil Cibles'!K$7&lt;=40, $A45-'Outil Cibles'!K$7&gt;0), 'Outil Cibles'!K$22, 0)))</f>
        <v>1.4857888961774444</v>
      </c>
      <c r="J45" s="23">
        <f>IF($A45='Outil Cibles'!L$7, 'Outil Cibles'!L$21, IF(AND($A45-'Outil Cibles'!L$7&lt;=20,$A45-'Outil Cibles'!L$7&gt;0), 'Outil Cibles'!L$21, IF(AND($A45-'Outil Cibles'!L$7&lt;=40, $A45-'Outil Cibles'!L$7&gt;0), 'Outil Cibles'!L$22, 0)))</f>
        <v>0.56998405015544618</v>
      </c>
      <c r="K45" s="23">
        <f>IF($A45='Outil Cibles'!M$7, 'Outil Cibles'!M$21, IF(AND($A45-'Outil Cibles'!M$7&lt;=20,$A45-'Outil Cibles'!M$7&gt;0), 'Outil Cibles'!M$21, IF(AND($A45-'Outil Cibles'!M$7&lt;=40, $A45-'Outil Cibles'!M$7&gt;0), 'Outil Cibles'!M$22, 0)))</f>
        <v>0.28322332478112072</v>
      </c>
      <c r="L45" s="23">
        <f t="shared" si="2"/>
        <v>5.9818490358791543</v>
      </c>
      <c r="N45" s="10">
        <v>2062</v>
      </c>
      <c r="O45">
        <f>B45*'Outil Cibles'!$D$8</f>
        <v>414.69957764721318</v>
      </c>
      <c r="P45">
        <f>C45*'Outil Cibles'!$E$8</f>
        <v>999.44040982840659</v>
      </c>
      <c r="Q45">
        <f>D45*'Outil Cibles'!$F$8</f>
        <v>283.22332478112071</v>
      </c>
      <c r="R45">
        <f>E45*'Outil Cibles'!$G$8</f>
        <v>0</v>
      </c>
      <c r="S45">
        <f>F45*'Outil Cibles'!$H$8</f>
        <v>0</v>
      </c>
      <c r="T45">
        <f>G45*'Outil Cibles'!$I$8</f>
        <v>0</v>
      </c>
      <c r="U45">
        <f>H45*'Outil Cibles'!$J$8</f>
        <v>1945.4894525084028</v>
      </c>
      <c r="V45">
        <f>I45*'Outil Cibles'!$K$8</f>
        <v>1485.7888961774443</v>
      </c>
      <c r="W45">
        <f>J45*'Outil Cibles'!$L$8</f>
        <v>569.9840501554462</v>
      </c>
      <c r="X45">
        <f>K45*'Outil Cibles'!$M$8</f>
        <v>283.22332478112071</v>
      </c>
      <c r="Y45">
        <f t="shared" si="3"/>
        <v>5981.8490358791551</v>
      </c>
    </row>
    <row r="46" spans="1:25" x14ac:dyDescent="0.3">
      <c r="A46">
        <v>2063</v>
      </c>
      <c r="B46" s="23">
        <f>IF($A46='Outil Cibles'!D$7, 'Outil Cibles'!D$21, IF(AND($A46-'Outil Cibles'!D$7&lt;=20,$A46-'Outil Cibles'!D$7&gt;0), 'Outil Cibles'!D$21, IF(AND($A46-'Outil Cibles'!D$7&lt;=40, $A46-'Outil Cibles'!D$7&gt;0), 'Outil Cibles'!D$22, 0)))</f>
        <v>0.41469957764721316</v>
      </c>
      <c r="C46" s="23">
        <f>IF($A46='Outil Cibles'!E$7, 'Outil Cibles'!E$21, IF(AND($A46-'Outil Cibles'!E$7&lt;=20,$A46-'Outil Cibles'!E$7&gt;0), 'Outil Cibles'!E$21, IF(AND($A46-'Outil Cibles'!E$7&lt;=40, $A46-'Outil Cibles'!E$7&gt;0), 'Outil Cibles'!E$22, 0)))</f>
        <v>0.99944040982840654</v>
      </c>
      <c r="D46" s="23">
        <f>IF($A46='Outil Cibles'!F$7, 'Outil Cibles'!F$21, IF(AND($A46-'Outil Cibles'!F$7&lt;=20,$A46-'Outil Cibles'!F$7&gt;0), 'Outil Cibles'!F$21, IF(AND($A46-'Outil Cibles'!F$7&lt;=40, $A46-'Outil Cibles'!F$7&gt;0), 'Outil Cibles'!F$22, 0)))</f>
        <v>0.28322332478112072</v>
      </c>
      <c r="E46" s="23">
        <f>IF($A46='Outil Cibles'!G$7, 'Outil Cibles'!G$21, IF(AND($A46-'Outil Cibles'!G$7&lt;=20,$A46-'Outil Cibles'!G$7&gt;0), 'Outil Cibles'!G$21, IF(AND($A46-'Outil Cibles'!G$7&lt;=40, $A46-'Outil Cibles'!G$7&gt;0), 'Outil Cibles'!G$22, 0)))</f>
        <v>0</v>
      </c>
      <c r="F46" s="23">
        <f>IF($A46='Outil Cibles'!H$7, 'Outil Cibles'!H$21, IF(AND($A46-'Outil Cibles'!H$7&lt;=20,$A46-'Outil Cibles'!H$7&gt;0), 'Outil Cibles'!H$21, IF(AND($A46-'Outil Cibles'!H$7&lt;=40, $A46-'Outil Cibles'!H$7&gt;0), 'Outil Cibles'!H$22, 0)))</f>
        <v>0</v>
      </c>
      <c r="G46" s="23">
        <f>IF($A46='Outil Cibles'!I$7, 'Outil Cibles'!I$21, IF(AND($A46-'Outil Cibles'!I$7&lt;=20,$A46-'Outil Cibles'!I$7&gt;0), 'Outil Cibles'!I$21, IF(AND($A46-'Outil Cibles'!I$7&lt;=40, $A46-'Outil Cibles'!I$7&gt;0), 'Outil Cibles'!I$22, 0)))</f>
        <v>0</v>
      </c>
      <c r="H46" s="23">
        <f>IF($A46='Outil Cibles'!J$7, 'Outil Cibles'!J$21, IF(AND($A46-'Outil Cibles'!J$7&lt;=20,$A46-'Outil Cibles'!J$7&gt;0), 'Outil Cibles'!J$21, IF(AND($A46-'Outil Cibles'!J$7&lt;=40, $A46-'Outil Cibles'!J$7&gt;0), 'Outil Cibles'!J$22, 0)))</f>
        <v>0</v>
      </c>
      <c r="I46" s="23">
        <f>IF($A46='Outil Cibles'!K$7, 'Outil Cibles'!K$21, IF(AND($A46-'Outil Cibles'!K$7&lt;=20,$A46-'Outil Cibles'!K$7&gt;0), 'Outil Cibles'!K$21, IF(AND($A46-'Outil Cibles'!K$7&lt;=40, $A46-'Outil Cibles'!K$7&gt;0), 'Outil Cibles'!K$22, 0)))</f>
        <v>1.4857888961774444</v>
      </c>
      <c r="J46" s="23">
        <f>IF($A46='Outil Cibles'!L$7, 'Outil Cibles'!L$21, IF(AND($A46-'Outil Cibles'!L$7&lt;=20,$A46-'Outil Cibles'!L$7&gt;0), 'Outil Cibles'!L$21, IF(AND($A46-'Outil Cibles'!L$7&lt;=40, $A46-'Outil Cibles'!L$7&gt;0), 'Outil Cibles'!L$22, 0)))</f>
        <v>0.56998405015544618</v>
      </c>
      <c r="K46" s="23">
        <f>IF($A46='Outil Cibles'!M$7, 'Outil Cibles'!M$21, IF(AND($A46-'Outil Cibles'!M$7&lt;=20,$A46-'Outil Cibles'!M$7&gt;0), 'Outil Cibles'!M$21, IF(AND($A46-'Outil Cibles'!M$7&lt;=40, $A46-'Outil Cibles'!M$7&gt;0), 'Outil Cibles'!M$22, 0)))</f>
        <v>0.28322332478112072</v>
      </c>
      <c r="L46" s="23">
        <f t="shared" si="2"/>
        <v>4.0363595833707517</v>
      </c>
      <c r="N46" s="10">
        <v>2063</v>
      </c>
      <c r="O46">
        <f>B46*'Outil Cibles'!$D$8</f>
        <v>414.69957764721318</v>
      </c>
      <c r="P46">
        <f>C46*'Outil Cibles'!$E$8</f>
        <v>999.44040982840659</v>
      </c>
      <c r="Q46">
        <f>D46*'Outil Cibles'!$F$8</f>
        <v>283.22332478112071</v>
      </c>
      <c r="R46">
        <f>E46*'Outil Cibles'!$G$8</f>
        <v>0</v>
      </c>
      <c r="S46">
        <f>F46*'Outil Cibles'!$H$8</f>
        <v>0</v>
      </c>
      <c r="T46">
        <f>G46*'Outil Cibles'!$I$8</f>
        <v>0</v>
      </c>
      <c r="U46">
        <f>H46*'Outil Cibles'!$J$8</f>
        <v>0</v>
      </c>
      <c r="V46">
        <f>I46*'Outil Cibles'!$K$8</f>
        <v>1485.7888961774443</v>
      </c>
      <c r="W46">
        <f>J46*'Outil Cibles'!$L$8</f>
        <v>569.9840501554462</v>
      </c>
      <c r="X46">
        <f>K46*'Outil Cibles'!$M$8</f>
        <v>283.22332478112071</v>
      </c>
      <c r="Y46">
        <f t="shared" si="3"/>
        <v>4036.3595833707523</v>
      </c>
    </row>
    <row r="47" spans="1:25" x14ac:dyDescent="0.3">
      <c r="A47">
        <v>2064</v>
      </c>
      <c r="B47" s="23">
        <f>IF($A47='Outil Cibles'!D$7, 'Outil Cibles'!D$21, IF(AND($A47-'Outil Cibles'!D$7&lt;=20,$A47-'Outil Cibles'!D$7&gt;0), 'Outil Cibles'!D$21, IF(AND($A47-'Outil Cibles'!D$7&lt;=40, $A47-'Outil Cibles'!D$7&gt;0), 'Outil Cibles'!D$22, 0)))</f>
        <v>0.41469957764721316</v>
      </c>
      <c r="C47" s="23">
        <f>IF($A47='Outil Cibles'!E$7, 'Outil Cibles'!E$21, IF(AND($A47-'Outil Cibles'!E$7&lt;=20,$A47-'Outil Cibles'!E$7&gt;0), 'Outil Cibles'!E$21, IF(AND($A47-'Outil Cibles'!E$7&lt;=40, $A47-'Outil Cibles'!E$7&gt;0), 'Outil Cibles'!E$22, 0)))</f>
        <v>0.99944040982840654</v>
      </c>
      <c r="D47" s="23">
        <f>IF($A47='Outil Cibles'!F$7, 'Outil Cibles'!F$21, IF(AND($A47-'Outil Cibles'!F$7&lt;=20,$A47-'Outil Cibles'!F$7&gt;0), 'Outil Cibles'!F$21, IF(AND($A47-'Outil Cibles'!F$7&lt;=40, $A47-'Outil Cibles'!F$7&gt;0), 'Outil Cibles'!F$22, 0)))</f>
        <v>0.28322332478112072</v>
      </c>
      <c r="E47" s="23">
        <f>IF($A47='Outil Cibles'!G$7, 'Outil Cibles'!G$21, IF(AND($A47-'Outil Cibles'!G$7&lt;=20,$A47-'Outil Cibles'!G$7&gt;0), 'Outil Cibles'!G$21, IF(AND($A47-'Outil Cibles'!G$7&lt;=40, $A47-'Outil Cibles'!G$7&gt;0), 'Outil Cibles'!G$22, 0)))</f>
        <v>0</v>
      </c>
      <c r="F47" s="23">
        <f>IF($A47='Outil Cibles'!H$7, 'Outil Cibles'!H$21, IF(AND($A47-'Outil Cibles'!H$7&lt;=20,$A47-'Outil Cibles'!H$7&gt;0), 'Outil Cibles'!H$21, IF(AND($A47-'Outil Cibles'!H$7&lt;=40, $A47-'Outil Cibles'!H$7&gt;0), 'Outil Cibles'!H$22, 0)))</f>
        <v>0</v>
      </c>
      <c r="G47" s="23">
        <f>IF($A47='Outil Cibles'!I$7, 'Outil Cibles'!I$21, IF(AND($A47-'Outil Cibles'!I$7&lt;=20,$A47-'Outil Cibles'!I$7&gt;0), 'Outil Cibles'!I$21, IF(AND($A47-'Outil Cibles'!I$7&lt;=40, $A47-'Outil Cibles'!I$7&gt;0), 'Outil Cibles'!I$22, 0)))</f>
        <v>0</v>
      </c>
      <c r="H47" s="23">
        <f>IF($A47='Outil Cibles'!J$7, 'Outil Cibles'!J$21, IF(AND($A47-'Outil Cibles'!J$7&lt;=20,$A47-'Outil Cibles'!J$7&gt;0), 'Outil Cibles'!J$21, IF(AND($A47-'Outil Cibles'!J$7&lt;=40, $A47-'Outil Cibles'!J$7&gt;0), 'Outil Cibles'!J$22, 0)))</f>
        <v>0</v>
      </c>
      <c r="I47" s="23">
        <f>IF($A47='Outil Cibles'!K$7, 'Outil Cibles'!K$21, IF(AND($A47-'Outil Cibles'!K$7&lt;=20,$A47-'Outil Cibles'!K$7&gt;0), 'Outil Cibles'!K$21, IF(AND($A47-'Outil Cibles'!K$7&lt;=40, $A47-'Outil Cibles'!K$7&gt;0), 'Outil Cibles'!K$22, 0)))</f>
        <v>1.4857888961774444</v>
      </c>
      <c r="J47" s="23">
        <f>IF($A47='Outil Cibles'!L$7, 'Outil Cibles'!L$21, IF(AND($A47-'Outil Cibles'!L$7&lt;=20,$A47-'Outil Cibles'!L$7&gt;0), 'Outil Cibles'!L$21, IF(AND($A47-'Outil Cibles'!L$7&lt;=40, $A47-'Outil Cibles'!L$7&gt;0), 'Outil Cibles'!L$22, 0)))</f>
        <v>0.56998405015544618</v>
      </c>
      <c r="K47" s="23">
        <f>IF($A47='Outil Cibles'!M$7, 'Outil Cibles'!M$21, IF(AND($A47-'Outil Cibles'!M$7&lt;=20,$A47-'Outil Cibles'!M$7&gt;0), 'Outil Cibles'!M$21, IF(AND($A47-'Outil Cibles'!M$7&lt;=40, $A47-'Outil Cibles'!M$7&gt;0), 'Outil Cibles'!M$22, 0)))</f>
        <v>0.28322332478112072</v>
      </c>
      <c r="L47" s="23">
        <f t="shared" si="2"/>
        <v>4.0363595833707517</v>
      </c>
      <c r="N47">
        <v>2064</v>
      </c>
      <c r="O47">
        <f>B47*'Outil Cibles'!$D$8</f>
        <v>414.69957764721318</v>
      </c>
      <c r="P47">
        <f>C47*'Outil Cibles'!$E$8</f>
        <v>999.44040982840659</v>
      </c>
      <c r="Q47">
        <f>D47*'Outil Cibles'!$F$8</f>
        <v>283.22332478112071</v>
      </c>
      <c r="R47">
        <f>E47*'Outil Cibles'!$G$8</f>
        <v>0</v>
      </c>
      <c r="S47">
        <f>F47*'Outil Cibles'!$H$8</f>
        <v>0</v>
      </c>
      <c r="T47">
        <f>G47*'Outil Cibles'!$I$8</f>
        <v>0</v>
      </c>
      <c r="U47">
        <f>H47*'Outil Cibles'!$J$8</f>
        <v>0</v>
      </c>
      <c r="V47">
        <f>I47*'Outil Cibles'!$K$8</f>
        <v>1485.7888961774443</v>
      </c>
      <c r="W47">
        <f>J47*'Outil Cibles'!$L$8</f>
        <v>569.9840501554462</v>
      </c>
      <c r="X47">
        <f>K47*'Outil Cibles'!$M$8</f>
        <v>283.22332478112071</v>
      </c>
      <c r="Y47">
        <f t="shared" si="3"/>
        <v>4036.3595833707523</v>
      </c>
    </row>
    <row r="48" spans="1:25" x14ac:dyDescent="0.3">
      <c r="A48" s="10">
        <v>2065</v>
      </c>
      <c r="B48" s="23">
        <f>IF($A48='Outil Cibles'!D$7, 'Outil Cibles'!D$21, IF(AND($A48-'Outil Cibles'!D$7&lt;=20,$A48-'Outil Cibles'!D$7&gt;0), 'Outil Cibles'!D$21, IF(AND($A48-'Outil Cibles'!D$7&lt;=40, $A48-'Outil Cibles'!D$7&gt;0), 'Outil Cibles'!D$22, 0)))</f>
        <v>0</v>
      </c>
      <c r="C48" s="23">
        <f>IF($A48='Outil Cibles'!E$7, 'Outil Cibles'!E$21, IF(AND($A48-'Outil Cibles'!E$7&lt;=20,$A48-'Outil Cibles'!E$7&gt;0), 'Outil Cibles'!E$21, IF(AND($A48-'Outil Cibles'!E$7&lt;=40, $A48-'Outil Cibles'!E$7&gt;0), 'Outil Cibles'!E$22, 0)))</f>
        <v>0.99944040982840654</v>
      </c>
      <c r="D48" s="23">
        <f>IF($A48='Outil Cibles'!F$7, 'Outil Cibles'!F$21, IF(AND($A48-'Outil Cibles'!F$7&lt;=20,$A48-'Outil Cibles'!F$7&gt;0), 'Outil Cibles'!F$21, IF(AND($A48-'Outil Cibles'!F$7&lt;=40, $A48-'Outil Cibles'!F$7&gt;0), 'Outil Cibles'!F$22, 0)))</f>
        <v>0.28322332478112072</v>
      </c>
      <c r="E48" s="23">
        <f>IF($A48='Outil Cibles'!G$7, 'Outil Cibles'!G$21, IF(AND($A48-'Outil Cibles'!G$7&lt;=20,$A48-'Outil Cibles'!G$7&gt;0), 'Outil Cibles'!G$21, IF(AND($A48-'Outil Cibles'!G$7&lt;=40, $A48-'Outil Cibles'!G$7&gt;0), 'Outil Cibles'!G$22, 0)))</f>
        <v>0</v>
      </c>
      <c r="F48" s="23">
        <f>IF($A48='Outil Cibles'!H$7, 'Outil Cibles'!H$21, IF(AND($A48-'Outil Cibles'!H$7&lt;=20,$A48-'Outil Cibles'!H$7&gt;0), 'Outil Cibles'!H$21, IF(AND($A48-'Outil Cibles'!H$7&lt;=40, $A48-'Outil Cibles'!H$7&gt;0), 'Outil Cibles'!H$22, 0)))</f>
        <v>0</v>
      </c>
      <c r="G48" s="23">
        <f>IF($A48='Outil Cibles'!I$7, 'Outil Cibles'!I$21, IF(AND($A48-'Outil Cibles'!I$7&lt;=20,$A48-'Outil Cibles'!I$7&gt;0), 'Outil Cibles'!I$21, IF(AND($A48-'Outil Cibles'!I$7&lt;=40, $A48-'Outil Cibles'!I$7&gt;0), 'Outil Cibles'!I$22, 0)))</f>
        <v>0</v>
      </c>
      <c r="H48" s="23">
        <f>IF($A48='Outil Cibles'!J$7, 'Outil Cibles'!J$21, IF(AND($A48-'Outil Cibles'!J$7&lt;=20,$A48-'Outil Cibles'!J$7&gt;0), 'Outil Cibles'!J$21, IF(AND($A48-'Outil Cibles'!J$7&lt;=40, $A48-'Outil Cibles'!J$7&gt;0), 'Outil Cibles'!J$22, 0)))</f>
        <v>0</v>
      </c>
      <c r="I48" s="23">
        <f>IF($A48='Outil Cibles'!K$7, 'Outil Cibles'!K$21, IF(AND($A48-'Outil Cibles'!K$7&lt;=20,$A48-'Outil Cibles'!K$7&gt;0), 'Outil Cibles'!K$21, IF(AND($A48-'Outil Cibles'!K$7&lt;=40, $A48-'Outil Cibles'!K$7&gt;0), 'Outil Cibles'!K$22, 0)))</f>
        <v>0</v>
      </c>
      <c r="J48" s="23">
        <f>IF($A48='Outil Cibles'!L$7, 'Outil Cibles'!L$21, IF(AND($A48-'Outil Cibles'!L$7&lt;=20,$A48-'Outil Cibles'!L$7&gt;0), 'Outil Cibles'!L$21, IF(AND($A48-'Outil Cibles'!L$7&lt;=40, $A48-'Outil Cibles'!L$7&gt;0), 'Outil Cibles'!L$22, 0)))</f>
        <v>0.56998405015544618</v>
      </c>
      <c r="K48" s="23">
        <f>IF($A48='Outil Cibles'!M$7, 'Outil Cibles'!M$21, IF(AND($A48-'Outil Cibles'!M$7&lt;=20,$A48-'Outil Cibles'!M$7&gt;0), 'Outil Cibles'!M$21, IF(AND($A48-'Outil Cibles'!M$7&lt;=40, $A48-'Outil Cibles'!M$7&gt;0), 'Outil Cibles'!M$22, 0)))</f>
        <v>0.28322332478112072</v>
      </c>
      <c r="L48" s="23">
        <f t="shared" si="2"/>
        <v>2.1358711095460943</v>
      </c>
      <c r="N48">
        <v>2065</v>
      </c>
      <c r="O48">
        <f>B48*'Outil Cibles'!$D$8</f>
        <v>0</v>
      </c>
      <c r="P48">
        <f>C48*'Outil Cibles'!$E$8</f>
        <v>999.44040982840659</v>
      </c>
      <c r="Q48">
        <f>D48*'Outil Cibles'!$F$8</f>
        <v>283.22332478112071</v>
      </c>
      <c r="R48">
        <f>E48*'Outil Cibles'!$G$8</f>
        <v>0</v>
      </c>
      <c r="S48">
        <f>F48*'Outil Cibles'!$H$8</f>
        <v>0</v>
      </c>
      <c r="T48">
        <f>G48*'Outil Cibles'!$I$8</f>
        <v>0</v>
      </c>
      <c r="U48">
        <f>H48*'Outil Cibles'!$J$8</f>
        <v>0</v>
      </c>
      <c r="V48">
        <f>I48*'Outil Cibles'!$K$8</f>
        <v>0</v>
      </c>
      <c r="W48">
        <f>J48*'Outil Cibles'!$L$8</f>
        <v>569.9840501554462</v>
      </c>
      <c r="X48">
        <f>K48*'Outil Cibles'!$M$8</f>
        <v>283.22332478112071</v>
      </c>
      <c r="Y48">
        <f t="shared" si="3"/>
        <v>2135.871109546094</v>
      </c>
    </row>
    <row r="49" spans="1:25" x14ac:dyDescent="0.3">
      <c r="A49">
        <v>2066</v>
      </c>
      <c r="B49" s="23">
        <f>IF($A49='Outil Cibles'!D$7, 'Outil Cibles'!D$21, IF(AND($A49-'Outil Cibles'!D$7&lt;=20,$A49-'Outil Cibles'!D$7&gt;0), 'Outil Cibles'!D$21, IF(AND($A49-'Outil Cibles'!D$7&lt;=40, $A49-'Outil Cibles'!D$7&gt;0), 'Outil Cibles'!D$22, 0)))</f>
        <v>0</v>
      </c>
      <c r="C49" s="23">
        <f>IF($A49='Outil Cibles'!E$7, 'Outil Cibles'!E$21, IF(AND($A49-'Outil Cibles'!E$7&lt;=20,$A49-'Outil Cibles'!E$7&gt;0), 'Outil Cibles'!E$21, IF(AND($A49-'Outil Cibles'!E$7&lt;=40, $A49-'Outil Cibles'!E$7&gt;0), 'Outil Cibles'!E$22, 0)))</f>
        <v>0.99944040982840654</v>
      </c>
      <c r="D49" s="23">
        <f>IF($A49='Outil Cibles'!F$7, 'Outil Cibles'!F$21, IF(AND($A49-'Outil Cibles'!F$7&lt;=20,$A49-'Outil Cibles'!F$7&gt;0), 'Outil Cibles'!F$21, IF(AND($A49-'Outil Cibles'!F$7&lt;=40, $A49-'Outil Cibles'!F$7&gt;0), 'Outil Cibles'!F$22, 0)))</f>
        <v>0.28322332478112072</v>
      </c>
      <c r="E49" s="23">
        <f>IF($A49='Outil Cibles'!G$7, 'Outil Cibles'!G$21, IF(AND($A49-'Outil Cibles'!G$7&lt;=20,$A49-'Outil Cibles'!G$7&gt;0), 'Outil Cibles'!G$21, IF(AND($A49-'Outil Cibles'!G$7&lt;=40, $A49-'Outil Cibles'!G$7&gt;0), 'Outil Cibles'!G$22, 0)))</f>
        <v>0</v>
      </c>
      <c r="F49" s="23">
        <f>IF($A49='Outil Cibles'!H$7, 'Outil Cibles'!H$21, IF(AND($A49-'Outil Cibles'!H$7&lt;=20,$A49-'Outil Cibles'!H$7&gt;0), 'Outil Cibles'!H$21, IF(AND($A49-'Outil Cibles'!H$7&lt;=40, $A49-'Outil Cibles'!H$7&gt;0), 'Outil Cibles'!H$22, 0)))</f>
        <v>0</v>
      </c>
      <c r="G49" s="23">
        <f>IF($A49='Outil Cibles'!I$7, 'Outil Cibles'!I$21, IF(AND($A49-'Outil Cibles'!I$7&lt;=20,$A49-'Outil Cibles'!I$7&gt;0), 'Outil Cibles'!I$21, IF(AND($A49-'Outil Cibles'!I$7&lt;=40, $A49-'Outil Cibles'!I$7&gt;0), 'Outil Cibles'!I$22, 0)))</f>
        <v>0</v>
      </c>
      <c r="H49" s="23">
        <f>IF($A49='Outil Cibles'!J$7, 'Outil Cibles'!J$21, IF(AND($A49-'Outil Cibles'!J$7&lt;=20,$A49-'Outil Cibles'!J$7&gt;0), 'Outil Cibles'!J$21, IF(AND($A49-'Outil Cibles'!J$7&lt;=40, $A49-'Outil Cibles'!J$7&gt;0), 'Outil Cibles'!J$22, 0)))</f>
        <v>0</v>
      </c>
      <c r="I49" s="23">
        <f>IF($A49='Outil Cibles'!K$7, 'Outil Cibles'!K$21, IF(AND($A49-'Outil Cibles'!K$7&lt;=20,$A49-'Outil Cibles'!K$7&gt;0), 'Outil Cibles'!K$21, IF(AND($A49-'Outil Cibles'!K$7&lt;=40, $A49-'Outil Cibles'!K$7&gt;0), 'Outil Cibles'!K$22, 0)))</f>
        <v>0</v>
      </c>
      <c r="J49" s="23">
        <f>IF($A49='Outil Cibles'!L$7, 'Outil Cibles'!L$21, IF(AND($A49-'Outil Cibles'!L$7&lt;=20,$A49-'Outil Cibles'!L$7&gt;0), 'Outil Cibles'!L$21, IF(AND($A49-'Outil Cibles'!L$7&lt;=40, $A49-'Outil Cibles'!L$7&gt;0), 'Outil Cibles'!L$22, 0)))</f>
        <v>0.56998405015544618</v>
      </c>
      <c r="K49" s="23">
        <f>IF($A49='Outil Cibles'!M$7, 'Outil Cibles'!M$21, IF(AND($A49-'Outil Cibles'!M$7&lt;=20,$A49-'Outil Cibles'!M$7&gt;0), 'Outil Cibles'!M$21, IF(AND($A49-'Outil Cibles'!M$7&lt;=40, $A49-'Outil Cibles'!M$7&gt;0), 'Outil Cibles'!M$22, 0)))</f>
        <v>0.28322332478112072</v>
      </c>
      <c r="L49" s="23">
        <f t="shared" si="2"/>
        <v>2.1358711095460943</v>
      </c>
      <c r="N49">
        <v>2066</v>
      </c>
      <c r="O49">
        <f>B49*'Outil Cibles'!$D$8</f>
        <v>0</v>
      </c>
      <c r="P49">
        <f>C49*'Outil Cibles'!$E$8</f>
        <v>999.44040982840659</v>
      </c>
      <c r="Q49">
        <f>D49*'Outil Cibles'!$F$8</f>
        <v>283.22332478112071</v>
      </c>
      <c r="R49">
        <f>E49*'Outil Cibles'!$G$8</f>
        <v>0</v>
      </c>
      <c r="S49">
        <f>F49*'Outil Cibles'!$H$8</f>
        <v>0</v>
      </c>
      <c r="T49">
        <f>G49*'Outil Cibles'!$I$8</f>
        <v>0</v>
      </c>
      <c r="U49">
        <f>H49*'Outil Cibles'!$J$8</f>
        <v>0</v>
      </c>
      <c r="V49">
        <f>I49*'Outil Cibles'!$K$8</f>
        <v>0</v>
      </c>
      <c r="W49">
        <f>J49*'Outil Cibles'!$L$8</f>
        <v>569.9840501554462</v>
      </c>
      <c r="X49">
        <f>K49*'Outil Cibles'!$M$8</f>
        <v>283.22332478112071</v>
      </c>
      <c r="Y49">
        <f t="shared" si="3"/>
        <v>2135.871109546094</v>
      </c>
    </row>
    <row r="50" spans="1:25" x14ac:dyDescent="0.3">
      <c r="A50">
        <v>2067</v>
      </c>
      <c r="B50" s="23">
        <f>IF($A50='Outil Cibles'!D$7, 'Outil Cibles'!D$21, IF(AND($A50-'Outil Cibles'!D$7&lt;=20,$A50-'Outil Cibles'!D$7&gt;0), 'Outil Cibles'!D$21, IF(AND($A50-'Outil Cibles'!D$7&lt;=40, $A50-'Outil Cibles'!D$7&gt;0), 'Outil Cibles'!D$22, 0)))</f>
        <v>0</v>
      </c>
      <c r="C50" s="23">
        <f>IF($A50='Outil Cibles'!E$7, 'Outil Cibles'!E$21, IF(AND($A50-'Outil Cibles'!E$7&lt;=20,$A50-'Outil Cibles'!E$7&gt;0), 'Outil Cibles'!E$21, IF(AND($A50-'Outil Cibles'!E$7&lt;=40, $A50-'Outil Cibles'!E$7&gt;0), 'Outil Cibles'!E$22, 0)))</f>
        <v>0</v>
      </c>
      <c r="D50" s="23">
        <f>IF($A50='Outil Cibles'!F$7, 'Outil Cibles'!F$21, IF(AND($A50-'Outil Cibles'!F$7&lt;=20,$A50-'Outil Cibles'!F$7&gt;0), 'Outil Cibles'!F$21, IF(AND($A50-'Outil Cibles'!F$7&lt;=40, $A50-'Outil Cibles'!F$7&gt;0), 'Outil Cibles'!F$22, 0)))</f>
        <v>0.28322332478112072</v>
      </c>
      <c r="E50" s="23">
        <f>IF($A50='Outil Cibles'!G$7, 'Outil Cibles'!G$21, IF(AND($A50-'Outil Cibles'!G$7&lt;=20,$A50-'Outil Cibles'!G$7&gt;0), 'Outil Cibles'!G$21, IF(AND($A50-'Outil Cibles'!G$7&lt;=40, $A50-'Outil Cibles'!G$7&gt;0), 'Outil Cibles'!G$22, 0)))</f>
        <v>0</v>
      </c>
      <c r="F50" s="23">
        <f>IF($A50='Outil Cibles'!H$7, 'Outil Cibles'!H$21, IF(AND($A50-'Outil Cibles'!H$7&lt;=20,$A50-'Outil Cibles'!H$7&gt;0), 'Outil Cibles'!H$21, IF(AND($A50-'Outil Cibles'!H$7&lt;=40, $A50-'Outil Cibles'!H$7&gt;0), 'Outil Cibles'!H$22, 0)))</f>
        <v>0</v>
      </c>
      <c r="G50" s="23">
        <f>IF($A50='Outil Cibles'!I$7, 'Outil Cibles'!I$21, IF(AND($A50-'Outil Cibles'!I$7&lt;=20,$A50-'Outil Cibles'!I$7&gt;0), 'Outil Cibles'!I$21, IF(AND($A50-'Outil Cibles'!I$7&lt;=40, $A50-'Outil Cibles'!I$7&gt;0), 'Outil Cibles'!I$22, 0)))</f>
        <v>0</v>
      </c>
      <c r="H50" s="23">
        <f>IF($A50='Outil Cibles'!J$7, 'Outil Cibles'!J$21, IF(AND($A50-'Outil Cibles'!J$7&lt;=20,$A50-'Outil Cibles'!J$7&gt;0), 'Outil Cibles'!J$21, IF(AND($A50-'Outil Cibles'!J$7&lt;=40, $A50-'Outil Cibles'!J$7&gt;0), 'Outil Cibles'!J$22, 0)))</f>
        <v>0</v>
      </c>
      <c r="I50" s="23">
        <f>IF($A50='Outil Cibles'!K$7, 'Outil Cibles'!K$21, IF(AND($A50-'Outil Cibles'!K$7&lt;=20,$A50-'Outil Cibles'!K$7&gt;0), 'Outil Cibles'!K$21, IF(AND($A50-'Outil Cibles'!K$7&lt;=40, $A50-'Outil Cibles'!K$7&gt;0), 'Outil Cibles'!K$22, 0)))</f>
        <v>0</v>
      </c>
      <c r="J50" s="23">
        <f>IF($A50='Outil Cibles'!L$7, 'Outil Cibles'!L$21, IF(AND($A50-'Outil Cibles'!L$7&lt;=20,$A50-'Outil Cibles'!L$7&gt;0), 'Outil Cibles'!L$21, IF(AND($A50-'Outil Cibles'!L$7&lt;=40, $A50-'Outil Cibles'!L$7&gt;0), 'Outil Cibles'!L$22, 0)))</f>
        <v>0.56998405015544618</v>
      </c>
      <c r="K50" s="23">
        <f>IF($A50='Outil Cibles'!M$7, 'Outil Cibles'!M$21, IF(AND($A50-'Outil Cibles'!M$7&lt;=20,$A50-'Outil Cibles'!M$7&gt;0), 'Outil Cibles'!M$21, IF(AND($A50-'Outil Cibles'!M$7&lt;=40, $A50-'Outil Cibles'!M$7&gt;0), 'Outil Cibles'!M$22, 0)))</f>
        <v>0.28322332478112072</v>
      </c>
      <c r="L50" s="23">
        <f t="shared" si="2"/>
        <v>1.1364306997176876</v>
      </c>
      <c r="N50">
        <v>2067</v>
      </c>
      <c r="O50">
        <f>B50*'Outil Cibles'!$D$8</f>
        <v>0</v>
      </c>
      <c r="P50">
        <f>C50*'Outil Cibles'!$E$8</f>
        <v>0</v>
      </c>
      <c r="Q50">
        <f>D50*'Outil Cibles'!$F$8</f>
        <v>283.22332478112071</v>
      </c>
      <c r="R50">
        <f>E50*'Outil Cibles'!$G$8</f>
        <v>0</v>
      </c>
      <c r="S50">
        <f>F50*'Outil Cibles'!$H$8</f>
        <v>0</v>
      </c>
      <c r="T50">
        <f>G50*'Outil Cibles'!$I$8</f>
        <v>0</v>
      </c>
      <c r="U50">
        <f>H50*'Outil Cibles'!$J$8</f>
        <v>0</v>
      </c>
      <c r="V50">
        <f>I50*'Outil Cibles'!$K$8</f>
        <v>0</v>
      </c>
      <c r="W50">
        <f>J50*'Outil Cibles'!$L$8</f>
        <v>569.9840501554462</v>
      </c>
      <c r="X50">
        <f>K50*'Outil Cibles'!$M$8</f>
        <v>283.22332478112071</v>
      </c>
      <c r="Y50">
        <f t="shared" si="3"/>
        <v>1136.4306997176877</v>
      </c>
    </row>
    <row r="51" spans="1:25" x14ac:dyDescent="0.3">
      <c r="A51">
        <v>2068</v>
      </c>
      <c r="B51" s="23">
        <f>IF($A51='Outil Cibles'!D$7, 'Outil Cibles'!D$21, IF(AND($A51-'Outil Cibles'!D$7&lt;=20,$A51-'Outil Cibles'!D$7&gt;0), 'Outil Cibles'!D$21, IF(AND($A51-'Outil Cibles'!D$7&lt;=40, $A51-'Outil Cibles'!D$7&gt;0), 'Outil Cibles'!D$22, 0)))</f>
        <v>0</v>
      </c>
      <c r="C51" s="23">
        <f>IF($A51='Outil Cibles'!E$7, 'Outil Cibles'!E$21, IF(AND($A51-'Outil Cibles'!E$7&lt;=20,$A51-'Outil Cibles'!E$7&gt;0), 'Outil Cibles'!E$21, IF(AND($A51-'Outil Cibles'!E$7&lt;=40, $A51-'Outil Cibles'!E$7&gt;0), 'Outil Cibles'!E$22, 0)))</f>
        <v>0</v>
      </c>
      <c r="D51" s="23">
        <f>IF($A51='Outil Cibles'!F$7, 'Outil Cibles'!F$21, IF(AND($A51-'Outil Cibles'!F$7&lt;=20,$A51-'Outil Cibles'!F$7&gt;0), 'Outil Cibles'!F$21, IF(AND($A51-'Outil Cibles'!F$7&lt;=40, $A51-'Outil Cibles'!F$7&gt;0), 'Outil Cibles'!F$22, 0)))</f>
        <v>0.28322332478112072</v>
      </c>
      <c r="E51" s="23">
        <f>IF($A51='Outil Cibles'!G$7, 'Outil Cibles'!G$21, IF(AND($A51-'Outil Cibles'!G$7&lt;=20,$A51-'Outil Cibles'!G$7&gt;0), 'Outil Cibles'!G$21, IF(AND($A51-'Outil Cibles'!G$7&lt;=40, $A51-'Outil Cibles'!G$7&gt;0), 'Outil Cibles'!G$22, 0)))</f>
        <v>0</v>
      </c>
      <c r="F51" s="23">
        <f>IF($A51='Outil Cibles'!H$7, 'Outil Cibles'!H$21, IF(AND($A51-'Outil Cibles'!H$7&lt;=20,$A51-'Outil Cibles'!H$7&gt;0), 'Outil Cibles'!H$21, IF(AND($A51-'Outil Cibles'!H$7&lt;=40, $A51-'Outil Cibles'!H$7&gt;0), 'Outil Cibles'!H$22, 0)))</f>
        <v>0</v>
      </c>
      <c r="G51" s="23">
        <f>IF($A51='Outil Cibles'!I$7, 'Outil Cibles'!I$21, IF(AND($A51-'Outil Cibles'!I$7&lt;=20,$A51-'Outil Cibles'!I$7&gt;0), 'Outil Cibles'!I$21, IF(AND($A51-'Outil Cibles'!I$7&lt;=40, $A51-'Outil Cibles'!I$7&gt;0), 'Outil Cibles'!I$22, 0)))</f>
        <v>0</v>
      </c>
      <c r="H51" s="23">
        <f>IF($A51='Outil Cibles'!J$7, 'Outil Cibles'!J$21, IF(AND($A51-'Outil Cibles'!J$7&lt;=20,$A51-'Outil Cibles'!J$7&gt;0), 'Outil Cibles'!J$21, IF(AND($A51-'Outil Cibles'!J$7&lt;=40, $A51-'Outil Cibles'!J$7&gt;0), 'Outil Cibles'!J$22, 0)))</f>
        <v>0</v>
      </c>
      <c r="I51" s="23">
        <f>IF($A51='Outil Cibles'!K$7, 'Outil Cibles'!K$21, IF(AND($A51-'Outil Cibles'!K$7&lt;=20,$A51-'Outil Cibles'!K$7&gt;0), 'Outil Cibles'!K$21, IF(AND($A51-'Outil Cibles'!K$7&lt;=40, $A51-'Outil Cibles'!K$7&gt;0), 'Outil Cibles'!K$22, 0)))</f>
        <v>0</v>
      </c>
      <c r="J51" s="23">
        <f>IF($A51='Outil Cibles'!L$7, 'Outil Cibles'!L$21, IF(AND($A51-'Outil Cibles'!L$7&lt;=20,$A51-'Outil Cibles'!L$7&gt;0), 'Outil Cibles'!L$21, IF(AND($A51-'Outil Cibles'!L$7&lt;=40, $A51-'Outil Cibles'!L$7&gt;0), 'Outil Cibles'!L$22, 0)))</f>
        <v>0.56998405015544618</v>
      </c>
      <c r="K51" s="23">
        <f>IF($A51='Outil Cibles'!M$7, 'Outil Cibles'!M$21, IF(AND($A51-'Outil Cibles'!M$7&lt;=20,$A51-'Outil Cibles'!M$7&gt;0), 'Outil Cibles'!M$21, IF(AND($A51-'Outil Cibles'!M$7&lt;=40, $A51-'Outil Cibles'!M$7&gt;0), 'Outil Cibles'!M$22, 0)))</f>
        <v>0.28322332478112072</v>
      </c>
      <c r="L51" s="23">
        <f t="shared" si="2"/>
        <v>1.1364306997176876</v>
      </c>
      <c r="N51" s="10">
        <v>2068</v>
      </c>
      <c r="O51">
        <f>B51*'Outil Cibles'!$D$8</f>
        <v>0</v>
      </c>
      <c r="P51">
        <f>C51*'Outil Cibles'!$E$8</f>
        <v>0</v>
      </c>
      <c r="Q51">
        <f>D51*'Outil Cibles'!$F$8</f>
        <v>283.22332478112071</v>
      </c>
      <c r="R51">
        <f>E51*'Outil Cibles'!$G$8</f>
        <v>0</v>
      </c>
      <c r="S51">
        <f>F51*'Outil Cibles'!$H$8</f>
        <v>0</v>
      </c>
      <c r="T51">
        <f>G51*'Outil Cibles'!$I$8</f>
        <v>0</v>
      </c>
      <c r="U51">
        <f>H51*'Outil Cibles'!$J$8</f>
        <v>0</v>
      </c>
      <c r="V51">
        <f>I51*'Outil Cibles'!$K$8</f>
        <v>0</v>
      </c>
      <c r="W51">
        <f>J51*'Outil Cibles'!$L$8</f>
        <v>569.9840501554462</v>
      </c>
      <c r="X51">
        <f>K51*'Outil Cibles'!$M$8</f>
        <v>283.22332478112071</v>
      </c>
      <c r="Y51">
        <f t="shared" si="3"/>
        <v>1136.4306997176877</v>
      </c>
    </row>
    <row r="52" spans="1:25" x14ac:dyDescent="0.3">
      <c r="A52">
        <v>2069</v>
      </c>
      <c r="B52" s="23">
        <f>IF($A52='Outil Cibles'!D$7, 'Outil Cibles'!D$21, IF(AND($A52-'Outil Cibles'!D$7&lt;=20,$A52-'Outil Cibles'!D$7&gt;0), 'Outil Cibles'!D$21, IF(AND($A52-'Outil Cibles'!D$7&lt;=40, $A52-'Outil Cibles'!D$7&gt;0), 'Outil Cibles'!D$22, 0)))</f>
        <v>0</v>
      </c>
      <c r="C52" s="23">
        <f>IF($A52='Outil Cibles'!E$7, 'Outil Cibles'!E$21, IF(AND($A52-'Outil Cibles'!E$7&lt;=20,$A52-'Outil Cibles'!E$7&gt;0), 'Outil Cibles'!E$21, IF(AND($A52-'Outil Cibles'!E$7&lt;=40, $A52-'Outil Cibles'!E$7&gt;0), 'Outil Cibles'!E$22, 0)))</f>
        <v>0</v>
      </c>
      <c r="D52" s="23">
        <f>IF($A52='Outil Cibles'!F$7, 'Outil Cibles'!F$21, IF(AND($A52-'Outil Cibles'!F$7&lt;=20,$A52-'Outil Cibles'!F$7&gt;0), 'Outil Cibles'!F$21, IF(AND($A52-'Outil Cibles'!F$7&lt;=40, $A52-'Outil Cibles'!F$7&gt;0), 'Outil Cibles'!F$22, 0)))</f>
        <v>0.28322332478112072</v>
      </c>
      <c r="E52" s="23">
        <f>IF($A52='Outil Cibles'!G$7, 'Outil Cibles'!G$21, IF(AND($A52-'Outil Cibles'!G$7&lt;=20,$A52-'Outil Cibles'!G$7&gt;0), 'Outil Cibles'!G$21, IF(AND($A52-'Outil Cibles'!G$7&lt;=40, $A52-'Outil Cibles'!G$7&gt;0), 'Outil Cibles'!G$22, 0)))</f>
        <v>0</v>
      </c>
      <c r="F52" s="23">
        <f>IF($A52='Outil Cibles'!H$7, 'Outil Cibles'!H$21, IF(AND($A52-'Outil Cibles'!H$7&lt;=20,$A52-'Outil Cibles'!H$7&gt;0), 'Outil Cibles'!H$21, IF(AND($A52-'Outil Cibles'!H$7&lt;=40, $A52-'Outil Cibles'!H$7&gt;0), 'Outil Cibles'!H$22, 0)))</f>
        <v>0</v>
      </c>
      <c r="G52" s="23">
        <f>IF($A52='Outil Cibles'!I$7, 'Outil Cibles'!I$21, IF(AND($A52-'Outil Cibles'!I$7&lt;=20,$A52-'Outil Cibles'!I$7&gt;0), 'Outil Cibles'!I$21, IF(AND($A52-'Outil Cibles'!I$7&lt;=40, $A52-'Outil Cibles'!I$7&gt;0), 'Outil Cibles'!I$22, 0)))</f>
        <v>0</v>
      </c>
      <c r="H52" s="23">
        <f>IF($A52='Outil Cibles'!J$7, 'Outil Cibles'!J$21, IF(AND($A52-'Outil Cibles'!J$7&lt;=20,$A52-'Outil Cibles'!J$7&gt;0), 'Outil Cibles'!J$21, IF(AND($A52-'Outil Cibles'!J$7&lt;=40, $A52-'Outil Cibles'!J$7&gt;0), 'Outil Cibles'!J$22, 0)))</f>
        <v>0</v>
      </c>
      <c r="I52" s="23">
        <f>IF($A52='Outil Cibles'!K$7, 'Outil Cibles'!K$21, IF(AND($A52-'Outil Cibles'!K$7&lt;=20,$A52-'Outil Cibles'!K$7&gt;0), 'Outil Cibles'!K$21, IF(AND($A52-'Outil Cibles'!K$7&lt;=40, $A52-'Outil Cibles'!K$7&gt;0), 'Outil Cibles'!K$22, 0)))</f>
        <v>0</v>
      </c>
      <c r="J52" s="23">
        <f>IF($A52='Outil Cibles'!L$7, 'Outil Cibles'!L$21, IF(AND($A52-'Outil Cibles'!L$7&lt;=20,$A52-'Outil Cibles'!L$7&gt;0), 'Outil Cibles'!L$21, IF(AND($A52-'Outil Cibles'!L$7&lt;=40, $A52-'Outil Cibles'!L$7&gt;0), 'Outil Cibles'!L$22, 0)))</f>
        <v>0</v>
      </c>
      <c r="K52" s="23">
        <f>IF($A52='Outil Cibles'!M$7, 'Outil Cibles'!M$21, IF(AND($A52-'Outil Cibles'!M$7&lt;=20,$A52-'Outil Cibles'!M$7&gt;0), 'Outil Cibles'!M$21, IF(AND($A52-'Outil Cibles'!M$7&lt;=40, $A52-'Outil Cibles'!M$7&gt;0), 'Outil Cibles'!M$22, 0)))</f>
        <v>0.28322332478112072</v>
      </c>
      <c r="L52" s="23">
        <f t="shared" si="2"/>
        <v>0.56644664956224144</v>
      </c>
      <c r="N52" s="10">
        <v>2069</v>
      </c>
      <c r="O52">
        <f>B52*'Outil Cibles'!$D$8</f>
        <v>0</v>
      </c>
      <c r="P52">
        <f>C52*'Outil Cibles'!$E$8</f>
        <v>0</v>
      </c>
      <c r="Q52">
        <f>D52*'Outil Cibles'!$F$8</f>
        <v>283.22332478112071</v>
      </c>
      <c r="R52">
        <f>E52*'Outil Cibles'!$G$8</f>
        <v>0</v>
      </c>
      <c r="S52">
        <f>F52*'Outil Cibles'!$H$8</f>
        <v>0</v>
      </c>
      <c r="T52">
        <f>G52*'Outil Cibles'!$I$8</f>
        <v>0</v>
      </c>
      <c r="U52">
        <f>H52*'Outil Cibles'!$J$8</f>
        <v>0</v>
      </c>
      <c r="V52">
        <f>I52*'Outil Cibles'!$K$8</f>
        <v>0</v>
      </c>
      <c r="W52">
        <f>J52*'Outil Cibles'!$L$8</f>
        <v>0</v>
      </c>
      <c r="X52">
        <f>K52*'Outil Cibles'!$M$8</f>
        <v>283.22332478112071</v>
      </c>
      <c r="Y52">
        <f t="shared" si="3"/>
        <v>566.44664956224142</v>
      </c>
    </row>
    <row r="53" spans="1:25" x14ac:dyDescent="0.3">
      <c r="A53" s="10">
        <v>2070</v>
      </c>
      <c r="B53" s="23">
        <f>IF($A53='Outil Cibles'!D$7, 'Outil Cibles'!D$21, IF(AND($A53-'Outil Cibles'!D$7&lt;=20,$A53-'Outil Cibles'!D$7&gt;0), 'Outil Cibles'!D$21, IF(AND($A53-'Outil Cibles'!D$7&lt;=40, $A53-'Outil Cibles'!D$7&gt;0), 'Outil Cibles'!D$22, 0)))</f>
        <v>0</v>
      </c>
      <c r="C53" s="23">
        <f>IF($A53='Outil Cibles'!E$7, 'Outil Cibles'!E$21, IF(AND($A53-'Outil Cibles'!E$7&lt;=20,$A53-'Outil Cibles'!E$7&gt;0), 'Outil Cibles'!E$21, IF(AND($A53-'Outil Cibles'!E$7&lt;=40, $A53-'Outil Cibles'!E$7&gt;0), 'Outil Cibles'!E$22, 0)))</f>
        <v>0</v>
      </c>
      <c r="D53" s="23">
        <f>IF($A53='Outil Cibles'!F$7, 'Outil Cibles'!F$21, IF(AND($A53-'Outil Cibles'!F$7&lt;=20,$A53-'Outil Cibles'!F$7&gt;0), 'Outil Cibles'!F$21, IF(AND($A53-'Outil Cibles'!F$7&lt;=40, $A53-'Outil Cibles'!F$7&gt;0), 'Outil Cibles'!F$22, 0)))</f>
        <v>0.28322332478112072</v>
      </c>
      <c r="E53" s="23">
        <f>IF($A53='Outil Cibles'!G$7, 'Outil Cibles'!G$21, IF(AND($A53-'Outil Cibles'!G$7&lt;=20,$A53-'Outil Cibles'!G$7&gt;0), 'Outil Cibles'!G$21, IF(AND($A53-'Outil Cibles'!G$7&lt;=40, $A53-'Outil Cibles'!G$7&gt;0), 'Outil Cibles'!G$22, 0)))</f>
        <v>0</v>
      </c>
      <c r="F53" s="23">
        <f>IF($A53='Outil Cibles'!H$7, 'Outil Cibles'!H$21, IF(AND($A53-'Outil Cibles'!H$7&lt;=20,$A53-'Outil Cibles'!H$7&gt;0), 'Outil Cibles'!H$21, IF(AND($A53-'Outil Cibles'!H$7&lt;=40, $A53-'Outil Cibles'!H$7&gt;0), 'Outil Cibles'!H$22, 0)))</f>
        <v>0</v>
      </c>
      <c r="G53" s="23">
        <f>IF($A53='Outil Cibles'!I$7, 'Outil Cibles'!I$21, IF(AND($A53-'Outil Cibles'!I$7&lt;=20,$A53-'Outil Cibles'!I$7&gt;0), 'Outil Cibles'!I$21, IF(AND($A53-'Outil Cibles'!I$7&lt;=40, $A53-'Outil Cibles'!I$7&gt;0), 'Outil Cibles'!I$22, 0)))</f>
        <v>0</v>
      </c>
      <c r="H53" s="23">
        <f>IF($A53='Outil Cibles'!J$7, 'Outil Cibles'!J$21, IF(AND($A53-'Outil Cibles'!J$7&lt;=20,$A53-'Outil Cibles'!J$7&gt;0), 'Outil Cibles'!J$21, IF(AND($A53-'Outil Cibles'!J$7&lt;=40, $A53-'Outil Cibles'!J$7&gt;0), 'Outil Cibles'!J$22, 0)))</f>
        <v>0</v>
      </c>
      <c r="I53" s="23">
        <f>IF($A53='Outil Cibles'!K$7, 'Outil Cibles'!K$21, IF(AND($A53-'Outil Cibles'!K$7&lt;=20,$A53-'Outil Cibles'!K$7&gt;0), 'Outil Cibles'!K$21, IF(AND($A53-'Outil Cibles'!K$7&lt;=40, $A53-'Outil Cibles'!K$7&gt;0), 'Outil Cibles'!K$22, 0)))</f>
        <v>0</v>
      </c>
      <c r="J53" s="23">
        <f>IF($A53='Outil Cibles'!L$7, 'Outil Cibles'!L$21, IF(AND($A53-'Outil Cibles'!L$7&lt;=20,$A53-'Outil Cibles'!L$7&gt;0), 'Outil Cibles'!L$21, IF(AND($A53-'Outil Cibles'!L$7&lt;=40, $A53-'Outil Cibles'!L$7&gt;0), 'Outil Cibles'!L$22, 0)))</f>
        <v>0</v>
      </c>
      <c r="K53" s="23">
        <f>IF($A53='Outil Cibles'!M$7, 'Outil Cibles'!M$21, IF(AND($A53-'Outil Cibles'!M$7&lt;=20,$A53-'Outil Cibles'!M$7&gt;0), 'Outil Cibles'!M$21, IF(AND($A53-'Outil Cibles'!M$7&lt;=40, $A53-'Outil Cibles'!M$7&gt;0), 'Outil Cibles'!M$22, 0)))</f>
        <v>0.28322332478112072</v>
      </c>
      <c r="L53" s="23">
        <f t="shared" si="2"/>
        <v>0.56644664956224144</v>
      </c>
      <c r="N53">
        <v>2070</v>
      </c>
      <c r="O53">
        <f>B53*'Outil Cibles'!$D$8</f>
        <v>0</v>
      </c>
      <c r="P53">
        <f>C53*'Outil Cibles'!$E$8</f>
        <v>0</v>
      </c>
      <c r="Q53">
        <f>D53*'Outil Cibles'!$F$8</f>
        <v>283.22332478112071</v>
      </c>
      <c r="R53">
        <f>E53*'Outil Cibles'!$G$8</f>
        <v>0</v>
      </c>
      <c r="S53">
        <f>F53*'Outil Cibles'!$H$8</f>
        <v>0</v>
      </c>
      <c r="T53">
        <f>G53*'Outil Cibles'!$I$8</f>
        <v>0</v>
      </c>
      <c r="U53">
        <f>H53*'Outil Cibles'!$J$8</f>
        <v>0</v>
      </c>
      <c r="V53">
        <f>I53*'Outil Cibles'!$K$8</f>
        <v>0</v>
      </c>
      <c r="W53">
        <f>J53*'Outil Cibles'!$L$8</f>
        <v>0</v>
      </c>
      <c r="X53">
        <f>K53*'Outil Cibles'!$M$8</f>
        <v>283.22332478112071</v>
      </c>
      <c r="Y53">
        <f t="shared" si="3"/>
        <v>566.44664956224142</v>
      </c>
    </row>
    <row r="54" spans="1:25" x14ac:dyDescent="0.3">
      <c r="A54">
        <v>2071</v>
      </c>
      <c r="B54" s="23">
        <f>IF($A54='Outil Cibles'!D$7, 'Outil Cibles'!D$21, IF(AND($A54-'Outil Cibles'!D$7&lt;=20,$A54-'Outil Cibles'!D$7&gt;0), 'Outil Cibles'!D$21, IF(AND($A54-'Outil Cibles'!D$7&lt;=40, $A54-'Outil Cibles'!D$7&gt;0), 'Outil Cibles'!D$22, 0)))</f>
        <v>0</v>
      </c>
      <c r="C54" s="23">
        <f>IF($A54='Outil Cibles'!E$7, 'Outil Cibles'!E$21, IF(AND($A54-'Outil Cibles'!E$7&lt;=20,$A54-'Outil Cibles'!E$7&gt;0), 'Outil Cibles'!E$21, IF(AND($A54-'Outil Cibles'!E$7&lt;=40, $A54-'Outil Cibles'!E$7&gt;0), 'Outil Cibles'!E$22, 0)))</f>
        <v>0</v>
      </c>
      <c r="D54" s="23">
        <f>IF($A54='Outil Cibles'!F$7, 'Outil Cibles'!F$21, IF(AND($A54-'Outil Cibles'!F$7&lt;=20,$A54-'Outil Cibles'!F$7&gt;0), 'Outil Cibles'!F$21, IF(AND($A54-'Outil Cibles'!F$7&lt;=40, $A54-'Outil Cibles'!F$7&gt;0), 'Outil Cibles'!F$22, 0)))</f>
        <v>0</v>
      </c>
      <c r="E54" s="23">
        <f>IF($A54='Outil Cibles'!G$7, 'Outil Cibles'!G$21, IF(AND($A54-'Outil Cibles'!G$7&lt;=20,$A54-'Outil Cibles'!G$7&gt;0), 'Outil Cibles'!G$21, IF(AND($A54-'Outil Cibles'!G$7&lt;=40, $A54-'Outil Cibles'!G$7&gt;0), 'Outil Cibles'!G$22, 0)))</f>
        <v>0</v>
      </c>
      <c r="F54" s="23">
        <f>IF($A54='Outil Cibles'!H$7, 'Outil Cibles'!H$21, IF(AND($A54-'Outil Cibles'!H$7&lt;=20,$A54-'Outil Cibles'!H$7&gt;0), 'Outil Cibles'!H$21, IF(AND($A54-'Outil Cibles'!H$7&lt;=40, $A54-'Outil Cibles'!H$7&gt;0), 'Outil Cibles'!H$22, 0)))</f>
        <v>0</v>
      </c>
      <c r="G54" s="23">
        <f>IF($A54='Outil Cibles'!I$7, 'Outil Cibles'!I$21, IF(AND($A54-'Outil Cibles'!I$7&lt;=20,$A54-'Outil Cibles'!I$7&gt;0), 'Outil Cibles'!I$21, IF(AND($A54-'Outil Cibles'!I$7&lt;=40, $A54-'Outil Cibles'!I$7&gt;0), 'Outil Cibles'!I$22, 0)))</f>
        <v>0</v>
      </c>
      <c r="H54" s="23">
        <f>IF($A54='Outil Cibles'!J$7, 'Outil Cibles'!J$21, IF(AND($A54-'Outil Cibles'!J$7&lt;=20,$A54-'Outil Cibles'!J$7&gt;0), 'Outil Cibles'!J$21, IF(AND($A54-'Outil Cibles'!J$7&lt;=40, $A54-'Outil Cibles'!J$7&gt;0), 'Outil Cibles'!J$22, 0)))</f>
        <v>0</v>
      </c>
      <c r="I54" s="23">
        <f>IF($A54='Outil Cibles'!K$7, 'Outil Cibles'!K$21, IF(AND($A54-'Outil Cibles'!K$7&lt;=20,$A54-'Outil Cibles'!K$7&gt;0), 'Outil Cibles'!K$21, IF(AND($A54-'Outil Cibles'!K$7&lt;=40, $A54-'Outil Cibles'!K$7&gt;0), 'Outil Cibles'!K$22, 0)))</f>
        <v>0</v>
      </c>
      <c r="J54" s="23">
        <f>IF($A54='Outil Cibles'!L$7, 'Outil Cibles'!L$21, IF(AND($A54-'Outil Cibles'!L$7&lt;=20,$A54-'Outil Cibles'!L$7&gt;0), 'Outil Cibles'!L$21, IF(AND($A54-'Outil Cibles'!L$7&lt;=40, $A54-'Outil Cibles'!L$7&gt;0), 'Outil Cibles'!L$22, 0)))</f>
        <v>0</v>
      </c>
      <c r="K54" s="23">
        <f>IF($A54='Outil Cibles'!M$7, 'Outil Cibles'!M$21, IF(AND($A54-'Outil Cibles'!M$7&lt;=20,$A54-'Outil Cibles'!M$7&gt;0), 'Outil Cibles'!M$21, IF(AND($A54-'Outil Cibles'!M$7&lt;=40, $A54-'Outil Cibles'!M$7&gt;0), 'Outil Cibles'!M$22, 0)))</f>
        <v>0</v>
      </c>
      <c r="L54" s="23">
        <f t="shared" si="2"/>
        <v>0</v>
      </c>
      <c r="N54">
        <v>2071</v>
      </c>
      <c r="O54">
        <f>B54*'Outil Cibles'!$D$8</f>
        <v>0</v>
      </c>
      <c r="P54">
        <f>C54*'Outil Cibles'!$E$8</f>
        <v>0</v>
      </c>
      <c r="Q54">
        <f>D54*'Outil Cibles'!$F$8</f>
        <v>0</v>
      </c>
      <c r="R54">
        <f>E54*'Outil Cibles'!$G$8</f>
        <v>0</v>
      </c>
      <c r="S54">
        <f>F54*'Outil Cibles'!$H$8</f>
        <v>0</v>
      </c>
      <c r="T54">
        <f>G54*'Outil Cibles'!$I$8</f>
        <v>0</v>
      </c>
      <c r="U54">
        <f>H54*'Outil Cibles'!$J$8</f>
        <v>0</v>
      </c>
      <c r="V54">
        <f>I54*'Outil Cibles'!$K$8</f>
        <v>0</v>
      </c>
      <c r="W54">
        <f>J54*'Outil Cibles'!$L$8</f>
        <v>0</v>
      </c>
      <c r="X54">
        <f>K54*'Outil Cibles'!$M$8</f>
        <v>0</v>
      </c>
      <c r="Y54">
        <f t="shared" si="3"/>
        <v>0</v>
      </c>
    </row>
    <row r="55" spans="1:25" x14ac:dyDescent="0.3">
      <c r="A55">
        <v>2072</v>
      </c>
      <c r="B55" s="23">
        <f>IF($A55='Outil Cibles'!D$7, 'Outil Cibles'!D$21, IF(AND($A55-'Outil Cibles'!D$7&lt;=20,$A55-'Outil Cibles'!D$7&gt;0), 'Outil Cibles'!D$21, IF(AND($A55-'Outil Cibles'!D$7&lt;=40, $A55-'Outil Cibles'!D$7&gt;0), 'Outil Cibles'!D$22, 0)))</f>
        <v>0</v>
      </c>
      <c r="C55" s="23">
        <f>IF($A55='Outil Cibles'!E$7, 'Outil Cibles'!E$21, IF(AND($A55-'Outil Cibles'!E$7&lt;=20,$A55-'Outil Cibles'!E$7&gt;0), 'Outil Cibles'!E$21, IF(AND($A55-'Outil Cibles'!E$7&lt;=40, $A55-'Outil Cibles'!E$7&gt;0), 'Outil Cibles'!E$22, 0)))</f>
        <v>0</v>
      </c>
      <c r="D55" s="23">
        <f>IF($A55='Outil Cibles'!F$7, 'Outil Cibles'!F$21, IF(AND($A55-'Outil Cibles'!F$7&lt;=20,$A55-'Outil Cibles'!F$7&gt;0), 'Outil Cibles'!F$21, IF(AND($A55-'Outil Cibles'!F$7&lt;=40, $A55-'Outil Cibles'!F$7&gt;0), 'Outil Cibles'!F$22, 0)))</f>
        <v>0</v>
      </c>
      <c r="E55" s="23">
        <f>IF($A55='Outil Cibles'!G$7, 'Outil Cibles'!G$21, IF(AND($A55-'Outil Cibles'!G$7&lt;=20,$A55-'Outil Cibles'!G$7&gt;0), 'Outil Cibles'!G$21, IF(AND($A55-'Outil Cibles'!G$7&lt;=40, $A55-'Outil Cibles'!G$7&gt;0), 'Outil Cibles'!G$22, 0)))</f>
        <v>0</v>
      </c>
      <c r="F55" s="23">
        <f>IF($A55='Outil Cibles'!H$7, 'Outil Cibles'!H$21, IF(AND($A55-'Outil Cibles'!H$7&lt;=20,$A55-'Outil Cibles'!H$7&gt;0), 'Outil Cibles'!H$21, IF(AND($A55-'Outil Cibles'!H$7&lt;=40, $A55-'Outil Cibles'!H$7&gt;0), 'Outil Cibles'!H$22, 0)))</f>
        <v>0</v>
      </c>
      <c r="G55" s="23">
        <f>IF($A55='Outil Cibles'!I$7, 'Outil Cibles'!I$21, IF(AND($A55-'Outil Cibles'!I$7&lt;=20,$A55-'Outil Cibles'!I$7&gt;0), 'Outil Cibles'!I$21, IF(AND($A55-'Outil Cibles'!I$7&lt;=40, $A55-'Outil Cibles'!I$7&gt;0), 'Outil Cibles'!I$22, 0)))</f>
        <v>0</v>
      </c>
      <c r="H55" s="23">
        <f>IF($A55='Outil Cibles'!J$7, 'Outil Cibles'!J$21, IF(AND($A55-'Outil Cibles'!J$7&lt;=20,$A55-'Outil Cibles'!J$7&gt;0), 'Outil Cibles'!J$21, IF(AND($A55-'Outil Cibles'!J$7&lt;=40, $A55-'Outil Cibles'!J$7&gt;0), 'Outil Cibles'!J$22, 0)))</f>
        <v>0</v>
      </c>
      <c r="I55" s="23">
        <f>IF($A55='Outil Cibles'!K$7, 'Outil Cibles'!K$21, IF(AND($A55-'Outil Cibles'!K$7&lt;=20,$A55-'Outil Cibles'!K$7&gt;0), 'Outil Cibles'!K$21, IF(AND($A55-'Outil Cibles'!K$7&lt;=40, $A55-'Outil Cibles'!K$7&gt;0), 'Outil Cibles'!K$22, 0)))</f>
        <v>0</v>
      </c>
      <c r="J55" s="23">
        <f>IF($A55='Outil Cibles'!L$7, 'Outil Cibles'!L$21, IF(AND($A55-'Outil Cibles'!L$7&lt;=20,$A55-'Outil Cibles'!L$7&gt;0), 'Outil Cibles'!L$21, IF(AND($A55-'Outil Cibles'!L$7&lt;=40, $A55-'Outil Cibles'!L$7&gt;0), 'Outil Cibles'!L$22, 0)))</f>
        <v>0</v>
      </c>
      <c r="K55" s="23">
        <f>IF($A55='Outil Cibles'!M$7, 'Outil Cibles'!M$21, IF(AND($A55-'Outil Cibles'!M$7&lt;=20,$A55-'Outil Cibles'!M$7&gt;0), 'Outil Cibles'!M$21, IF(AND($A55-'Outil Cibles'!M$7&lt;=40, $A55-'Outil Cibles'!M$7&gt;0), 'Outil Cibles'!M$22, 0)))</f>
        <v>0</v>
      </c>
      <c r="L55" s="23">
        <f t="shared" si="2"/>
        <v>0</v>
      </c>
      <c r="N55">
        <v>2072</v>
      </c>
      <c r="O55">
        <f>B55*'Outil Cibles'!$D$8</f>
        <v>0</v>
      </c>
      <c r="P55">
        <f>C55*'Outil Cibles'!$E$8</f>
        <v>0</v>
      </c>
      <c r="Q55">
        <f>D55*'Outil Cibles'!$F$8</f>
        <v>0</v>
      </c>
      <c r="R55">
        <f>E55*'Outil Cibles'!$G$8</f>
        <v>0</v>
      </c>
      <c r="S55">
        <f>F55*'Outil Cibles'!$H$8</f>
        <v>0</v>
      </c>
      <c r="T55">
        <f>G55*'Outil Cibles'!$I$8</f>
        <v>0</v>
      </c>
      <c r="U55">
        <f>H55*'Outil Cibles'!$J$8</f>
        <v>0</v>
      </c>
      <c r="V55">
        <f>I55*'Outil Cibles'!$K$8</f>
        <v>0</v>
      </c>
      <c r="W55">
        <f>J55*'Outil Cibles'!$L$8</f>
        <v>0</v>
      </c>
      <c r="X55">
        <f>K55*'Outil Cibles'!$M$8</f>
        <v>0</v>
      </c>
      <c r="Y55">
        <f t="shared" si="3"/>
        <v>0</v>
      </c>
    </row>
    <row r="56" spans="1:25" x14ac:dyDescent="0.3">
      <c r="A56">
        <v>2073</v>
      </c>
      <c r="B56" s="23">
        <f>IF($A56='Outil Cibles'!D$7, 'Outil Cibles'!D$21, IF(AND($A56-'Outil Cibles'!D$7&lt;=20,$A56-'Outil Cibles'!D$7&gt;0), 'Outil Cibles'!D$21, IF(AND($A56-'Outil Cibles'!D$7&lt;=40, $A56-'Outil Cibles'!D$7&gt;0), 'Outil Cibles'!D$22, 0)))</f>
        <v>0</v>
      </c>
      <c r="C56" s="23">
        <f>IF($A56='Outil Cibles'!E$7, 'Outil Cibles'!E$21, IF(AND($A56-'Outil Cibles'!E$7&lt;=20,$A56-'Outil Cibles'!E$7&gt;0), 'Outil Cibles'!E$21, IF(AND($A56-'Outil Cibles'!E$7&lt;=40, $A56-'Outil Cibles'!E$7&gt;0), 'Outil Cibles'!E$22, 0)))</f>
        <v>0</v>
      </c>
      <c r="D56" s="23">
        <f>IF($A56='Outil Cibles'!F$7, 'Outil Cibles'!F$21, IF(AND($A56-'Outil Cibles'!F$7&lt;=20,$A56-'Outil Cibles'!F$7&gt;0), 'Outil Cibles'!F$21, IF(AND($A56-'Outil Cibles'!F$7&lt;=40, $A56-'Outil Cibles'!F$7&gt;0), 'Outil Cibles'!F$22, 0)))</f>
        <v>0</v>
      </c>
      <c r="E56" s="23">
        <f>IF($A56='Outil Cibles'!G$7, 'Outil Cibles'!G$21, IF(AND($A56-'Outil Cibles'!G$7&lt;=20,$A56-'Outil Cibles'!G$7&gt;0), 'Outil Cibles'!G$21, IF(AND($A56-'Outil Cibles'!G$7&lt;=40, $A56-'Outil Cibles'!G$7&gt;0), 'Outil Cibles'!G$22, 0)))</f>
        <v>0</v>
      </c>
      <c r="F56" s="23">
        <f>IF($A56='Outil Cibles'!H$7, 'Outil Cibles'!H$21, IF(AND($A56-'Outil Cibles'!H$7&lt;=20,$A56-'Outil Cibles'!H$7&gt;0), 'Outil Cibles'!H$21, IF(AND($A56-'Outil Cibles'!H$7&lt;=40, $A56-'Outil Cibles'!H$7&gt;0), 'Outil Cibles'!H$22, 0)))</f>
        <v>0</v>
      </c>
      <c r="G56" s="23">
        <f>IF($A56='Outil Cibles'!I$7, 'Outil Cibles'!I$21, IF(AND($A56-'Outil Cibles'!I$7&lt;=20,$A56-'Outil Cibles'!I$7&gt;0), 'Outil Cibles'!I$21, IF(AND($A56-'Outil Cibles'!I$7&lt;=40, $A56-'Outil Cibles'!I$7&gt;0), 'Outil Cibles'!I$22, 0)))</f>
        <v>0</v>
      </c>
      <c r="H56" s="23">
        <f>IF($A56='Outil Cibles'!J$7, 'Outil Cibles'!J$21, IF(AND($A56-'Outil Cibles'!J$7&lt;=20,$A56-'Outil Cibles'!J$7&gt;0), 'Outil Cibles'!J$21, IF(AND($A56-'Outil Cibles'!J$7&lt;=40, $A56-'Outil Cibles'!J$7&gt;0), 'Outil Cibles'!J$22, 0)))</f>
        <v>0</v>
      </c>
      <c r="I56" s="23">
        <f>IF($A56='Outil Cibles'!K$7, 'Outil Cibles'!K$21, IF(AND($A56-'Outil Cibles'!K$7&lt;=20,$A56-'Outil Cibles'!K$7&gt;0), 'Outil Cibles'!K$21, IF(AND($A56-'Outil Cibles'!K$7&lt;=40, $A56-'Outil Cibles'!K$7&gt;0), 'Outil Cibles'!K$22, 0)))</f>
        <v>0</v>
      </c>
      <c r="J56" s="23">
        <f>IF($A56='Outil Cibles'!L$7, 'Outil Cibles'!L$21, IF(AND($A56-'Outil Cibles'!L$7&lt;=20,$A56-'Outil Cibles'!L$7&gt;0), 'Outil Cibles'!L$21, IF(AND($A56-'Outil Cibles'!L$7&lt;=40, $A56-'Outil Cibles'!L$7&gt;0), 'Outil Cibles'!L$22, 0)))</f>
        <v>0</v>
      </c>
      <c r="K56" s="23">
        <f>IF($A56='Outil Cibles'!M$7, 'Outil Cibles'!M$21, IF(AND($A56-'Outil Cibles'!M$7&lt;=20,$A56-'Outil Cibles'!M$7&gt;0), 'Outil Cibles'!M$21, IF(AND($A56-'Outil Cibles'!M$7&lt;=40, $A56-'Outil Cibles'!M$7&gt;0), 'Outil Cibles'!M$22, 0)))</f>
        <v>0</v>
      </c>
      <c r="L56" s="23">
        <f t="shared" si="2"/>
        <v>0</v>
      </c>
      <c r="N56">
        <v>2073</v>
      </c>
      <c r="O56">
        <f>B56*'Outil Cibles'!$D$8</f>
        <v>0</v>
      </c>
      <c r="P56">
        <f>C56*'Outil Cibles'!$E$8</f>
        <v>0</v>
      </c>
      <c r="Q56">
        <f>D56*'Outil Cibles'!$F$8</f>
        <v>0</v>
      </c>
      <c r="R56">
        <f>E56*'Outil Cibles'!$G$8</f>
        <v>0</v>
      </c>
      <c r="S56">
        <f>F56*'Outil Cibles'!$H$8</f>
        <v>0</v>
      </c>
      <c r="T56">
        <f>G56*'Outil Cibles'!$I$8</f>
        <v>0</v>
      </c>
      <c r="U56">
        <f>H56*'Outil Cibles'!$J$8</f>
        <v>0</v>
      </c>
      <c r="V56">
        <f>I56*'Outil Cibles'!$K$8</f>
        <v>0</v>
      </c>
      <c r="W56">
        <f>J56*'Outil Cibles'!$L$8</f>
        <v>0</v>
      </c>
      <c r="X56">
        <f>K56*'Outil Cibles'!$M$8</f>
        <v>0</v>
      </c>
      <c r="Y56">
        <f t="shared" si="3"/>
        <v>0</v>
      </c>
    </row>
    <row r="57" spans="1:25" x14ac:dyDescent="0.3">
      <c r="A57">
        <v>2074</v>
      </c>
      <c r="B57" s="23">
        <f>IF($A57='Outil Cibles'!D$7, 'Outil Cibles'!D$21, IF(AND($A57-'Outil Cibles'!D$7&lt;=20,$A57-'Outil Cibles'!D$7&gt;0), 'Outil Cibles'!D$21, IF(AND($A57-'Outil Cibles'!D$7&lt;=40, $A57-'Outil Cibles'!D$7&gt;0), 'Outil Cibles'!D$22, 0)))</f>
        <v>0</v>
      </c>
      <c r="C57" s="23">
        <f>IF($A57='Outil Cibles'!E$7, 'Outil Cibles'!E$21, IF(AND($A57-'Outil Cibles'!E$7&lt;=20,$A57-'Outil Cibles'!E$7&gt;0), 'Outil Cibles'!E$21, IF(AND($A57-'Outil Cibles'!E$7&lt;=40, $A57-'Outil Cibles'!E$7&gt;0), 'Outil Cibles'!E$22, 0)))</f>
        <v>0</v>
      </c>
      <c r="D57" s="23">
        <f>IF($A57='Outil Cibles'!F$7, 'Outil Cibles'!F$21, IF(AND($A57-'Outil Cibles'!F$7&lt;=20,$A57-'Outil Cibles'!F$7&gt;0), 'Outil Cibles'!F$21, IF(AND($A57-'Outil Cibles'!F$7&lt;=40, $A57-'Outil Cibles'!F$7&gt;0), 'Outil Cibles'!F$22, 0)))</f>
        <v>0</v>
      </c>
      <c r="E57" s="23">
        <f>IF($A57='Outil Cibles'!G$7, 'Outil Cibles'!G$21, IF(AND($A57-'Outil Cibles'!G$7&lt;=20,$A57-'Outil Cibles'!G$7&gt;0), 'Outil Cibles'!G$21, IF(AND($A57-'Outil Cibles'!G$7&lt;=40, $A57-'Outil Cibles'!G$7&gt;0), 'Outil Cibles'!G$22, 0)))</f>
        <v>0</v>
      </c>
      <c r="F57" s="23">
        <f>IF($A57='Outil Cibles'!H$7, 'Outil Cibles'!H$21, IF(AND($A57-'Outil Cibles'!H$7&lt;=20,$A57-'Outil Cibles'!H$7&gt;0), 'Outil Cibles'!H$21, IF(AND($A57-'Outil Cibles'!H$7&lt;=40, $A57-'Outil Cibles'!H$7&gt;0), 'Outil Cibles'!H$22, 0)))</f>
        <v>0</v>
      </c>
      <c r="G57" s="23">
        <f>IF($A57='Outil Cibles'!I$7, 'Outil Cibles'!I$21, IF(AND($A57-'Outil Cibles'!I$7&lt;=20,$A57-'Outil Cibles'!I$7&gt;0), 'Outil Cibles'!I$21, IF(AND($A57-'Outil Cibles'!I$7&lt;=40, $A57-'Outil Cibles'!I$7&gt;0), 'Outil Cibles'!I$22, 0)))</f>
        <v>0</v>
      </c>
      <c r="H57" s="23">
        <f>IF($A57='Outil Cibles'!J$7, 'Outil Cibles'!J$21, IF(AND($A57-'Outil Cibles'!J$7&lt;=20,$A57-'Outil Cibles'!J$7&gt;0), 'Outil Cibles'!J$21, IF(AND($A57-'Outil Cibles'!J$7&lt;=40, $A57-'Outil Cibles'!J$7&gt;0), 'Outil Cibles'!J$22, 0)))</f>
        <v>0</v>
      </c>
      <c r="I57" s="23">
        <f>IF($A57='Outil Cibles'!K$7, 'Outil Cibles'!K$21, IF(AND($A57-'Outil Cibles'!K$7&lt;=20,$A57-'Outil Cibles'!K$7&gt;0), 'Outil Cibles'!K$21, IF(AND($A57-'Outil Cibles'!K$7&lt;=40, $A57-'Outil Cibles'!K$7&gt;0), 'Outil Cibles'!K$22, 0)))</f>
        <v>0</v>
      </c>
      <c r="J57" s="23">
        <f>IF($A57='Outil Cibles'!L$7, 'Outil Cibles'!L$21, IF(AND($A57-'Outil Cibles'!L$7&lt;=20,$A57-'Outil Cibles'!L$7&gt;0), 'Outil Cibles'!L$21, IF(AND($A57-'Outil Cibles'!L$7&lt;=40, $A57-'Outil Cibles'!L$7&gt;0), 'Outil Cibles'!L$22, 0)))</f>
        <v>0</v>
      </c>
      <c r="K57" s="23">
        <f>IF($A57='Outil Cibles'!M$7, 'Outil Cibles'!M$21, IF(AND($A57-'Outil Cibles'!M$7&lt;=20,$A57-'Outil Cibles'!M$7&gt;0), 'Outil Cibles'!M$21, IF(AND($A57-'Outil Cibles'!M$7&lt;=40, $A57-'Outil Cibles'!M$7&gt;0), 'Outil Cibles'!M$22, 0)))</f>
        <v>0</v>
      </c>
      <c r="L57" s="23">
        <f t="shared" si="2"/>
        <v>0</v>
      </c>
      <c r="N57" s="10">
        <v>2074</v>
      </c>
      <c r="O57">
        <f>B57*'Outil Cibles'!$D$8</f>
        <v>0</v>
      </c>
      <c r="P57">
        <f>C57*'Outil Cibles'!$E$8</f>
        <v>0</v>
      </c>
      <c r="Q57">
        <f>D57*'Outil Cibles'!$F$8</f>
        <v>0</v>
      </c>
      <c r="R57">
        <f>E57*'Outil Cibles'!$G$8</f>
        <v>0</v>
      </c>
      <c r="S57">
        <f>F57*'Outil Cibles'!$H$8</f>
        <v>0</v>
      </c>
      <c r="T57">
        <f>G57*'Outil Cibles'!$I$8</f>
        <v>0</v>
      </c>
      <c r="U57">
        <f>H57*'Outil Cibles'!$J$8</f>
        <v>0</v>
      </c>
      <c r="V57">
        <f>I57*'Outil Cibles'!$K$8</f>
        <v>0</v>
      </c>
      <c r="W57">
        <f>J57*'Outil Cibles'!$L$8</f>
        <v>0</v>
      </c>
      <c r="X57">
        <f>K57*'Outil Cibles'!$M$8</f>
        <v>0</v>
      </c>
      <c r="Y57">
        <f t="shared" si="3"/>
        <v>0</v>
      </c>
    </row>
    <row r="58" spans="1:25" x14ac:dyDescent="0.3">
      <c r="A58" s="10">
        <v>2075</v>
      </c>
      <c r="B58" s="23">
        <f>IF($A58='Outil Cibles'!D$7, 'Outil Cibles'!D$21, IF(AND($A58-'Outil Cibles'!D$7&lt;=20,$A58-'Outil Cibles'!D$7&gt;0), 'Outil Cibles'!D$21, IF(AND($A58-'Outil Cibles'!D$7&lt;=40, $A58-'Outil Cibles'!D$7&gt;0), 'Outil Cibles'!D$22, 0)))</f>
        <v>0</v>
      </c>
      <c r="C58" s="23">
        <f>IF($A58='Outil Cibles'!E$7, 'Outil Cibles'!E$21, IF(AND($A58-'Outil Cibles'!E$7&lt;=20,$A58-'Outil Cibles'!E$7&gt;0), 'Outil Cibles'!E$21, IF(AND($A58-'Outil Cibles'!E$7&lt;=40, $A58-'Outil Cibles'!E$7&gt;0), 'Outil Cibles'!E$22, 0)))</f>
        <v>0</v>
      </c>
      <c r="D58" s="23">
        <f>IF($A58='Outil Cibles'!F$7, 'Outil Cibles'!F$21, IF(AND($A58-'Outil Cibles'!F$7&lt;=20,$A58-'Outil Cibles'!F$7&gt;0), 'Outil Cibles'!F$21, IF(AND($A58-'Outil Cibles'!F$7&lt;=40, $A58-'Outil Cibles'!F$7&gt;0), 'Outil Cibles'!F$22, 0)))</f>
        <v>0</v>
      </c>
      <c r="E58" s="23">
        <f>IF($A58='Outil Cibles'!G$7, 'Outil Cibles'!G$21, IF(AND($A58-'Outil Cibles'!G$7&lt;=20,$A58-'Outil Cibles'!G$7&gt;0), 'Outil Cibles'!G$21, IF(AND($A58-'Outil Cibles'!G$7&lt;=40, $A58-'Outil Cibles'!G$7&gt;0), 'Outil Cibles'!G$22, 0)))</f>
        <v>0</v>
      </c>
      <c r="F58" s="23">
        <f>IF($A58='Outil Cibles'!H$7, 'Outil Cibles'!H$21, IF(AND($A58-'Outil Cibles'!H$7&lt;=20,$A58-'Outil Cibles'!H$7&gt;0), 'Outil Cibles'!H$21, IF(AND($A58-'Outil Cibles'!H$7&lt;=40, $A58-'Outil Cibles'!H$7&gt;0), 'Outil Cibles'!H$22, 0)))</f>
        <v>0</v>
      </c>
      <c r="G58" s="23">
        <f>IF($A58='Outil Cibles'!I$7, 'Outil Cibles'!I$21, IF(AND($A58-'Outil Cibles'!I$7&lt;=20,$A58-'Outil Cibles'!I$7&gt;0), 'Outil Cibles'!I$21, IF(AND($A58-'Outil Cibles'!I$7&lt;=40, $A58-'Outil Cibles'!I$7&gt;0), 'Outil Cibles'!I$22, 0)))</f>
        <v>0</v>
      </c>
      <c r="H58" s="23">
        <f>IF($A58='Outil Cibles'!J$7, 'Outil Cibles'!J$21, IF(AND($A58-'Outil Cibles'!J$7&lt;=20,$A58-'Outil Cibles'!J$7&gt;0), 'Outil Cibles'!J$21, IF(AND($A58-'Outil Cibles'!J$7&lt;=40, $A58-'Outil Cibles'!J$7&gt;0), 'Outil Cibles'!J$22, 0)))</f>
        <v>0</v>
      </c>
      <c r="I58" s="23">
        <f>IF($A58='Outil Cibles'!K$7, 'Outil Cibles'!K$21, IF(AND($A58-'Outil Cibles'!K$7&lt;=20,$A58-'Outil Cibles'!K$7&gt;0), 'Outil Cibles'!K$21, IF(AND($A58-'Outil Cibles'!K$7&lt;=40, $A58-'Outil Cibles'!K$7&gt;0), 'Outil Cibles'!K$22, 0)))</f>
        <v>0</v>
      </c>
      <c r="J58" s="23">
        <f>IF($A58='Outil Cibles'!L$7, 'Outil Cibles'!L$21, IF(AND($A58-'Outil Cibles'!L$7&lt;=20,$A58-'Outil Cibles'!L$7&gt;0), 'Outil Cibles'!L$21, IF(AND($A58-'Outil Cibles'!L$7&lt;=40, $A58-'Outil Cibles'!L$7&gt;0), 'Outil Cibles'!L$22, 0)))</f>
        <v>0</v>
      </c>
      <c r="K58" s="23">
        <f>IF($A58='Outil Cibles'!M$7, 'Outil Cibles'!M$21, IF(AND($A58-'Outil Cibles'!M$7&lt;=20,$A58-'Outil Cibles'!M$7&gt;0), 'Outil Cibles'!M$21, IF(AND($A58-'Outil Cibles'!M$7&lt;=40, $A58-'Outil Cibles'!M$7&gt;0), 'Outil Cibles'!M$22, 0)))</f>
        <v>0</v>
      </c>
      <c r="L58" s="23">
        <f t="shared" si="2"/>
        <v>0</v>
      </c>
      <c r="N58" s="10">
        <v>2075</v>
      </c>
      <c r="O58">
        <f>B58*'Outil Cibles'!$D$8</f>
        <v>0</v>
      </c>
      <c r="P58">
        <f>C58*'Outil Cibles'!$E$8</f>
        <v>0</v>
      </c>
      <c r="Q58">
        <f>D58*'Outil Cibles'!$F$8</f>
        <v>0</v>
      </c>
      <c r="R58">
        <f>E58*'Outil Cibles'!$G$8</f>
        <v>0</v>
      </c>
      <c r="S58">
        <f>F58*'Outil Cibles'!$H$8</f>
        <v>0</v>
      </c>
      <c r="T58">
        <f>G58*'Outil Cibles'!$I$8</f>
        <v>0</v>
      </c>
      <c r="U58">
        <f>H58*'Outil Cibles'!$J$8</f>
        <v>0</v>
      </c>
      <c r="V58">
        <f>I58*'Outil Cibles'!$K$8</f>
        <v>0</v>
      </c>
      <c r="W58">
        <f>J58*'Outil Cibles'!$L$8</f>
        <v>0</v>
      </c>
      <c r="X58">
        <f>K58*'Outil Cibles'!$M$8</f>
        <v>0</v>
      </c>
      <c r="Y58">
        <f t="shared" si="3"/>
        <v>0</v>
      </c>
    </row>
    <row r="59" spans="1:25" x14ac:dyDescent="0.3">
      <c r="A59">
        <v>2076</v>
      </c>
      <c r="B59" s="23">
        <f>IF($A59='Outil Cibles'!D$7, 'Outil Cibles'!D$21, IF(AND($A59-'Outil Cibles'!D$7&lt;=20,$A59-'Outil Cibles'!D$7&gt;0), 'Outil Cibles'!D$21, IF(AND($A59-'Outil Cibles'!D$7&lt;=40, $A59-'Outil Cibles'!D$7&gt;0), 'Outil Cibles'!D$22, 0)))</f>
        <v>0</v>
      </c>
      <c r="C59" s="23">
        <f>IF($A59='Outil Cibles'!E$7, 'Outil Cibles'!E$21, IF(AND($A59-'Outil Cibles'!E$7&lt;=20,$A59-'Outil Cibles'!E$7&gt;0), 'Outil Cibles'!E$21, IF(AND($A59-'Outil Cibles'!E$7&lt;=40, $A59-'Outil Cibles'!E$7&gt;0), 'Outil Cibles'!E$22, 0)))</f>
        <v>0</v>
      </c>
      <c r="D59" s="23">
        <f>IF($A59='Outil Cibles'!F$7, 'Outil Cibles'!F$21, IF(AND($A59-'Outil Cibles'!F$7&lt;=20,$A59-'Outil Cibles'!F$7&gt;0), 'Outil Cibles'!F$21, IF(AND($A59-'Outil Cibles'!F$7&lt;=40, $A59-'Outil Cibles'!F$7&gt;0), 'Outil Cibles'!F$22, 0)))</f>
        <v>0</v>
      </c>
      <c r="E59" s="23">
        <f>IF($A59='Outil Cibles'!G$7, 'Outil Cibles'!G$21, IF(AND($A59-'Outil Cibles'!G$7&lt;=20,$A59-'Outil Cibles'!G$7&gt;0), 'Outil Cibles'!G$21, IF(AND($A59-'Outil Cibles'!G$7&lt;=40, $A59-'Outil Cibles'!G$7&gt;0), 'Outil Cibles'!G$22, 0)))</f>
        <v>0</v>
      </c>
      <c r="F59" s="23">
        <f>IF($A59='Outil Cibles'!H$7, 'Outil Cibles'!H$21, IF(AND($A59-'Outil Cibles'!H$7&lt;=20,$A59-'Outil Cibles'!H$7&gt;0), 'Outil Cibles'!H$21, IF(AND($A59-'Outil Cibles'!H$7&lt;=40, $A59-'Outil Cibles'!H$7&gt;0), 'Outil Cibles'!H$22, 0)))</f>
        <v>0</v>
      </c>
      <c r="G59" s="23">
        <f>IF($A59='Outil Cibles'!I$7, 'Outil Cibles'!I$21, IF(AND($A59-'Outil Cibles'!I$7&lt;=20,$A59-'Outil Cibles'!I$7&gt;0), 'Outil Cibles'!I$21, IF(AND($A59-'Outil Cibles'!I$7&lt;=40, $A59-'Outil Cibles'!I$7&gt;0), 'Outil Cibles'!I$22, 0)))</f>
        <v>0</v>
      </c>
      <c r="H59" s="23">
        <f>IF($A59='Outil Cibles'!J$7, 'Outil Cibles'!J$21, IF(AND($A59-'Outil Cibles'!J$7&lt;=20,$A59-'Outil Cibles'!J$7&gt;0), 'Outil Cibles'!J$21, IF(AND($A59-'Outil Cibles'!J$7&lt;=40, $A59-'Outil Cibles'!J$7&gt;0), 'Outil Cibles'!J$22, 0)))</f>
        <v>0</v>
      </c>
      <c r="I59" s="23">
        <f>IF($A59='Outil Cibles'!K$7, 'Outil Cibles'!K$21, IF(AND($A59-'Outil Cibles'!K$7&lt;=20,$A59-'Outil Cibles'!K$7&gt;0), 'Outil Cibles'!K$21, IF(AND($A59-'Outil Cibles'!K$7&lt;=40, $A59-'Outil Cibles'!K$7&gt;0), 'Outil Cibles'!K$22, 0)))</f>
        <v>0</v>
      </c>
      <c r="J59" s="23">
        <f>IF($A59='Outil Cibles'!L$7, 'Outil Cibles'!L$21, IF(AND($A59-'Outil Cibles'!L$7&lt;=20,$A59-'Outil Cibles'!L$7&gt;0), 'Outil Cibles'!L$21, IF(AND($A59-'Outil Cibles'!L$7&lt;=40, $A59-'Outil Cibles'!L$7&gt;0), 'Outil Cibles'!L$22, 0)))</f>
        <v>0</v>
      </c>
      <c r="K59" s="23">
        <f>IF($A59='Outil Cibles'!M$7, 'Outil Cibles'!M$21, IF(AND($A59-'Outil Cibles'!M$7&lt;=20,$A59-'Outil Cibles'!M$7&gt;0), 'Outil Cibles'!M$21, IF(AND($A59-'Outil Cibles'!M$7&lt;=40, $A59-'Outil Cibles'!M$7&gt;0), 'Outil Cibles'!M$22, 0)))</f>
        <v>0</v>
      </c>
      <c r="L59" s="23">
        <f t="shared" si="2"/>
        <v>0</v>
      </c>
      <c r="N59">
        <v>2076</v>
      </c>
      <c r="O59">
        <f>B59*'Outil Cibles'!$D$8</f>
        <v>0</v>
      </c>
      <c r="P59">
        <f>C59*'Outil Cibles'!$E$8</f>
        <v>0</v>
      </c>
      <c r="Q59">
        <f>D59*'Outil Cibles'!$F$8</f>
        <v>0</v>
      </c>
      <c r="R59">
        <f>E59*'Outil Cibles'!$G$8</f>
        <v>0</v>
      </c>
      <c r="S59">
        <f>F59*'Outil Cibles'!$H$8</f>
        <v>0</v>
      </c>
      <c r="T59">
        <f>G59*'Outil Cibles'!$I$8</f>
        <v>0</v>
      </c>
      <c r="U59">
        <f>H59*'Outil Cibles'!$J$8</f>
        <v>0</v>
      </c>
      <c r="V59">
        <f>I59*'Outil Cibles'!$K$8</f>
        <v>0</v>
      </c>
      <c r="W59">
        <f>J59*'Outil Cibles'!$L$8</f>
        <v>0</v>
      </c>
      <c r="X59">
        <f>K59*'Outil Cibles'!$M$8</f>
        <v>0</v>
      </c>
      <c r="Y59">
        <f t="shared" si="3"/>
        <v>0</v>
      </c>
    </row>
    <row r="60" spans="1:25" x14ac:dyDescent="0.3">
      <c r="A60">
        <v>2077</v>
      </c>
      <c r="B60" s="23">
        <f>IF($A60='Outil Cibles'!D$7, 'Outil Cibles'!D$21, IF(AND($A60-'Outil Cibles'!D$7&lt;=20,$A60-'Outil Cibles'!D$7&gt;0), 'Outil Cibles'!D$21, IF(AND($A60-'Outil Cibles'!D$7&lt;=40, $A60-'Outil Cibles'!D$7&gt;0), 'Outil Cibles'!D$22, 0)))</f>
        <v>0</v>
      </c>
      <c r="C60" s="23">
        <f>IF($A60='Outil Cibles'!E$7, 'Outil Cibles'!E$21, IF(AND($A60-'Outil Cibles'!E$7&lt;=20,$A60-'Outil Cibles'!E$7&gt;0), 'Outil Cibles'!E$21, IF(AND($A60-'Outil Cibles'!E$7&lt;=40, $A60-'Outil Cibles'!E$7&gt;0), 'Outil Cibles'!E$22, 0)))</f>
        <v>0</v>
      </c>
      <c r="D60" s="23">
        <f>IF($A60='Outil Cibles'!F$7, 'Outil Cibles'!F$21, IF(AND($A60-'Outil Cibles'!F$7&lt;=20,$A60-'Outil Cibles'!F$7&gt;0), 'Outil Cibles'!F$21, IF(AND($A60-'Outil Cibles'!F$7&lt;=40, $A60-'Outil Cibles'!F$7&gt;0), 'Outil Cibles'!F$22, 0)))</f>
        <v>0</v>
      </c>
      <c r="E60" s="23">
        <f>IF($A60='Outil Cibles'!G$7, 'Outil Cibles'!G$21, IF(AND($A60-'Outil Cibles'!G$7&lt;=20,$A60-'Outil Cibles'!G$7&gt;0), 'Outil Cibles'!G$21, IF(AND($A60-'Outil Cibles'!G$7&lt;=40, $A60-'Outil Cibles'!G$7&gt;0), 'Outil Cibles'!G$22, 0)))</f>
        <v>0</v>
      </c>
      <c r="F60" s="23">
        <f>IF($A60='Outil Cibles'!H$7, 'Outil Cibles'!H$21, IF(AND($A60-'Outil Cibles'!H$7&lt;=20,$A60-'Outil Cibles'!H$7&gt;0), 'Outil Cibles'!H$21, IF(AND($A60-'Outil Cibles'!H$7&lt;=40, $A60-'Outil Cibles'!H$7&gt;0), 'Outil Cibles'!H$22, 0)))</f>
        <v>0</v>
      </c>
      <c r="G60" s="23">
        <f>IF($A60='Outil Cibles'!I$7, 'Outil Cibles'!I$21, IF(AND($A60-'Outil Cibles'!I$7&lt;=20,$A60-'Outil Cibles'!I$7&gt;0), 'Outil Cibles'!I$21, IF(AND($A60-'Outil Cibles'!I$7&lt;=40, $A60-'Outil Cibles'!I$7&gt;0), 'Outil Cibles'!I$22, 0)))</f>
        <v>0</v>
      </c>
      <c r="H60" s="23">
        <f>IF($A60='Outil Cibles'!J$7, 'Outil Cibles'!J$21, IF(AND($A60-'Outil Cibles'!J$7&lt;=20,$A60-'Outil Cibles'!J$7&gt;0), 'Outil Cibles'!J$21, IF(AND($A60-'Outil Cibles'!J$7&lt;=40, $A60-'Outil Cibles'!J$7&gt;0), 'Outil Cibles'!J$22, 0)))</f>
        <v>0</v>
      </c>
      <c r="I60" s="23">
        <f>IF($A60='Outil Cibles'!K$7, 'Outil Cibles'!K$21, IF(AND($A60-'Outil Cibles'!K$7&lt;=20,$A60-'Outil Cibles'!K$7&gt;0), 'Outil Cibles'!K$21, IF(AND($A60-'Outil Cibles'!K$7&lt;=40, $A60-'Outil Cibles'!K$7&gt;0), 'Outil Cibles'!K$22, 0)))</f>
        <v>0</v>
      </c>
      <c r="J60" s="23">
        <f>IF($A60='Outil Cibles'!L$7, 'Outil Cibles'!L$21, IF(AND($A60-'Outil Cibles'!L$7&lt;=20,$A60-'Outil Cibles'!L$7&gt;0), 'Outil Cibles'!L$21, IF(AND($A60-'Outil Cibles'!L$7&lt;=40, $A60-'Outil Cibles'!L$7&gt;0), 'Outil Cibles'!L$22, 0)))</f>
        <v>0</v>
      </c>
      <c r="K60" s="23">
        <f>IF($A60='Outil Cibles'!M$7, 'Outil Cibles'!M$21, IF(AND($A60-'Outil Cibles'!M$7&lt;=20,$A60-'Outil Cibles'!M$7&gt;0), 'Outil Cibles'!M$21, IF(AND($A60-'Outil Cibles'!M$7&lt;=40, $A60-'Outil Cibles'!M$7&gt;0), 'Outil Cibles'!M$22, 0)))</f>
        <v>0</v>
      </c>
      <c r="L60" s="23">
        <f t="shared" si="2"/>
        <v>0</v>
      </c>
      <c r="N60">
        <v>2077</v>
      </c>
      <c r="O60">
        <f>B60*'Outil Cibles'!$D$8</f>
        <v>0</v>
      </c>
      <c r="P60">
        <f>C60*'Outil Cibles'!$E$8</f>
        <v>0</v>
      </c>
      <c r="Q60">
        <f>D60*'Outil Cibles'!$F$8</f>
        <v>0</v>
      </c>
      <c r="R60">
        <f>E60*'Outil Cibles'!$G$8</f>
        <v>0</v>
      </c>
      <c r="S60">
        <f>F60*'Outil Cibles'!$H$8</f>
        <v>0</v>
      </c>
      <c r="T60">
        <f>G60*'Outil Cibles'!$I$8</f>
        <v>0</v>
      </c>
      <c r="U60">
        <f>H60*'Outil Cibles'!$J$8</f>
        <v>0</v>
      </c>
      <c r="V60">
        <f>I60*'Outil Cibles'!$K$8</f>
        <v>0</v>
      </c>
      <c r="W60">
        <f>J60*'Outil Cibles'!$L$8</f>
        <v>0</v>
      </c>
      <c r="X60">
        <f>K60*'Outil Cibles'!$M$8</f>
        <v>0</v>
      </c>
      <c r="Y60">
        <f t="shared" si="3"/>
        <v>0</v>
      </c>
    </row>
    <row r="61" spans="1:25" x14ac:dyDescent="0.3">
      <c r="A61">
        <v>2078</v>
      </c>
      <c r="B61" s="23">
        <f>IF($A61='Outil Cibles'!D$7, 'Outil Cibles'!D$21, IF(AND($A61-'Outil Cibles'!D$7&lt;=20,$A61-'Outil Cibles'!D$7&gt;0), 'Outil Cibles'!D$21, IF(AND($A61-'Outil Cibles'!D$7&lt;=40, $A61-'Outil Cibles'!D$7&gt;0), 'Outil Cibles'!D$22, 0)))</f>
        <v>0</v>
      </c>
      <c r="C61" s="23">
        <f>IF($A61='Outil Cibles'!E$7, 'Outil Cibles'!E$21, IF(AND($A61-'Outil Cibles'!E$7&lt;=20,$A61-'Outil Cibles'!E$7&gt;0), 'Outil Cibles'!E$21, IF(AND($A61-'Outil Cibles'!E$7&lt;=40, $A61-'Outil Cibles'!E$7&gt;0), 'Outil Cibles'!E$22, 0)))</f>
        <v>0</v>
      </c>
      <c r="D61" s="23">
        <f>IF($A61='Outil Cibles'!F$7, 'Outil Cibles'!F$21, IF(AND($A61-'Outil Cibles'!F$7&lt;=20,$A61-'Outil Cibles'!F$7&gt;0), 'Outil Cibles'!F$21, IF(AND($A61-'Outil Cibles'!F$7&lt;=40, $A61-'Outil Cibles'!F$7&gt;0), 'Outil Cibles'!F$22, 0)))</f>
        <v>0</v>
      </c>
      <c r="E61" s="23">
        <f>IF($A61='Outil Cibles'!G$7, 'Outil Cibles'!G$21, IF(AND($A61-'Outil Cibles'!G$7&lt;=20,$A61-'Outil Cibles'!G$7&gt;0), 'Outil Cibles'!G$21, IF(AND($A61-'Outil Cibles'!G$7&lt;=40, $A61-'Outil Cibles'!G$7&gt;0), 'Outil Cibles'!G$22, 0)))</f>
        <v>0</v>
      </c>
      <c r="F61" s="23">
        <f>IF($A61='Outil Cibles'!H$7, 'Outil Cibles'!H$21, IF(AND($A61-'Outil Cibles'!H$7&lt;=20,$A61-'Outil Cibles'!H$7&gt;0), 'Outil Cibles'!H$21, IF(AND($A61-'Outil Cibles'!H$7&lt;=40, $A61-'Outil Cibles'!H$7&gt;0), 'Outil Cibles'!H$22, 0)))</f>
        <v>0</v>
      </c>
      <c r="G61" s="23">
        <f>IF($A61='Outil Cibles'!I$7, 'Outil Cibles'!I$21, IF(AND($A61-'Outil Cibles'!I$7&lt;=20,$A61-'Outil Cibles'!I$7&gt;0), 'Outil Cibles'!I$21, IF(AND($A61-'Outil Cibles'!I$7&lt;=40, $A61-'Outil Cibles'!I$7&gt;0), 'Outil Cibles'!I$22, 0)))</f>
        <v>0</v>
      </c>
      <c r="H61" s="23">
        <f>IF($A61='Outil Cibles'!J$7, 'Outil Cibles'!J$21, IF(AND($A61-'Outil Cibles'!J$7&lt;=20,$A61-'Outil Cibles'!J$7&gt;0), 'Outil Cibles'!J$21, IF(AND($A61-'Outil Cibles'!J$7&lt;=40, $A61-'Outil Cibles'!J$7&gt;0), 'Outil Cibles'!J$22, 0)))</f>
        <v>0</v>
      </c>
      <c r="I61" s="23">
        <f>IF($A61='Outil Cibles'!K$7, 'Outil Cibles'!K$21, IF(AND($A61-'Outil Cibles'!K$7&lt;=20,$A61-'Outil Cibles'!K$7&gt;0), 'Outil Cibles'!K$21, IF(AND($A61-'Outil Cibles'!K$7&lt;=40, $A61-'Outil Cibles'!K$7&gt;0), 'Outil Cibles'!K$22, 0)))</f>
        <v>0</v>
      </c>
      <c r="J61" s="23">
        <f>IF($A61='Outil Cibles'!L$7, 'Outil Cibles'!L$21, IF(AND($A61-'Outil Cibles'!L$7&lt;=20,$A61-'Outil Cibles'!L$7&gt;0), 'Outil Cibles'!L$21, IF(AND($A61-'Outil Cibles'!L$7&lt;=40, $A61-'Outil Cibles'!L$7&gt;0), 'Outil Cibles'!L$22, 0)))</f>
        <v>0</v>
      </c>
      <c r="K61" s="23">
        <f>IF($A61='Outil Cibles'!M$7, 'Outil Cibles'!M$21, IF(AND($A61-'Outil Cibles'!M$7&lt;=20,$A61-'Outil Cibles'!M$7&gt;0), 'Outil Cibles'!M$21, IF(AND($A61-'Outil Cibles'!M$7&lt;=40, $A61-'Outil Cibles'!M$7&gt;0), 'Outil Cibles'!M$22, 0)))</f>
        <v>0</v>
      </c>
      <c r="L61" s="23">
        <f t="shared" si="2"/>
        <v>0</v>
      </c>
      <c r="N61">
        <v>2078</v>
      </c>
      <c r="O61">
        <f>B61*'Outil Cibles'!$D$8</f>
        <v>0</v>
      </c>
      <c r="P61">
        <f>C61*'Outil Cibles'!$E$8</f>
        <v>0</v>
      </c>
      <c r="Q61">
        <f>D61*'Outil Cibles'!$F$8</f>
        <v>0</v>
      </c>
      <c r="R61">
        <f>E61*'Outil Cibles'!$G$8</f>
        <v>0</v>
      </c>
      <c r="S61">
        <f>F61*'Outil Cibles'!$H$8</f>
        <v>0</v>
      </c>
      <c r="T61">
        <f>G61*'Outil Cibles'!$I$8</f>
        <v>0</v>
      </c>
      <c r="U61">
        <f>H61*'Outil Cibles'!$J$8</f>
        <v>0</v>
      </c>
      <c r="V61">
        <f>I61*'Outil Cibles'!$K$8</f>
        <v>0</v>
      </c>
      <c r="W61">
        <f>J61*'Outil Cibles'!$L$8</f>
        <v>0</v>
      </c>
      <c r="X61">
        <f>K61*'Outil Cibles'!$M$8</f>
        <v>0</v>
      </c>
      <c r="Y61">
        <f t="shared" si="3"/>
        <v>0</v>
      </c>
    </row>
    <row r="62" spans="1:25" x14ac:dyDescent="0.3">
      <c r="A62">
        <v>2079</v>
      </c>
      <c r="B62" s="23">
        <f>IF($A62='Outil Cibles'!D$7, 'Outil Cibles'!D$21, IF(AND($A62-'Outil Cibles'!D$7&lt;=20,$A62-'Outil Cibles'!D$7&gt;0), 'Outil Cibles'!D$21, IF(AND($A62-'Outil Cibles'!D$7&lt;=40, $A62-'Outil Cibles'!D$7&gt;0), 'Outil Cibles'!D$22, 0)))</f>
        <v>0</v>
      </c>
      <c r="C62" s="23">
        <f>IF($A62='Outil Cibles'!E$7, 'Outil Cibles'!E$21, IF(AND($A62-'Outil Cibles'!E$7&lt;=20,$A62-'Outil Cibles'!E$7&gt;0), 'Outil Cibles'!E$21, IF(AND($A62-'Outil Cibles'!E$7&lt;=40, $A62-'Outil Cibles'!E$7&gt;0), 'Outil Cibles'!E$22, 0)))</f>
        <v>0</v>
      </c>
      <c r="D62" s="23">
        <f>IF($A62='Outil Cibles'!F$7, 'Outil Cibles'!F$21, IF(AND($A62-'Outil Cibles'!F$7&lt;=20,$A62-'Outil Cibles'!F$7&gt;0), 'Outil Cibles'!F$21, IF(AND($A62-'Outil Cibles'!F$7&lt;=40, $A62-'Outil Cibles'!F$7&gt;0), 'Outil Cibles'!F$22, 0)))</f>
        <v>0</v>
      </c>
      <c r="E62" s="23">
        <f>IF($A62='Outil Cibles'!G$7, 'Outil Cibles'!G$21, IF(AND($A62-'Outil Cibles'!G$7&lt;=20,$A62-'Outil Cibles'!G$7&gt;0), 'Outil Cibles'!G$21, IF(AND($A62-'Outil Cibles'!G$7&lt;=40, $A62-'Outil Cibles'!G$7&gt;0), 'Outil Cibles'!G$22, 0)))</f>
        <v>0</v>
      </c>
      <c r="F62" s="23">
        <f>IF($A62='Outil Cibles'!H$7, 'Outil Cibles'!H$21, IF(AND($A62-'Outil Cibles'!H$7&lt;=20,$A62-'Outil Cibles'!H$7&gt;0), 'Outil Cibles'!H$21, IF(AND($A62-'Outil Cibles'!H$7&lt;=40, $A62-'Outil Cibles'!H$7&gt;0), 'Outil Cibles'!H$22, 0)))</f>
        <v>0</v>
      </c>
      <c r="G62" s="23">
        <f>IF($A62='Outil Cibles'!I$7, 'Outil Cibles'!I$21, IF(AND($A62-'Outil Cibles'!I$7&lt;=20,$A62-'Outil Cibles'!I$7&gt;0), 'Outil Cibles'!I$21, IF(AND($A62-'Outil Cibles'!I$7&lt;=40, $A62-'Outil Cibles'!I$7&gt;0), 'Outil Cibles'!I$22, 0)))</f>
        <v>0</v>
      </c>
      <c r="H62" s="23">
        <f>IF($A62='Outil Cibles'!J$7, 'Outil Cibles'!J$21, IF(AND($A62-'Outil Cibles'!J$7&lt;=20,$A62-'Outil Cibles'!J$7&gt;0), 'Outil Cibles'!J$21, IF(AND($A62-'Outil Cibles'!J$7&lt;=40, $A62-'Outil Cibles'!J$7&gt;0), 'Outil Cibles'!J$22, 0)))</f>
        <v>0</v>
      </c>
      <c r="I62" s="23">
        <f>IF($A62='Outil Cibles'!K$7, 'Outil Cibles'!K$21, IF(AND($A62-'Outil Cibles'!K$7&lt;=20,$A62-'Outil Cibles'!K$7&gt;0), 'Outil Cibles'!K$21, IF(AND($A62-'Outil Cibles'!K$7&lt;=40, $A62-'Outil Cibles'!K$7&gt;0), 'Outil Cibles'!K$22, 0)))</f>
        <v>0</v>
      </c>
      <c r="J62" s="23">
        <f>IF($A62='Outil Cibles'!L$7, 'Outil Cibles'!L$21, IF(AND($A62-'Outil Cibles'!L$7&lt;=20,$A62-'Outil Cibles'!L$7&gt;0), 'Outil Cibles'!L$21, IF(AND($A62-'Outil Cibles'!L$7&lt;=40, $A62-'Outil Cibles'!L$7&gt;0), 'Outil Cibles'!L$22, 0)))</f>
        <v>0</v>
      </c>
      <c r="K62" s="23">
        <f>IF($A62='Outil Cibles'!M$7, 'Outil Cibles'!M$21, IF(AND($A62-'Outil Cibles'!M$7&lt;=20,$A62-'Outil Cibles'!M$7&gt;0), 'Outil Cibles'!M$21, IF(AND($A62-'Outil Cibles'!M$7&lt;=40, $A62-'Outil Cibles'!M$7&gt;0), 'Outil Cibles'!M$22, 0)))</f>
        <v>0</v>
      </c>
      <c r="L62" s="23">
        <f t="shared" si="2"/>
        <v>0</v>
      </c>
      <c r="N62">
        <v>2079</v>
      </c>
      <c r="O62">
        <f>B62*'Outil Cibles'!$D$8</f>
        <v>0</v>
      </c>
      <c r="P62">
        <f>C62*'Outil Cibles'!$E$8</f>
        <v>0</v>
      </c>
      <c r="Q62">
        <f>D62*'Outil Cibles'!$F$8</f>
        <v>0</v>
      </c>
      <c r="R62">
        <f>E62*'Outil Cibles'!$G$8</f>
        <v>0</v>
      </c>
      <c r="S62">
        <f>F62*'Outil Cibles'!$H$8</f>
        <v>0</v>
      </c>
      <c r="T62">
        <f>G62*'Outil Cibles'!$I$8</f>
        <v>0</v>
      </c>
      <c r="U62">
        <f>H62*'Outil Cibles'!$J$8</f>
        <v>0</v>
      </c>
      <c r="V62">
        <f>I62*'Outil Cibles'!$K$8</f>
        <v>0</v>
      </c>
      <c r="W62">
        <f>J62*'Outil Cibles'!$L$8</f>
        <v>0</v>
      </c>
      <c r="X62">
        <f>K62*'Outil Cibles'!$M$8</f>
        <v>0</v>
      </c>
      <c r="Y62">
        <f t="shared" si="3"/>
        <v>0</v>
      </c>
    </row>
    <row r="63" spans="1:25" x14ac:dyDescent="0.3">
      <c r="A63" s="10">
        <v>2080</v>
      </c>
      <c r="B63" s="23">
        <f>IF($A63='Outil Cibles'!D$7, 'Outil Cibles'!D$21, IF(AND($A63-'Outil Cibles'!D$7&lt;=20,$A63-'Outil Cibles'!D$7&gt;0), 'Outil Cibles'!D$21, IF(AND($A63-'Outil Cibles'!D$7&lt;=40, $A63-'Outil Cibles'!D$7&gt;0), 'Outil Cibles'!D$22, 0)))</f>
        <v>0</v>
      </c>
      <c r="C63" s="23">
        <f>IF($A63='Outil Cibles'!E$7, 'Outil Cibles'!E$21, IF(AND($A63-'Outil Cibles'!E$7&lt;=20,$A63-'Outil Cibles'!E$7&gt;0), 'Outil Cibles'!E$21, IF(AND($A63-'Outil Cibles'!E$7&lt;=40, $A63-'Outil Cibles'!E$7&gt;0), 'Outil Cibles'!E$22, 0)))</f>
        <v>0</v>
      </c>
      <c r="D63" s="23">
        <f>IF($A63='Outil Cibles'!F$7, 'Outil Cibles'!F$21, IF(AND($A63-'Outil Cibles'!F$7&lt;=20,$A63-'Outil Cibles'!F$7&gt;0), 'Outil Cibles'!F$21, IF(AND($A63-'Outil Cibles'!F$7&lt;=40, $A63-'Outil Cibles'!F$7&gt;0), 'Outil Cibles'!F$22, 0)))</f>
        <v>0</v>
      </c>
      <c r="E63" s="23">
        <f>IF($A63='Outil Cibles'!G$7, 'Outil Cibles'!G$21, IF(AND($A63-'Outil Cibles'!G$7&lt;=20,$A63-'Outil Cibles'!G$7&gt;0), 'Outil Cibles'!G$21, IF(AND($A63-'Outil Cibles'!G$7&lt;=40, $A63-'Outil Cibles'!G$7&gt;0), 'Outil Cibles'!G$22, 0)))</f>
        <v>0</v>
      </c>
      <c r="F63" s="23">
        <f>IF($A63='Outil Cibles'!H$7, 'Outil Cibles'!H$21, IF(AND($A63-'Outil Cibles'!H$7&lt;=20,$A63-'Outil Cibles'!H$7&gt;0), 'Outil Cibles'!H$21, IF(AND($A63-'Outil Cibles'!H$7&lt;=40, $A63-'Outil Cibles'!H$7&gt;0), 'Outil Cibles'!H$22, 0)))</f>
        <v>0</v>
      </c>
      <c r="G63" s="23">
        <f>IF($A63='Outil Cibles'!I$7, 'Outil Cibles'!I$21, IF(AND($A63-'Outil Cibles'!I$7&lt;=20,$A63-'Outil Cibles'!I$7&gt;0), 'Outil Cibles'!I$21, IF(AND($A63-'Outil Cibles'!I$7&lt;=40, $A63-'Outil Cibles'!I$7&gt;0), 'Outil Cibles'!I$22, 0)))</f>
        <v>0</v>
      </c>
      <c r="H63" s="23">
        <f>IF($A63='Outil Cibles'!J$7, 'Outil Cibles'!J$21, IF(AND($A63-'Outil Cibles'!J$7&lt;=20,$A63-'Outil Cibles'!J$7&gt;0), 'Outil Cibles'!J$21, IF(AND($A63-'Outil Cibles'!J$7&lt;=40, $A63-'Outil Cibles'!J$7&gt;0), 'Outil Cibles'!J$22, 0)))</f>
        <v>0</v>
      </c>
      <c r="I63" s="23">
        <f>IF($A63='Outil Cibles'!K$7, 'Outil Cibles'!K$21, IF(AND($A63-'Outil Cibles'!K$7&lt;=20,$A63-'Outil Cibles'!K$7&gt;0), 'Outil Cibles'!K$21, IF(AND($A63-'Outil Cibles'!K$7&lt;=40, $A63-'Outil Cibles'!K$7&gt;0), 'Outil Cibles'!K$22, 0)))</f>
        <v>0</v>
      </c>
      <c r="J63" s="23">
        <f>IF($A63='Outil Cibles'!L$7, 'Outil Cibles'!L$21, IF(AND($A63-'Outil Cibles'!L$7&lt;=20,$A63-'Outil Cibles'!L$7&gt;0), 'Outil Cibles'!L$21, IF(AND($A63-'Outil Cibles'!L$7&lt;=40, $A63-'Outil Cibles'!L$7&gt;0), 'Outil Cibles'!L$22, 0)))</f>
        <v>0</v>
      </c>
      <c r="K63" s="23">
        <f>IF($A63='Outil Cibles'!M$7, 'Outil Cibles'!M$21, IF(AND($A63-'Outil Cibles'!M$7&lt;=20,$A63-'Outil Cibles'!M$7&gt;0), 'Outil Cibles'!M$21, IF(AND($A63-'Outil Cibles'!M$7&lt;=40, $A63-'Outil Cibles'!M$7&gt;0), 'Outil Cibles'!M$22, 0)))</f>
        <v>0</v>
      </c>
      <c r="L63" s="23">
        <f t="shared" si="2"/>
        <v>0</v>
      </c>
      <c r="N63" s="10">
        <v>2080</v>
      </c>
      <c r="O63">
        <f>B63*'Outil Cibles'!$D$8</f>
        <v>0</v>
      </c>
      <c r="P63">
        <f>C63*'Outil Cibles'!$E$8</f>
        <v>0</v>
      </c>
      <c r="Q63">
        <f>D63*'Outil Cibles'!$F$8</f>
        <v>0</v>
      </c>
      <c r="R63">
        <f>E63*'Outil Cibles'!$G$8</f>
        <v>0</v>
      </c>
      <c r="S63">
        <f>F63*'Outil Cibles'!$H$8</f>
        <v>0</v>
      </c>
      <c r="T63">
        <f>G63*'Outil Cibles'!$I$8</f>
        <v>0</v>
      </c>
      <c r="U63">
        <f>H63*'Outil Cibles'!$J$8</f>
        <v>0</v>
      </c>
      <c r="V63">
        <f>I63*'Outil Cibles'!$K$8</f>
        <v>0</v>
      </c>
      <c r="W63">
        <f>J63*'Outil Cibles'!$L$8</f>
        <v>0</v>
      </c>
      <c r="X63">
        <f>K63*'Outil Cibles'!$M$8</f>
        <v>0</v>
      </c>
      <c r="Y63">
        <f t="shared" si="3"/>
        <v>0</v>
      </c>
    </row>
    <row r="64" spans="1:25" x14ac:dyDescent="0.3">
      <c r="A64">
        <v>2081</v>
      </c>
      <c r="B64" s="23">
        <f>IF($A64='Outil Cibles'!D$7, 'Outil Cibles'!D$21, IF(AND($A64-'Outil Cibles'!D$7&lt;=20,$A64-'Outil Cibles'!D$7&gt;0), 'Outil Cibles'!D$21, IF(AND($A64-'Outil Cibles'!D$7&lt;=40, $A64-'Outil Cibles'!D$7&gt;0), 'Outil Cibles'!D$22, 0)))</f>
        <v>0</v>
      </c>
      <c r="C64" s="23">
        <f>IF($A64='Outil Cibles'!E$7, 'Outil Cibles'!E$21, IF(AND($A64-'Outil Cibles'!E$7&lt;=20,$A64-'Outil Cibles'!E$7&gt;0), 'Outil Cibles'!E$21, IF(AND($A64-'Outil Cibles'!E$7&lt;=40, $A64-'Outil Cibles'!E$7&gt;0), 'Outil Cibles'!E$22, 0)))</f>
        <v>0</v>
      </c>
      <c r="D64" s="23">
        <f>IF($A64='Outil Cibles'!F$7, 'Outil Cibles'!F$21, IF(AND($A64-'Outil Cibles'!F$7&lt;=20,$A64-'Outil Cibles'!F$7&gt;0), 'Outil Cibles'!F$21, IF(AND($A64-'Outil Cibles'!F$7&lt;=40, $A64-'Outil Cibles'!F$7&gt;0), 'Outil Cibles'!F$22, 0)))</f>
        <v>0</v>
      </c>
      <c r="E64" s="23">
        <f>IF($A64='Outil Cibles'!G$7, 'Outil Cibles'!G$21, IF(AND($A64-'Outil Cibles'!G$7&lt;=20,$A64-'Outil Cibles'!G$7&gt;0), 'Outil Cibles'!G$21, IF(AND($A64-'Outil Cibles'!G$7&lt;=40, $A64-'Outil Cibles'!G$7&gt;0), 'Outil Cibles'!G$22, 0)))</f>
        <v>0</v>
      </c>
      <c r="F64" s="23">
        <f>IF($A64='Outil Cibles'!H$7, 'Outil Cibles'!H$21, IF(AND($A64-'Outil Cibles'!H$7&lt;=20,$A64-'Outil Cibles'!H$7&gt;0), 'Outil Cibles'!H$21, IF(AND($A64-'Outil Cibles'!H$7&lt;=40, $A64-'Outil Cibles'!H$7&gt;0), 'Outil Cibles'!H$22, 0)))</f>
        <v>0</v>
      </c>
      <c r="G64" s="23">
        <f>IF($A64='Outil Cibles'!I$7, 'Outil Cibles'!I$21, IF(AND($A64-'Outil Cibles'!I$7&lt;=20,$A64-'Outil Cibles'!I$7&gt;0), 'Outil Cibles'!I$21, IF(AND($A64-'Outil Cibles'!I$7&lt;=40, $A64-'Outil Cibles'!I$7&gt;0), 'Outil Cibles'!I$22, 0)))</f>
        <v>0</v>
      </c>
      <c r="H64" s="23">
        <f>IF($A64='Outil Cibles'!J$7, 'Outil Cibles'!J$21, IF(AND($A64-'Outil Cibles'!J$7&lt;=20,$A64-'Outil Cibles'!J$7&gt;0), 'Outil Cibles'!J$21, IF(AND($A64-'Outil Cibles'!J$7&lt;=40, $A64-'Outil Cibles'!J$7&gt;0), 'Outil Cibles'!J$22, 0)))</f>
        <v>0</v>
      </c>
      <c r="I64" s="23">
        <f>IF($A64='Outil Cibles'!K$7, 'Outil Cibles'!K$21, IF(AND($A64-'Outil Cibles'!K$7&lt;=20,$A64-'Outil Cibles'!K$7&gt;0), 'Outil Cibles'!K$21, IF(AND($A64-'Outil Cibles'!K$7&lt;=40, $A64-'Outil Cibles'!K$7&gt;0), 'Outil Cibles'!K$22, 0)))</f>
        <v>0</v>
      </c>
      <c r="J64" s="23">
        <f>IF($A64='Outil Cibles'!L$7, 'Outil Cibles'!L$21, IF(AND($A64-'Outil Cibles'!L$7&lt;=20,$A64-'Outil Cibles'!L$7&gt;0), 'Outil Cibles'!L$21, IF(AND($A64-'Outil Cibles'!L$7&lt;=40, $A64-'Outil Cibles'!L$7&gt;0), 'Outil Cibles'!L$22, 0)))</f>
        <v>0</v>
      </c>
      <c r="K64" s="23">
        <f>IF($A64='Outil Cibles'!M$7, 'Outil Cibles'!M$21, IF(AND($A64-'Outil Cibles'!M$7&lt;=20,$A64-'Outil Cibles'!M$7&gt;0), 'Outil Cibles'!M$21, IF(AND($A64-'Outil Cibles'!M$7&lt;=40, $A64-'Outil Cibles'!M$7&gt;0), 'Outil Cibles'!M$22, 0)))</f>
        <v>0</v>
      </c>
      <c r="L64" s="23">
        <f t="shared" si="2"/>
        <v>0</v>
      </c>
      <c r="N64" s="10">
        <v>2081</v>
      </c>
      <c r="O64">
        <f>B64*'Outil Cibles'!$D$8</f>
        <v>0</v>
      </c>
      <c r="P64">
        <f>C64*'Outil Cibles'!$E$8</f>
        <v>0</v>
      </c>
      <c r="Q64">
        <f>D64*'Outil Cibles'!$F$8</f>
        <v>0</v>
      </c>
      <c r="R64">
        <f>E64*'Outil Cibles'!$G$8</f>
        <v>0</v>
      </c>
      <c r="S64">
        <f>F64*'Outil Cibles'!$H$8</f>
        <v>0</v>
      </c>
      <c r="T64">
        <f>G64*'Outil Cibles'!$I$8</f>
        <v>0</v>
      </c>
      <c r="U64">
        <f>H64*'Outil Cibles'!$J$8</f>
        <v>0</v>
      </c>
      <c r="V64">
        <f>I64*'Outil Cibles'!$K$8</f>
        <v>0</v>
      </c>
      <c r="W64">
        <f>J64*'Outil Cibles'!$L$8</f>
        <v>0</v>
      </c>
      <c r="X64">
        <f>K64*'Outil Cibles'!$M$8</f>
        <v>0</v>
      </c>
      <c r="Y64">
        <f t="shared" si="3"/>
        <v>0</v>
      </c>
    </row>
    <row r="65" spans="1:25" x14ac:dyDescent="0.3">
      <c r="A65">
        <v>2082</v>
      </c>
      <c r="B65" s="23">
        <f>IF($A65='Outil Cibles'!D$7, 'Outil Cibles'!D$21, IF(AND($A65-'Outil Cibles'!D$7&lt;=20,$A65-'Outil Cibles'!D$7&gt;0), 'Outil Cibles'!D$21, IF(AND($A65-'Outil Cibles'!D$7&lt;=40, $A65-'Outil Cibles'!D$7&gt;0), 'Outil Cibles'!D$22, 0)))</f>
        <v>0</v>
      </c>
      <c r="C65" s="23">
        <f>IF($A65='Outil Cibles'!E$7, 'Outil Cibles'!E$21, IF(AND($A65-'Outil Cibles'!E$7&lt;=20,$A65-'Outil Cibles'!E$7&gt;0), 'Outil Cibles'!E$21, IF(AND($A65-'Outil Cibles'!E$7&lt;=40, $A65-'Outil Cibles'!E$7&gt;0), 'Outil Cibles'!E$22, 0)))</f>
        <v>0</v>
      </c>
      <c r="D65" s="23">
        <f>IF($A65='Outil Cibles'!F$7, 'Outil Cibles'!F$21, IF(AND($A65-'Outil Cibles'!F$7&lt;=20,$A65-'Outil Cibles'!F$7&gt;0), 'Outil Cibles'!F$21, IF(AND($A65-'Outil Cibles'!F$7&lt;=40, $A65-'Outil Cibles'!F$7&gt;0), 'Outil Cibles'!F$22, 0)))</f>
        <v>0</v>
      </c>
      <c r="E65" s="23">
        <f>IF($A65='Outil Cibles'!G$7, 'Outil Cibles'!G$21, IF(AND($A65-'Outil Cibles'!G$7&lt;=20,$A65-'Outil Cibles'!G$7&gt;0), 'Outil Cibles'!G$21, IF(AND($A65-'Outil Cibles'!G$7&lt;=40, $A65-'Outil Cibles'!G$7&gt;0), 'Outil Cibles'!G$22, 0)))</f>
        <v>0</v>
      </c>
      <c r="F65" s="23">
        <f>IF($A65='Outil Cibles'!H$7, 'Outil Cibles'!H$21, IF(AND($A65-'Outil Cibles'!H$7&lt;=20,$A65-'Outil Cibles'!H$7&gt;0), 'Outil Cibles'!H$21, IF(AND($A65-'Outil Cibles'!H$7&lt;=40, $A65-'Outil Cibles'!H$7&gt;0), 'Outil Cibles'!H$22, 0)))</f>
        <v>0</v>
      </c>
      <c r="G65" s="23">
        <f>IF($A65='Outil Cibles'!I$7, 'Outil Cibles'!I$21, IF(AND($A65-'Outil Cibles'!I$7&lt;=20,$A65-'Outil Cibles'!I$7&gt;0), 'Outil Cibles'!I$21, IF(AND($A65-'Outil Cibles'!I$7&lt;=40, $A65-'Outil Cibles'!I$7&gt;0), 'Outil Cibles'!I$22, 0)))</f>
        <v>0</v>
      </c>
      <c r="H65" s="23">
        <f>IF($A65='Outil Cibles'!J$7, 'Outil Cibles'!J$21, IF(AND($A65-'Outil Cibles'!J$7&lt;=20,$A65-'Outil Cibles'!J$7&gt;0), 'Outil Cibles'!J$21, IF(AND($A65-'Outil Cibles'!J$7&lt;=40, $A65-'Outil Cibles'!J$7&gt;0), 'Outil Cibles'!J$22, 0)))</f>
        <v>0</v>
      </c>
      <c r="I65" s="23">
        <f>IF($A65='Outil Cibles'!K$7, 'Outil Cibles'!K$21, IF(AND($A65-'Outil Cibles'!K$7&lt;=20,$A65-'Outil Cibles'!K$7&gt;0), 'Outil Cibles'!K$21, IF(AND($A65-'Outil Cibles'!K$7&lt;=40, $A65-'Outil Cibles'!K$7&gt;0), 'Outil Cibles'!K$22, 0)))</f>
        <v>0</v>
      </c>
      <c r="J65" s="23">
        <f>IF($A65='Outil Cibles'!L$7, 'Outil Cibles'!L$21, IF(AND($A65-'Outil Cibles'!L$7&lt;=20,$A65-'Outil Cibles'!L$7&gt;0), 'Outil Cibles'!L$21, IF(AND($A65-'Outil Cibles'!L$7&lt;=40, $A65-'Outil Cibles'!L$7&gt;0), 'Outil Cibles'!L$22, 0)))</f>
        <v>0</v>
      </c>
      <c r="K65" s="23">
        <f>IF($A65='Outil Cibles'!M$7, 'Outil Cibles'!M$21, IF(AND($A65-'Outil Cibles'!M$7&lt;=20,$A65-'Outil Cibles'!M$7&gt;0), 'Outil Cibles'!M$21, IF(AND($A65-'Outil Cibles'!M$7&lt;=40, $A65-'Outil Cibles'!M$7&gt;0), 'Outil Cibles'!M$22, 0)))</f>
        <v>0</v>
      </c>
      <c r="L65" s="23">
        <f t="shared" si="2"/>
        <v>0</v>
      </c>
      <c r="N65">
        <v>2082</v>
      </c>
      <c r="O65">
        <f>B65*'Outil Cibles'!$D$8</f>
        <v>0</v>
      </c>
      <c r="P65">
        <f>C65*'Outil Cibles'!$E$8</f>
        <v>0</v>
      </c>
      <c r="Q65">
        <f>D65*'Outil Cibles'!$F$8</f>
        <v>0</v>
      </c>
      <c r="R65">
        <f>E65*'Outil Cibles'!$G$8</f>
        <v>0</v>
      </c>
      <c r="S65">
        <f>F65*'Outil Cibles'!$H$8</f>
        <v>0</v>
      </c>
      <c r="T65">
        <f>G65*'Outil Cibles'!$I$8</f>
        <v>0</v>
      </c>
      <c r="U65">
        <f>H65*'Outil Cibles'!$J$8</f>
        <v>0</v>
      </c>
      <c r="V65">
        <f>I65*'Outil Cibles'!$K$8</f>
        <v>0</v>
      </c>
      <c r="W65">
        <f>J65*'Outil Cibles'!$L$8</f>
        <v>0</v>
      </c>
      <c r="X65">
        <f>K65*'Outil Cibles'!$M$8</f>
        <v>0</v>
      </c>
      <c r="Y65">
        <f t="shared" si="3"/>
        <v>0</v>
      </c>
    </row>
    <row r="66" spans="1:25" x14ac:dyDescent="0.3">
      <c r="A66">
        <v>2083</v>
      </c>
      <c r="B66" s="23">
        <f>IF($A66='Outil Cibles'!D$7, 'Outil Cibles'!D$21, IF(AND($A66-'Outil Cibles'!D$7&lt;=20,$A66-'Outil Cibles'!D$7&gt;0), 'Outil Cibles'!D$21, IF(AND($A66-'Outil Cibles'!D$7&lt;=40, $A66-'Outil Cibles'!D$7&gt;0), 'Outil Cibles'!D$22, 0)))</f>
        <v>0</v>
      </c>
      <c r="C66" s="23">
        <f>IF($A66='Outil Cibles'!E$7, 'Outil Cibles'!E$21, IF(AND($A66-'Outil Cibles'!E$7&lt;=20,$A66-'Outil Cibles'!E$7&gt;0), 'Outil Cibles'!E$21, IF(AND($A66-'Outil Cibles'!E$7&lt;=40, $A66-'Outil Cibles'!E$7&gt;0), 'Outil Cibles'!E$22, 0)))</f>
        <v>0</v>
      </c>
      <c r="D66" s="23">
        <f>IF($A66='Outil Cibles'!F$7, 'Outil Cibles'!F$21, IF(AND($A66-'Outil Cibles'!F$7&lt;=20,$A66-'Outil Cibles'!F$7&gt;0), 'Outil Cibles'!F$21, IF(AND($A66-'Outil Cibles'!F$7&lt;=40, $A66-'Outil Cibles'!F$7&gt;0), 'Outil Cibles'!F$22, 0)))</f>
        <v>0</v>
      </c>
      <c r="E66" s="23">
        <f>IF($A66='Outil Cibles'!G$7, 'Outil Cibles'!G$21, IF(AND($A66-'Outil Cibles'!G$7&lt;=20,$A66-'Outil Cibles'!G$7&gt;0), 'Outil Cibles'!G$21, IF(AND($A66-'Outil Cibles'!G$7&lt;=40, $A66-'Outil Cibles'!G$7&gt;0), 'Outil Cibles'!G$22, 0)))</f>
        <v>0</v>
      </c>
      <c r="F66" s="23">
        <f>IF($A66='Outil Cibles'!H$7, 'Outil Cibles'!H$21, IF(AND($A66-'Outil Cibles'!H$7&lt;=20,$A66-'Outil Cibles'!H$7&gt;0), 'Outil Cibles'!H$21, IF(AND($A66-'Outil Cibles'!H$7&lt;=40, $A66-'Outil Cibles'!H$7&gt;0), 'Outil Cibles'!H$22, 0)))</f>
        <v>0</v>
      </c>
      <c r="G66" s="23">
        <f>IF($A66='Outil Cibles'!I$7, 'Outil Cibles'!I$21, IF(AND($A66-'Outil Cibles'!I$7&lt;=20,$A66-'Outil Cibles'!I$7&gt;0), 'Outil Cibles'!I$21, IF(AND($A66-'Outil Cibles'!I$7&lt;=40, $A66-'Outil Cibles'!I$7&gt;0), 'Outil Cibles'!I$22, 0)))</f>
        <v>0</v>
      </c>
      <c r="H66" s="23">
        <f>IF($A66='Outil Cibles'!J$7, 'Outil Cibles'!J$21, IF(AND($A66-'Outil Cibles'!J$7&lt;=20,$A66-'Outil Cibles'!J$7&gt;0), 'Outil Cibles'!J$21, IF(AND($A66-'Outil Cibles'!J$7&lt;=40, $A66-'Outil Cibles'!J$7&gt;0), 'Outil Cibles'!J$22, 0)))</f>
        <v>0</v>
      </c>
      <c r="I66" s="23">
        <f>IF($A66='Outil Cibles'!K$7, 'Outil Cibles'!K$21, IF(AND($A66-'Outil Cibles'!K$7&lt;=20,$A66-'Outil Cibles'!K$7&gt;0), 'Outil Cibles'!K$21, IF(AND($A66-'Outil Cibles'!K$7&lt;=40, $A66-'Outil Cibles'!K$7&gt;0), 'Outil Cibles'!K$22, 0)))</f>
        <v>0</v>
      </c>
      <c r="J66" s="23">
        <f>IF($A66='Outil Cibles'!L$7, 'Outil Cibles'!L$21, IF(AND($A66-'Outil Cibles'!L$7&lt;=20,$A66-'Outil Cibles'!L$7&gt;0), 'Outil Cibles'!L$21, IF(AND($A66-'Outil Cibles'!L$7&lt;=40, $A66-'Outil Cibles'!L$7&gt;0), 'Outil Cibles'!L$22, 0)))</f>
        <v>0</v>
      </c>
      <c r="K66" s="23">
        <f>IF($A66='Outil Cibles'!M$7, 'Outil Cibles'!M$21, IF(AND($A66-'Outil Cibles'!M$7&lt;=20,$A66-'Outil Cibles'!M$7&gt;0), 'Outil Cibles'!M$21, IF(AND($A66-'Outil Cibles'!M$7&lt;=40, $A66-'Outil Cibles'!M$7&gt;0), 'Outil Cibles'!M$22, 0)))</f>
        <v>0</v>
      </c>
      <c r="L66" s="23">
        <f t="shared" si="2"/>
        <v>0</v>
      </c>
      <c r="N66">
        <v>2083</v>
      </c>
      <c r="O66">
        <f>B66*'Outil Cibles'!$D$8</f>
        <v>0</v>
      </c>
      <c r="P66">
        <f>C66*'Outil Cibles'!$E$8</f>
        <v>0</v>
      </c>
      <c r="Q66">
        <f>D66*'Outil Cibles'!$F$8</f>
        <v>0</v>
      </c>
      <c r="R66">
        <f>E66*'Outil Cibles'!$G$8</f>
        <v>0</v>
      </c>
      <c r="S66">
        <f>F66*'Outil Cibles'!$H$8</f>
        <v>0</v>
      </c>
      <c r="T66">
        <f>G66*'Outil Cibles'!$I$8</f>
        <v>0</v>
      </c>
      <c r="U66">
        <f>H66*'Outil Cibles'!$J$8</f>
        <v>0</v>
      </c>
      <c r="V66">
        <f>I66*'Outil Cibles'!$K$8</f>
        <v>0</v>
      </c>
      <c r="W66">
        <f>J66*'Outil Cibles'!$L$8</f>
        <v>0</v>
      </c>
      <c r="X66">
        <f>K66*'Outil Cibles'!$M$8</f>
        <v>0</v>
      </c>
      <c r="Y66">
        <f t="shared" si="3"/>
        <v>0</v>
      </c>
    </row>
    <row r="67" spans="1:25" x14ac:dyDescent="0.3">
      <c r="A67">
        <v>2084</v>
      </c>
      <c r="B67" s="23">
        <f>IF($A67='Outil Cibles'!D$7, 'Outil Cibles'!D$21, IF(AND($A67-'Outil Cibles'!D$7&lt;=20,$A67-'Outil Cibles'!D$7&gt;0), 'Outil Cibles'!D$21, IF(AND($A67-'Outil Cibles'!D$7&lt;=40, $A67-'Outil Cibles'!D$7&gt;0), 'Outil Cibles'!D$22, 0)))</f>
        <v>0</v>
      </c>
      <c r="C67" s="23">
        <f>IF($A67='Outil Cibles'!E$7, 'Outil Cibles'!E$21, IF(AND($A67-'Outil Cibles'!E$7&lt;=20,$A67-'Outil Cibles'!E$7&gt;0), 'Outil Cibles'!E$21, IF(AND($A67-'Outil Cibles'!E$7&lt;=40, $A67-'Outil Cibles'!E$7&gt;0), 'Outil Cibles'!E$22, 0)))</f>
        <v>0</v>
      </c>
      <c r="D67" s="23">
        <f>IF($A67='Outil Cibles'!F$7, 'Outil Cibles'!F$21, IF(AND($A67-'Outil Cibles'!F$7&lt;=20,$A67-'Outil Cibles'!F$7&gt;0), 'Outil Cibles'!F$21, IF(AND($A67-'Outil Cibles'!F$7&lt;=40, $A67-'Outil Cibles'!F$7&gt;0), 'Outil Cibles'!F$22, 0)))</f>
        <v>0</v>
      </c>
      <c r="E67" s="23">
        <f>IF($A67='Outil Cibles'!G$7, 'Outil Cibles'!G$21, IF(AND($A67-'Outil Cibles'!G$7&lt;=20,$A67-'Outil Cibles'!G$7&gt;0), 'Outil Cibles'!G$21, IF(AND($A67-'Outil Cibles'!G$7&lt;=40, $A67-'Outil Cibles'!G$7&gt;0), 'Outil Cibles'!G$22, 0)))</f>
        <v>0</v>
      </c>
      <c r="F67" s="23">
        <f>IF($A67='Outil Cibles'!H$7, 'Outil Cibles'!H$21, IF(AND($A67-'Outil Cibles'!H$7&lt;=20,$A67-'Outil Cibles'!H$7&gt;0), 'Outil Cibles'!H$21, IF(AND($A67-'Outil Cibles'!H$7&lt;=40, $A67-'Outil Cibles'!H$7&gt;0), 'Outil Cibles'!H$22, 0)))</f>
        <v>0</v>
      </c>
      <c r="G67" s="23">
        <f>IF($A67='Outil Cibles'!I$7, 'Outil Cibles'!I$21, IF(AND($A67-'Outil Cibles'!I$7&lt;=20,$A67-'Outil Cibles'!I$7&gt;0), 'Outil Cibles'!I$21, IF(AND($A67-'Outil Cibles'!I$7&lt;=40, $A67-'Outil Cibles'!I$7&gt;0), 'Outil Cibles'!I$22, 0)))</f>
        <v>0</v>
      </c>
      <c r="H67" s="23">
        <f>IF($A67='Outil Cibles'!J$7, 'Outil Cibles'!J$21, IF(AND($A67-'Outil Cibles'!J$7&lt;=20,$A67-'Outil Cibles'!J$7&gt;0), 'Outil Cibles'!J$21, IF(AND($A67-'Outil Cibles'!J$7&lt;=40, $A67-'Outil Cibles'!J$7&gt;0), 'Outil Cibles'!J$22, 0)))</f>
        <v>0</v>
      </c>
      <c r="I67" s="23">
        <f>IF($A67='Outil Cibles'!K$7, 'Outil Cibles'!K$21, IF(AND($A67-'Outil Cibles'!K$7&lt;=20,$A67-'Outil Cibles'!K$7&gt;0), 'Outil Cibles'!K$21, IF(AND($A67-'Outil Cibles'!K$7&lt;=40, $A67-'Outil Cibles'!K$7&gt;0), 'Outil Cibles'!K$22, 0)))</f>
        <v>0</v>
      </c>
      <c r="J67" s="23">
        <f>IF($A67='Outil Cibles'!L$7, 'Outil Cibles'!L$21, IF(AND($A67-'Outil Cibles'!L$7&lt;=20,$A67-'Outil Cibles'!L$7&gt;0), 'Outil Cibles'!L$21, IF(AND($A67-'Outil Cibles'!L$7&lt;=40, $A67-'Outil Cibles'!L$7&gt;0), 'Outil Cibles'!L$22, 0)))</f>
        <v>0</v>
      </c>
      <c r="K67" s="23">
        <f>IF($A67='Outil Cibles'!M$7, 'Outil Cibles'!M$21, IF(AND($A67-'Outil Cibles'!M$7&lt;=20,$A67-'Outil Cibles'!M$7&gt;0), 'Outil Cibles'!M$21, IF(AND($A67-'Outil Cibles'!M$7&lt;=40, $A67-'Outil Cibles'!M$7&gt;0), 'Outil Cibles'!M$22, 0)))</f>
        <v>0</v>
      </c>
      <c r="L67" s="23">
        <f t="shared" si="2"/>
        <v>0</v>
      </c>
      <c r="N67">
        <v>2084</v>
      </c>
      <c r="O67">
        <f>B67*'Outil Cibles'!$D$8</f>
        <v>0</v>
      </c>
      <c r="P67">
        <f>C67*'Outil Cibles'!$E$8</f>
        <v>0</v>
      </c>
      <c r="Q67">
        <f>D67*'Outil Cibles'!$F$8</f>
        <v>0</v>
      </c>
      <c r="R67">
        <f>E67*'Outil Cibles'!$G$8</f>
        <v>0</v>
      </c>
      <c r="S67">
        <f>F67*'Outil Cibles'!$H$8</f>
        <v>0</v>
      </c>
      <c r="T67">
        <f>G67*'Outil Cibles'!$I$8</f>
        <v>0</v>
      </c>
      <c r="U67">
        <f>H67*'Outil Cibles'!$J$8</f>
        <v>0</v>
      </c>
      <c r="V67">
        <f>I67*'Outil Cibles'!$K$8</f>
        <v>0</v>
      </c>
      <c r="W67">
        <f>J67*'Outil Cibles'!$L$8</f>
        <v>0</v>
      </c>
      <c r="X67">
        <f>K67*'Outil Cibles'!$M$8</f>
        <v>0</v>
      </c>
      <c r="Y67">
        <f t="shared" si="3"/>
        <v>0</v>
      </c>
    </row>
    <row r="68" spans="1:25" x14ac:dyDescent="0.3">
      <c r="A68" s="10">
        <v>2085</v>
      </c>
      <c r="B68" s="23">
        <f>IF($A68='Outil Cibles'!D$7, 'Outil Cibles'!D$21, IF(AND($A68-'Outil Cibles'!D$7&lt;=20,$A68-'Outil Cibles'!D$7&gt;0), 'Outil Cibles'!D$21, IF(AND($A68-'Outil Cibles'!D$7&lt;=40, $A68-'Outil Cibles'!D$7&gt;0), 'Outil Cibles'!D$22, 0)))</f>
        <v>0</v>
      </c>
      <c r="C68" s="23">
        <f>IF($A68='Outil Cibles'!E$7, 'Outil Cibles'!E$21, IF(AND($A68-'Outil Cibles'!E$7&lt;=20,$A68-'Outil Cibles'!E$7&gt;0), 'Outil Cibles'!E$21, IF(AND($A68-'Outil Cibles'!E$7&lt;=40, $A68-'Outil Cibles'!E$7&gt;0), 'Outil Cibles'!E$22, 0)))</f>
        <v>0</v>
      </c>
      <c r="D68" s="23">
        <f>IF($A68='Outil Cibles'!F$7, 'Outil Cibles'!F$21, IF(AND($A68-'Outil Cibles'!F$7&lt;=20,$A68-'Outil Cibles'!F$7&gt;0), 'Outil Cibles'!F$21, IF(AND($A68-'Outil Cibles'!F$7&lt;=40, $A68-'Outil Cibles'!F$7&gt;0), 'Outil Cibles'!F$22, 0)))</f>
        <v>0</v>
      </c>
      <c r="E68" s="23">
        <f>IF($A68='Outil Cibles'!G$7, 'Outil Cibles'!G$21, IF(AND($A68-'Outil Cibles'!G$7&lt;=20,$A68-'Outil Cibles'!G$7&gt;0), 'Outil Cibles'!G$21, IF(AND($A68-'Outil Cibles'!G$7&lt;=40, $A68-'Outil Cibles'!G$7&gt;0), 'Outil Cibles'!G$22, 0)))</f>
        <v>0</v>
      </c>
      <c r="F68" s="23">
        <f>IF($A68='Outil Cibles'!H$7, 'Outil Cibles'!H$21, IF(AND($A68-'Outil Cibles'!H$7&lt;=20,$A68-'Outil Cibles'!H$7&gt;0), 'Outil Cibles'!H$21, IF(AND($A68-'Outil Cibles'!H$7&lt;=40, $A68-'Outil Cibles'!H$7&gt;0), 'Outil Cibles'!H$22, 0)))</f>
        <v>0</v>
      </c>
      <c r="G68" s="23">
        <f>IF($A68='Outil Cibles'!I$7, 'Outil Cibles'!I$21, IF(AND($A68-'Outil Cibles'!I$7&lt;=20,$A68-'Outil Cibles'!I$7&gt;0), 'Outil Cibles'!I$21, IF(AND($A68-'Outil Cibles'!I$7&lt;=40, $A68-'Outil Cibles'!I$7&gt;0), 'Outil Cibles'!I$22, 0)))</f>
        <v>0</v>
      </c>
      <c r="H68" s="23">
        <f>IF($A68='Outil Cibles'!J$7, 'Outil Cibles'!J$21, IF(AND($A68-'Outil Cibles'!J$7&lt;=20,$A68-'Outil Cibles'!J$7&gt;0), 'Outil Cibles'!J$21, IF(AND($A68-'Outil Cibles'!J$7&lt;=40, $A68-'Outil Cibles'!J$7&gt;0), 'Outil Cibles'!J$22, 0)))</f>
        <v>0</v>
      </c>
      <c r="I68" s="23">
        <f>IF($A68='Outil Cibles'!K$7, 'Outil Cibles'!K$21, IF(AND($A68-'Outil Cibles'!K$7&lt;=20,$A68-'Outil Cibles'!K$7&gt;0), 'Outil Cibles'!K$21, IF(AND($A68-'Outil Cibles'!K$7&lt;=40, $A68-'Outil Cibles'!K$7&gt;0), 'Outil Cibles'!K$22, 0)))</f>
        <v>0</v>
      </c>
      <c r="J68" s="23">
        <f>IF($A68='Outil Cibles'!L$7, 'Outil Cibles'!L$21, IF(AND($A68-'Outil Cibles'!L$7&lt;=20,$A68-'Outil Cibles'!L$7&gt;0), 'Outil Cibles'!L$21, IF(AND($A68-'Outil Cibles'!L$7&lt;=40, $A68-'Outil Cibles'!L$7&gt;0), 'Outil Cibles'!L$22, 0)))</f>
        <v>0</v>
      </c>
      <c r="K68" s="23">
        <f>IF($A68='Outil Cibles'!M$7, 'Outil Cibles'!M$21, IF(AND($A68-'Outil Cibles'!M$7&lt;=20,$A68-'Outil Cibles'!M$7&gt;0), 'Outil Cibles'!M$21, IF(AND($A68-'Outil Cibles'!M$7&lt;=40, $A68-'Outil Cibles'!M$7&gt;0), 'Outil Cibles'!M$22, 0)))</f>
        <v>0</v>
      </c>
      <c r="L68" s="23">
        <f t="shared" si="2"/>
        <v>0</v>
      </c>
      <c r="N68">
        <v>2085</v>
      </c>
      <c r="O68">
        <f>B68*'Outil Cibles'!$D$8</f>
        <v>0</v>
      </c>
      <c r="P68">
        <f>C68*'Outil Cibles'!$E$8</f>
        <v>0</v>
      </c>
      <c r="Q68">
        <f>D68*'Outil Cibles'!$F$8</f>
        <v>0</v>
      </c>
      <c r="R68">
        <f>E68*'Outil Cibles'!$G$8</f>
        <v>0</v>
      </c>
      <c r="S68">
        <f>F68*'Outil Cibles'!$H$8</f>
        <v>0</v>
      </c>
      <c r="T68">
        <f>G68*'Outil Cibles'!$I$8</f>
        <v>0</v>
      </c>
      <c r="U68">
        <f>H68*'Outil Cibles'!$J$8</f>
        <v>0</v>
      </c>
      <c r="V68">
        <f>I68*'Outil Cibles'!$K$8</f>
        <v>0</v>
      </c>
      <c r="W68">
        <f>J68*'Outil Cibles'!$L$8</f>
        <v>0</v>
      </c>
      <c r="X68">
        <f>K68*'Outil Cibles'!$M$8</f>
        <v>0</v>
      </c>
      <c r="Y68">
        <f t="shared" si="3"/>
        <v>0</v>
      </c>
    </row>
    <row r="69" spans="1:25" x14ac:dyDescent="0.3">
      <c r="A69">
        <v>2086</v>
      </c>
      <c r="B69" s="23">
        <f>IF($A69='Outil Cibles'!D$7, 'Outil Cibles'!D$21, IF(AND($A69-'Outil Cibles'!D$7&lt;=20,$A69-'Outil Cibles'!D$7&gt;0), 'Outil Cibles'!D$21, IF(AND($A69-'Outil Cibles'!D$7&lt;=40, $A69-'Outil Cibles'!D$7&gt;0), 'Outil Cibles'!D$22, 0)))</f>
        <v>0</v>
      </c>
      <c r="C69" s="23">
        <f>IF($A69='Outil Cibles'!E$7, 'Outil Cibles'!E$21, IF(AND($A69-'Outil Cibles'!E$7&lt;=20,$A69-'Outil Cibles'!E$7&gt;0), 'Outil Cibles'!E$21, IF(AND($A69-'Outil Cibles'!E$7&lt;=40, $A69-'Outil Cibles'!E$7&gt;0), 'Outil Cibles'!E$22, 0)))</f>
        <v>0</v>
      </c>
      <c r="D69" s="23">
        <f>IF($A69='Outil Cibles'!F$7, 'Outil Cibles'!F$21, IF(AND($A69-'Outil Cibles'!F$7&lt;=20,$A69-'Outil Cibles'!F$7&gt;0), 'Outil Cibles'!F$21, IF(AND($A69-'Outil Cibles'!F$7&lt;=40, $A69-'Outil Cibles'!F$7&gt;0), 'Outil Cibles'!F$22, 0)))</f>
        <v>0</v>
      </c>
      <c r="E69" s="23">
        <f>IF($A69='Outil Cibles'!G$7, 'Outil Cibles'!G$21, IF(AND($A69-'Outil Cibles'!G$7&lt;=20,$A69-'Outil Cibles'!G$7&gt;0), 'Outil Cibles'!G$21, IF(AND($A69-'Outil Cibles'!G$7&lt;=40, $A69-'Outil Cibles'!G$7&gt;0), 'Outil Cibles'!G$22, 0)))</f>
        <v>0</v>
      </c>
      <c r="F69" s="23">
        <f>IF($A69='Outil Cibles'!H$7, 'Outil Cibles'!H$21, IF(AND($A69-'Outil Cibles'!H$7&lt;=20,$A69-'Outil Cibles'!H$7&gt;0), 'Outil Cibles'!H$21, IF(AND($A69-'Outil Cibles'!H$7&lt;=40, $A69-'Outil Cibles'!H$7&gt;0), 'Outil Cibles'!H$22, 0)))</f>
        <v>0</v>
      </c>
      <c r="G69" s="23">
        <f>IF($A69='Outil Cibles'!I$7, 'Outil Cibles'!I$21, IF(AND($A69-'Outil Cibles'!I$7&lt;=20,$A69-'Outil Cibles'!I$7&gt;0), 'Outil Cibles'!I$21, IF(AND($A69-'Outil Cibles'!I$7&lt;=40, $A69-'Outil Cibles'!I$7&gt;0), 'Outil Cibles'!I$22, 0)))</f>
        <v>0</v>
      </c>
      <c r="H69" s="23">
        <f>IF($A69='Outil Cibles'!J$7, 'Outil Cibles'!J$21, IF(AND($A69-'Outil Cibles'!J$7&lt;=20,$A69-'Outil Cibles'!J$7&gt;0), 'Outil Cibles'!J$21, IF(AND($A69-'Outil Cibles'!J$7&lt;=40, $A69-'Outil Cibles'!J$7&gt;0), 'Outil Cibles'!J$22, 0)))</f>
        <v>0</v>
      </c>
      <c r="I69" s="23">
        <f>IF($A69='Outil Cibles'!K$7, 'Outil Cibles'!K$21, IF(AND($A69-'Outil Cibles'!K$7&lt;=20,$A69-'Outil Cibles'!K$7&gt;0), 'Outil Cibles'!K$21, IF(AND($A69-'Outil Cibles'!K$7&lt;=40, $A69-'Outil Cibles'!K$7&gt;0), 'Outil Cibles'!K$22, 0)))</f>
        <v>0</v>
      </c>
      <c r="J69" s="23">
        <f>IF($A69='Outil Cibles'!L$7, 'Outil Cibles'!L$21, IF(AND($A69-'Outil Cibles'!L$7&lt;=20,$A69-'Outil Cibles'!L$7&gt;0), 'Outil Cibles'!L$21, IF(AND($A69-'Outil Cibles'!L$7&lt;=40, $A69-'Outil Cibles'!L$7&gt;0), 'Outil Cibles'!L$22, 0)))</f>
        <v>0</v>
      </c>
      <c r="K69" s="23">
        <f>IF($A69='Outil Cibles'!M$7, 'Outil Cibles'!M$21, IF(AND($A69-'Outil Cibles'!M$7&lt;=20,$A69-'Outil Cibles'!M$7&gt;0), 'Outil Cibles'!M$21, IF(AND($A69-'Outil Cibles'!M$7&lt;=40, $A69-'Outil Cibles'!M$7&gt;0), 'Outil Cibles'!M$22, 0)))</f>
        <v>0</v>
      </c>
      <c r="L69" s="23">
        <f t="shared" si="2"/>
        <v>0</v>
      </c>
      <c r="N69" s="10">
        <v>2086</v>
      </c>
      <c r="O69">
        <f>B69*'Outil Cibles'!$D$8</f>
        <v>0</v>
      </c>
      <c r="P69">
        <f>C69*'Outil Cibles'!$E$8</f>
        <v>0</v>
      </c>
      <c r="Q69">
        <f>D69*'Outil Cibles'!$F$8</f>
        <v>0</v>
      </c>
      <c r="R69">
        <f>E69*'Outil Cibles'!$G$8</f>
        <v>0</v>
      </c>
      <c r="S69">
        <f>F69*'Outil Cibles'!$H$8</f>
        <v>0</v>
      </c>
      <c r="T69">
        <f>G69*'Outil Cibles'!$I$8</f>
        <v>0</v>
      </c>
      <c r="U69">
        <f>H69*'Outil Cibles'!$J$8</f>
        <v>0</v>
      </c>
      <c r="V69">
        <f>I69*'Outil Cibles'!$K$8</f>
        <v>0</v>
      </c>
      <c r="W69">
        <f>J69*'Outil Cibles'!$L$8</f>
        <v>0</v>
      </c>
      <c r="X69">
        <f>K69*'Outil Cibles'!$M$8</f>
        <v>0</v>
      </c>
      <c r="Y69">
        <f t="shared" si="3"/>
        <v>0</v>
      </c>
    </row>
    <row r="70" spans="1:25" x14ac:dyDescent="0.3">
      <c r="A70">
        <v>2087</v>
      </c>
      <c r="B70" s="23">
        <f>IF($A70='Outil Cibles'!D$7, 'Outil Cibles'!D$21, IF(AND($A70-'Outil Cibles'!D$7&lt;=20,$A70-'Outil Cibles'!D$7&gt;0), 'Outil Cibles'!D$21, IF(AND($A70-'Outil Cibles'!D$7&lt;=40, $A70-'Outil Cibles'!D$7&gt;0), 'Outil Cibles'!D$22, 0)))</f>
        <v>0</v>
      </c>
      <c r="C70" s="23">
        <f>IF($A70='Outil Cibles'!E$7, 'Outil Cibles'!E$21, IF(AND($A70-'Outil Cibles'!E$7&lt;=20,$A70-'Outil Cibles'!E$7&gt;0), 'Outil Cibles'!E$21, IF(AND($A70-'Outil Cibles'!E$7&lt;=40, $A70-'Outil Cibles'!E$7&gt;0), 'Outil Cibles'!E$22, 0)))</f>
        <v>0</v>
      </c>
      <c r="D70" s="23">
        <f>IF($A70='Outil Cibles'!F$7, 'Outil Cibles'!F$21, IF(AND($A70-'Outil Cibles'!F$7&lt;=20,$A70-'Outil Cibles'!F$7&gt;0), 'Outil Cibles'!F$21, IF(AND($A70-'Outil Cibles'!F$7&lt;=40, $A70-'Outil Cibles'!F$7&gt;0), 'Outil Cibles'!F$22, 0)))</f>
        <v>0</v>
      </c>
      <c r="E70" s="23">
        <f>IF($A70='Outil Cibles'!G$7, 'Outil Cibles'!G$21, IF(AND($A70-'Outil Cibles'!G$7&lt;=20,$A70-'Outil Cibles'!G$7&gt;0), 'Outil Cibles'!G$21, IF(AND($A70-'Outil Cibles'!G$7&lt;=40, $A70-'Outil Cibles'!G$7&gt;0), 'Outil Cibles'!G$22, 0)))</f>
        <v>0</v>
      </c>
      <c r="F70" s="23">
        <f>IF($A70='Outil Cibles'!H$7, 'Outil Cibles'!H$21, IF(AND($A70-'Outil Cibles'!H$7&lt;=20,$A70-'Outil Cibles'!H$7&gt;0), 'Outil Cibles'!H$21, IF(AND($A70-'Outil Cibles'!H$7&lt;=40, $A70-'Outil Cibles'!H$7&gt;0), 'Outil Cibles'!H$22, 0)))</f>
        <v>0</v>
      </c>
      <c r="G70" s="23">
        <f>IF($A70='Outil Cibles'!I$7, 'Outil Cibles'!I$21, IF(AND($A70-'Outil Cibles'!I$7&lt;=20,$A70-'Outil Cibles'!I$7&gt;0), 'Outil Cibles'!I$21, IF(AND($A70-'Outil Cibles'!I$7&lt;=40, $A70-'Outil Cibles'!I$7&gt;0), 'Outil Cibles'!I$22, 0)))</f>
        <v>0</v>
      </c>
      <c r="H70" s="23">
        <f>IF($A70='Outil Cibles'!J$7, 'Outil Cibles'!J$21, IF(AND($A70-'Outil Cibles'!J$7&lt;=20,$A70-'Outil Cibles'!J$7&gt;0), 'Outil Cibles'!J$21, IF(AND($A70-'Outil Cibles'!J$7&lt;=40, $A70-'Outil Cibles'!J$7&gt;0), 'Outil Cibles'!J$22, 0)))</f>
        <v>0</v>
      </c>
      <c r="I70" s="23">
        <f>IF($A70='Outil Cibles'!K$7, 'Outil Cibles'!K$21, IF(AND($A70-'Outil Cibles'!K$7&lt;=20,$A70-'Outil Cibles'!K$7&gt;0), 'Outil Cibles'!K$21, IF(AND($A70-'Outil Cibles'!K$7&lt;=40, $A70-'Outil Cibles'!K$7&gt;0), 'Outil Cibles'!K$22, 0)))</f>
        <v>0</v>
      </c>
      <c r="J70" s="23">
        <f>IF($A70='Outil Cibles'!L$7, 'Outil Cibles'!L$21, IF(AND($A70-'Outil Cibles'!L$7&lt;=20,$A70-'Outil Cibles'!L$7&gt;0), 'Outil Cibles'!L$21, IF(AND($A70-'Outil Cibles'!L$7&lt;=40, $A70-'Outil Cibles'!L$7&gt;0), 'Outil Cibles'!L$22, 0)))</f>
        <v>0</v>
      </c>
      <c r="K70" s="23">
        <f>IF($A70='Outil Cibles'!M$7, 'Outil Cibles'!M$21, IF(AND($A70-'Outil Cibles'!M$7&lt;=20,$A70-'Outil Cibles'!M$7&gt;0), 'Outil Cibles'!M$21, IF(AND($A70-'Outil Cibles'!M$7&lt;=40, $A70-'Outil Cibles'!M$7&gt;0), 'Outil Cibles'!M$22, 0)))</f>
        <v>0</v>
      </c>
      <c r="L70" s="23">
        <f t="shared" ref="L70:L83" si="4">SUM(B70:K70)</f>
        <v>0</v>
      </c>
      <c r="N70" s="10">
        <v>2087</v>
      </c>
      <c r="O70">
        <f>B70*'Outil Cibles'!$D$8</f>
        <v>0</v>
      </c>
      <c r="P70">
        <f>C70*'Outil Cibles'!$E$8</f>
        <v>0</v>
      </c>
      <c r="Q70">
        <f>D70*'Outil Cibles'!$F$8</f>
        <v>0</v>
      </c>
      <c r="R70">
        <f>E70*'Outil Cibles'!$G$8</f>
        <v>0</v>
      </c>
      <c r="S70">
        <f>F70*'Outil Cibles'!$H$8</f>
        <v>0</v>
      </c>
      <c r="T70">
        <f>G70*'Outil Cibles'!$I$8</f>
        <v>0</v>
      </c>
      <c r="U70">
        <f>H70*'Outil Cibles'!$J$8</f>
        <v>0</v>
      </c>
      <c r="V70">
        <f>I70*'Outil Cibles'!$K$8</f>
        <v>0</v>
      </c>
      <c r="W70">
        <f>J70*'Outil Cibles'!$L$8</f>
        <v>0</v>
      </c>
      <c r="X70">
        <f>K70*'Outil Cibles'!$M$8</f>
        <v>0</v>
      </c>
      <c r="Y70">
        <f t="shared" ref="Y70:Y83" si="5">SUM(O70:X70)</f>
        <v>0</v>
      </c>
    </row>
    <row r="71" spans="1:25" x14ac:dyDescent="0.3">
      <c r="A71">
        <v>2088</v>
      </c>
      <c r="B71" s="23">
        <f>IF($A71='Outil Cibles'!D$7, 'Outil Cibles'!D$21, IF(AND($A71-'Outil Cibles'!D$7&lt;=20,$A71-'Outil Cibles'!D$7&gt;0), 'Outil Cibles'!D$21, IF(AND($A71-'Outil Cibles'!D$7&lt;=40, $A71-'Outil Cibles'!D$7&gt;0), 'Outil Cibles'!D$22, 0)))</f>
        <v>0</v>
      </c>
      <c r="C71" s="23">
        <f>IF($A71='Outil Cibles'!E$7, 'Outil Cibles'!E$21, IF(AND($A71-'Outil Cibles'!E$7&lt;=20,$A71-'Outil Cibles'!E$7&gt;0), 'Outil Cibles'!E$21, IF(AND($A71-'Outil Cibles'!E$7&lt;=40, $A71-'Outil Cibles'!E$7&gt;0), 'Outil Cibles'!E$22, 0)))</f>
        <v>0</v>
      </c>
      <c r="D71" s="23">
        <f>IF($A71='Outil Cibles'!F$7, 'Outil Cibles'!F$21, IF(AND($A71-'Outil Cibles'!F$7&lt;=20,$A71-'Outil Cibles'!F$7&gt;0), 'Outil Cibles'!F$21, IF(AND($A71-'Outil Cibles'!F$7&lt;=40, $A71-'Outil Cibles'!F$7&gt;0), 'Outil Cibles'!F$22, 0)))</f>
        <v>0</v>
      </c>
      <c r="E71" s="23">
        <f>IF($A71='Outil Cibles'!G$7, 'Outil Cibles'!G$21, IF(AND($A71-'Outil Cibles'!G$7&lt;=20,$A71-'Outil Cibles'!G$7&gt;0), 'Outil Cibles'!G$21, IF(AND($A71-'Outil Cibles'!G$7&lt;=40, $A71-'Outil Cibles'!G$7&gt;0), 'Outil Cibles'!G$22, 0)))</f>
        <v>0</v>
      </c>
      <c r="F71" s="23">
        <f>IF($A71='Outil Cibles'!H$7, 'Outil Cibles'!H$21, IF(AND($A71-'Outil Cibles'!H$7&lt;=20,$A71-'Outil Cibles'!H$7&gt;0), 'Outil Cibles'!H$21, IF(AND($A71-'Outil Cibles'!H$7&lt;=40, $A71-'Outil Cibles'!H$7&gt;0), 'Outil Cibles'!H$22, 0)))</f>
        <v>0</v>
      </c>
      <c r="G71" s="23">
        <f>IF($A71='Outil Cibles'!I$7, 'Outil Cibles'!I$21, IF(AND($A71-'Outil Cibles'!I$7&lt;=20,$A71-'Outil Cibles'!I$7&gt;0), 'Outil Cibles'!I$21, IF(AND($A71-'Outil Cibles'!I$7&lt;=40, $A71-'Outil Cibles'!I$7&gt;0), 'Outil Cibles'!I$22, 0)))</f>
        <v>0</v>
      </c>
      <c r="H71" s="23">
        <f>IF($A71='Outil Cibles'!J$7, 'Outil Cibles'!J$21, IF(AND($A71-'Outil Cibles'!J$7&lt;=20,$A71-'Outil Cibles'!J$7&gt;0), 'Outil Cibles'!J$21, IF(AND($A71-'Outil Cibles'!J$7&lt;=40, $A71-'Outil Cibles'!J$7&gt;0), 'Outil Cibles'!J$22, 0)))</f>
        <v>0</v>
      </c>
      <c r="I71" s="23">
        <f>IF($A71='Outil Cibles'!K$7, 'Outil Cibles'!K$21, IF(AND($A71-'Outil Cibles'!K$7&lt;=20,$A71-'Outil Cibles'!K$7&gt;0), 'Outil Cibles'!K$21, IF(AND($A71-'Outil Cibles'!K$7&lt;=40, $A71-'Outil Cibles'!K$7&gt;0), 'Outil Cibles'!K$22, 0)))</f>
        <v>0</v>
      </c>
      <c r="J71" s="23">
        <f>IF($A71='Outil Cibles'!L$7, 'Outil Cibles'!L$21, IF(AND($A71-'Outil Cibles'!L$7&lt;=20,$A71-'Outil Cibles'!L$7&gt;0), 'Outil Cibles'!L$21, IF(AND($A71-'Outil Cibles'!L$7&lt;=40, $A71-'Outil Cibles'!L$7&gt;0), 'Outil Cibles'!L$22, 0)))</f>
        <v>0</v>
      </c>
      <c r="K71" s="23">
        <f>IF($A71='Outil Cibles'!M$7, 'Outil Cibles'!M$21, IF(AND($A71-'Outil Cibles'!M$7&lt;=20,$A71-'Outil Cibles'!M$7&gt;0), 'Outil Cibles'!M$21, IF(AND($A71-'Outil Cibles'!M$7&lt;=40, $A71-'Outil Cibles'!M$7&gt;0), 'Outil Cibles'!M$22, 0)))</f>
        <v>0</v>
      </c>
      <c r="L71" s="23">
        <f t="shared" si="4"/>
        <v>0</v>
      </c>
      <c r="N71">
        <v>2088</v>
      </c>
      <c r="O71">
        <f>B71*'Outil Cibles'!$D$8</f>
        <v>0</v>
      </c>
      <c r="P71">
        <f>C71*'Outil Cibles'!$E$8</f>
        <v>0</v>
      </c>
      <c r="Q71">
        <f>D71*'Outil Cibles'!$F$8</f>
        <v>0</v>
      </c>
      <c r="R71">
        <f>E71*'Outil Cibles'!$G$8</f>
        <v>0</v>
      </c>
      <c r="S71">
        <f>F71*'Outil Cibles'!$H$8</f>
        <v>0</v>
      </c>
      <c r="T71">
        <f>G71*'Outil Cibles'!$I$8</f>
        <v>0</v>
      </c>
      <c r="U71">
        <f>H71*'Outil Cibles'!$J$8</f>
        <v>0</v>
      </c>
      <c r="V71">
        <f>I71*'Outil Cibles'!$K$8</f>
        <v>0</v>
      </c>
      <c r="W71">
        <f>J71*'Outil Cibles'!$L$8</f>
        <v>0</v>
      </c>
      <c r="X71">
        <f>K71*'Outil Cibles'!$M$8</f>
        <v>0</v>
      </c>
      <c r="Y71">
        <f t="shared" si="5"/>
        <v>0</v>
      </c>
    </row>
    <row r="72" spans="1:25" x14ac:dyDescent="0.3">
      <c r="A72">
        <v>2089</v>
      </c>
      <c r="B72" s="23">
        <f>IF($A72='Outil Cibles'!D$7, 'Outil Cibles'!D$21, IF(AND($A72-'Outil Cibles'!D$7&lt;=20,$A72-'Outil Cibles'!D$7&gt;0), 'Outil Cibles'!D$21, IF(AND($A72-'Outil Cibles'!D$7&lt;=40, $A72-'Outil Cibles'!D$7&gt;0), 'Outil Cibles'!D$22, 0)))</f>
        <v>0</v>
      </c>
      <c r="C72" s="23">
        <f>IF($A72='Outil Cibles'!E$7, 'Outil Cibles'!E$21, IF(AND($A72-'Outil Cibles'!E$7&lt;=20,$A72-'Outil Cibles'!E$7&gt;0), 'Outil Cibles'!E$21, IF(AND($A72-'Outil Cibles'!E$7&lt;=40, $A72-'Outil Cibles'!E$7&gt;0), 'Outil Cibles'!E$22, 0)))</f>
        <v>0</v>
      </c>
      <c r="D72" s="23">
        <f>IF($A72='Outil Cibles'!F$7, 'Outil Cibles'!F$21, IF(AND($A72-'Outil Cibles'!F$7&lt;=20,$A72-'Outil Cibles'!F$7&gt;0), 'Outil Cibles'!F$21, IF(AND($A72-'Outil Cibles'!F$7&lt;=40, $A72-'Outil Cibles'!F$7&gt;0), 'Outil Cibles'!F$22, 0)))</f>
        <v>0</v>
      </c>
      <c r="E72" s="23">
        <f>IF($A72='Outil Cibles'!G$7, 'Outil Cibles'!G$21, IF(AND($A72-'Outil Cibles'!G$7&lt;=20,$A72-'Outil Cibles'!G$7&gt;0), 'Outil Cibles'!G$21, IF(AND($A72-'Outil Cibles'!G$7&lt;=40, $A72-'Outil Cibles'!G$7&gt;0), 'Outil Cibles'!G$22, 0)))</f>
        <v>0</v>
      </c>
      <c r="F72" s="23">
        <f>IF($A72='Outil Cibles'!H$7, 'Outil Cibles'!H$21, IF(AND($A72-'Outil Cibles'!H$7&lt;=20,$A72-'Outil Cibles'!H$7&gt;0), 'Outil Cibles'!H$21, IF(AND($A72-'Outil Cibles'!H$7&lt;=40, $A72-'Outil Cibles'!H$7&gt;0), 'Outil Cibles'!H$22, 0)))</f>
        <v>0</v>
      </c>
      <c r="G72" s="23">
        <f>IF($A72='Outil Cibles'!I$7, 'Outil Cibles'!I$21, IF(AND($A72-'Outil Cibles'!I$7&lt;=20,$A72-'Outil Cibles'!I$7&gt;0), 'Outil Cibles'!I$21, IF(AND($A72-'Outil Cibles'!I$7&lt;=40, $A72-'Outil Cibles'!I$7&gt;0), 'Outil Cibles'!I$22, 0)))</f>
        <v>0</v>
      </c>
      <c r="H72" s="23">
        <f>IF($A72='Outil Cibles'!J$7, 'Outil Cibles'!J$21, IF(AND($A72-'Outil Cibles'!J$7&lt;=20,$A72-'Outil Cibles'!J$7&gt;0), 'Outil Cibles'!J$21, IF(AND($A72-'Outil Cibles'!J$7&lt;=40, $A72-'Outil Cibles'!J$7&gt;0), 'Outil Cibles'!J$22, 0)))</f>
        <v>0</v>
      </c>
      <c r="I72" s="23">
        <f>IF($A72='Outil Cibles'!K$7, 'Outil Cibles'!K$21, IF(AND($A72-'Outil Cibles'!K$7&lt;=20,$A72-'Outil Cibles'!K$7&gt;0), 'Outil Cibles'!K$21, IF(AND($A72-'Outil Cibles'!K$7&lt;=40, $A72-'Outil Cibles'!K$7&gt;0), 'Outil Cibles'!K$22, 0)))</f>
        <v>0</v>
      </c>
      <c r="J72" s="23">
        <f>IF($A72='Outil Cibles'!L$7, 'Outil Cibles'!L$21, IF(AND($A72-'Outil Cibles'!L$7&lt;=20,$A72-'Outil Cibles'!L$7&gt;0), 'Outil Cibles'!L$21, IF(AND($A72-'Outil Cibles'!L$7&lt;=40, $A72-'Outil Cibles'!L$7&gt;0), 'Outil Cibles'!L$22, 0)))</f>
        <v>0</v>
      </c>
      <c r="K72" s="23">
        <f>IF($A72='Outil Cibles'!M$7, 'Outil Cibles'!M$21, IF(AND($A72-'Outil Cibles'!M$7&lt;=20,$A72-'Outil Cibles'!M$7&gt;0), 'Outil Cibles'!M$21, IF(AND($A72-'Outil Cibles'!M$7&lt;=40, $A72-'Outil Cibles'!M$7&gt;0), 'Outil Cibles'!M$22, 0)))</f>
        <v>0</v>
      </c>
      <c r="L72" s="23">
        <f t="shared" si="4"/>
        <v>0</v>
      </c>
      <c r="N72">
        <v>2089</v>
      </c>
      <c r="O72">
        <f>B72*'Outil Cibles'!$D$8</f>
        <v>0</v>
      </c>
      <c r="P72">
        <f>C72*'Outil Cibles'!$E$8</f>
        <v>0</v>
      </c>
      <c r="Q72">
        <f>D72*'Outil Cibles'!$F$8</f>
        <v>0</v>
      </c>
      <c r="R72">
        <f>E72*'Outil Cibles'!$G$8</f>
        <v>0</v>
      </c>
      <c r="S72">
        <f>F72*'Outil Cibles'!$H$8</f>
        <v>0</v>
      </c>
      <c r="T72">
        <f>G72*'Outil Cibles'!$I$8</f>
        <v>0</v>
      </c>
      <c r="U72">
        <f>H72*'Outil Cibles'!$J$8</f>
        <v>0</v>
      </c>
      <c r="V72">
        <f>I72*'Outil Cibles'!$K$8</f>
        <v>0</v>
      </c>
      <c r="W72">
        <f>J72*'Outil Cibles'!$L$8</f>
        <v>0</v>
      </c>
      <c r="X72">
        <f>K72*'Outil Cibles'!$M$8</f>
        <v>0</v>
      </c>
      <c r="Y72">
        <f t="shared" si="5"/>
        <v>0</v>
      </c>
    </row>
    <row r="73" spans="1:25" x14ac:dyDescent="0.3">
      <c r="A73" s="10">
        <v>2090</v>
      </c>
      <c r="B73" s="23">
        <f>IF($A73='Outil Cibles'!D$7, 'Outil Cibles'!D$21, IF(AND($A73-'Outil Cibles'!D$7&lt;=20,$A73-'Outil Cibles'!D$7&gt;0), 'Outil Cibles'!D$21, IF(AND($A73-'Outil Cibles'!D$7&lt;=40, $A73-'Outil Cibles'!D$7&gt;0), 'Outil Cibles'!D$22, 0)))</f>
        <v>0</v>
      </c>
      <c r="C73" s="23">
        <f>IF($A73='Outil Cibles'!E$7, 'Outil Cibles'!E$21, IF(AND($A73-'Outil Cibles'!E$7&lt;=20,$A73-'Outil Cibles'!E$7&gt;0), 'Outil Cibles'!E$21, IF(AND($A73-'Outil Cibles'!E$7&lt;=40, $A73-'Outil Cibles'!E$7&gt;0), 'Outil Cibles'!E$22, 0)))</f>
        <v>0</v>
      </c>
      <c r="D73" s="23">
        <f>IF($A73='Outil Cibles'!F$7, 'Outil Cibles'!F$21, IF(AND($A73-'Outil Cibles'!F$7&lt;=20,$A73-'Outil Cibles'!F$7&gt;0), 'Outil Cibles'!F$21, IF(AND($A73-'Outil Cibles'!F$7&lt;=40, $A73-'Outil Cibles'!F$7&gt;0), 'Outil Cibles'!F$22, 0)))</f>
        <v>0</v>
      </c>
      <c r="E73" s="23">
        <f>IF($A73='Outil Cibles'!G$7, 'Outil Cibles'!G$21, IF(AND($A73-'Outil Cibles'!G$7&lt;=20,$A73-'Outil Cibles'!G$7&gt;0), 'Outil Cibles'!G$21, IF(AND($A73-'Outil Cibles'!G$7&lt;=40, $A73-'Outil Cibles'!G$7&gt;0), 'Outil Cibles'!G$22, 0)))</f>
        <v>0</v>
      </c>
      <c r="F73" s="23">
        <f>IF($A73='Outil Cibles'!H$7, 'Outil Cibles'!H$21, IF(AND($A73-'Outil Cibles'!H$7&lt;=20,$A73-'Outil Cibles'!H$7&gt;0), 'Outil Cibles'!H$21, IF(AND($A73-'Outil Cibles'!H$7&lt;=40, $A73-'Outil Cibles'!H$7&gt;0), 'Outil Cibles'!H$22, 0)))</f>
        <v>0</v>
      </c>
      <c r="G73" s="23">
        <f>IF($A73='Outil Cibles'!I$7, 'Outil Cibles'!I$21, IF(AND($A73-'Outil Cibles'!I$7&lt;=20,$A73-'Outil Cibles'!I$7&gt;0), 'Outil Cibles'!I$21, IF(AND($A73-'Outil Cibles'!I$7&lt;=40, $A73-'Outil Cibles'!I$7&gt;0), 'Outil Cibles'!I$22, 0)))</f>
        <v>0</v>
      </c>
      <c r="H73" s="23">
        <f>IF($A73='Outil Cibles'!J$7, 'Outil Cibles'!J$21, IF(AND($A73-'Outil Cibles'!J$7&lt;=20,$A73-'Outil Cibles'!J$7&gt;0), 'Outil Cibles'!J$21, IF(AND($A73-'Outil Cibles'!J$7&lt;=40, $A73-'Outil Cibles'!J$7&gt;0), 'Outil Cibles'!J$22, 0)))</f>
        <v>0</v>
      </c>
      <c r="I73" s="23">
        <f>IF($A73='Outil Cibles'!K$7, 'Outil Cibles'!K$21, IF(AND($A73-'Outil Cibles'!K$7&lt;=20,$A73-'Outil Cibles'!K$7&gt;0), 'Outil Cibles'!K$21, IF(AND($A73-'Outil Cibles'!K$7&lt;=40, $A73-'Outil Cibles'!K$7&gt;0), 'Outil Cibles'!K$22, 0)))</f>
        <v>0</v>
      </c>
      <c r="J73" s="23">
        <f>IF($A73='Outil Cibles'!L$7, 'Outil Cibles'!L$21, IF(AND($A73-'Outil Cibles'!L$7&lt;=20,$A73-'Outil Cibles'!L$7&gt;0), 'Outil Cibles'!L$21, IF(AND($A73-'Outil Cibles'!L$7&lt;=40, $A73-'Outil Cibles'!L$7&gt;0), 'Outil Cibles'!L$22, 0)))</f>
        <v>0</v>
      </c>
      <c r="K73" s="23">
        <f>IF($A73='Outil Cibles'!M$7, 'Outil Cibles'!M$21, IF(AND($A73-'Outil Cibles'!M$7&lt;=20,$A73-'Outil Cibles'!M$7&gt;0), 'Outil Cibles'!M$21, IF(AND($A73-'Outil Cibles'!M$7&lt;=40, $A73-'Outil Cibles'!M$7&gt;0), 'Outil Cibles'!M$22, 0)))</f>
        <v>0</v>
      </c>
      <c r="L73" s="23">
        <f t="shared" si="4"/>
        <v>0</v>
      </c>
      <c r="N73">
        <v>2090</v>
      </c>
      <c r="O73">
        <f>B73*'Outil Cibles'!$D$8</f>
        <v>0</v>
      </c>
      <c r="P73">
        <f>C73*'Outil Cibles'!$E$8</f>
        <v>0</v>
      </c>
      <c r="Q73">
        <f>D73*'Outil Cibles'!$F$8</f>
        <v>0</v>
      </c>
      <c r="R73">
        <f>E73*'Outil Cibles'!$G$8</f>
        <v>0</v>
      </c>
      <c r="S73">
        <f>F73*'Outil Cibles'!$H$8</f>
        <v>0</v>
      </c>
      <c r="T73">
        <f>G73*'Outil Cibles'!$I$8</f>
        <v>0</v>
      </c>
      <c r="U73">
        <f>H73*'Outil Cibles'!$J$8</f>
        <v>0</v>
      </c>
      <c r="V73">
        <f>I73*'Outil Cibles'!$K$8</f>
        <v>0</v>
      </c>
      <c r="W73">
        <f>J73*'Outil Cibles'!$L$8</f>
        <v>0</v>
      </c>
      <c r="X73">
        <f>K73*'Outil Cibles'!$M$8</f>
        <v>0</v>
      </c>
      <c r="Y73">
        <f t="shared" si="5"/>
        <v>0</v>
      </c>
    </row>
    <row r="74" spans="1:25" x14ac:dyDescent="0.3">
      <c r="A74">
        <v>2091</v>
      </c>
      <c r="B74" s="23">
        <f>IF($A74='Outil Cibles'!D$7, 'Outil Cibles'!D$21, IF(AND($A74-'Outil Cibles'!D$7&lt;=20,$A74-'Outil Cibles'!D$7&gt;0), 'Outil Cibles'!D$21, IF(AND($A74-'Outil Cibles'!D$7&lt;=40, $A74-'Outil Cibles'!D$7&gt;0), 'Outil Cibles'!D$22, 0)))</f>
        <v>0</v>
      </c>
      <c r="C74" s="23">
        <f>IF($A74='Outil Cibles'!E$7, 'Outil Cibles'!E$21, IF(AND($A74-'Outil Cibles'!E$7&lt;=20,$A74-'Outil Cibles'!E$7&gt;0), 'Outil Cibles'!E$21, IF(AND($A74-'Outil Cibles'!E$7&lt;=40, $A74-'Outil Cibles'!E$7&gt;0), 'Outil Cibles'!E$22, 0)))</f>
        <v>0</v>
      </c>
      <c r="D74" s="23">
        <f>IF($A74='Outil Cibles'!F$7, 'Outil Cibles'!F$21, IF(AND($A74-'Outil Cibles'!F$7&lt;=20,$A74-'Outil Cibles'!F$7&gt;0), 'Outil Cibles'!F$21, IF(AND($A74-'Outil Cibles'!F$7&lt;=40, $A74-'Outil Cibles'!F$7&gt;0), 'Outil Cibles'!F$22, 0)))</f>
        <v>0</v>
      </c>
      <c r="E74" s="23">
        <f>IF($A74='Outil Cibles'!G$7, 'Outil Cibles'!G$21, IF(AND($A74-'Outil Cibles'!G$7&lt;=20,$A74-'Outil Cibles'!G$7&gt;0), 'Outil Cibles'!G$21, IF(AND($A74-'Outil Cibles'!G$7&lt;=40, $A74-'Outil Cibles'!G$7&gt;0), 'Outil Cibles'!G$22, 0)))</f>
        <v>0</v>
      </c>
      <c r="F74" s="23">
        <f>IF($A74='Outil Cibles'!H$7, 'Outil Cibles'!H$21, IF(AND($A74-'Outil Cibles'!H$7&lt;=20,$A74-'Outil Cibles'!H$7&gt;0), 'Outil Cibles'!H$21, IF(AND($A74-'Outil Cibles'!H$7&lt;=40, $A74-'Outil Cibles'!H$7&gt;0), 'Outil Cibles'!H$22, 0)))</f>
        <v>0</v>
      </c>
      <c r="G74" s="23">
        <f>IF($A74='Outil Cibles'!I$7, 'Outil Cibles'!I$21, IF(AND($A74-'Outil Cibles'!I$7&lt;=20,$A74-'Outil Cibles'!I$7&gt;0), 'Outil Cibles'!I$21, IF(AND($A74-'Outil Cibles'!I$7&lt;=40, $A74-'Outil Cibles'!I$7&gt;0), 'Outil Cibles'!I$22, 0)))</f>
        <v>0</v>
      </c>
      <c r="H74" s="23">
        <f>IF($A74='Outil Cibles'!J$7, 'Outil Cibles'!J$21, IF(AND($A74-'Outil Cibles'!J$7&lt;=20,$A74-'Outil Cibles'!J$7&gt;0), 'Outil Cibles'!J$21, IF(AND($A74-'Outil Cibles'!J$7&lt;=40, $A74-'Outil Cibles'!J$7&gt;0), 'Outil Cibles'!J$22, 0)))</f>
        <v>0</v>
      </c>
      <c r="I74" s="23">
        <f>IF($A74='Outil Cibles'!K$7, 'Outil Cibles'!K$21, IF(AND($A74-'Outil Cibles'!K$7&lt;=20,$A74-'Outil Cibles'!K$7&gt;0), 'Outil Cibles'!K$21, IF(AND($A74-'Outil Cibles'!K$7&lt;=40, $A74-'Outil Cibles'!K$7&gt;0), 'Outil Cibles'!K$22, 0)))</f>
        <v>0</v>
      </c>
      <c r="J74" s="23">
        <f>IF($A74='Outil Cibles'!L$7, 'Outil Cibles'!L$21, IF(AND($A74-'Outil Cibles'!L$7&lt;=20,$A74-'Outil Cibles'!L$7&gt;0), 'Outil Cibles'!L$21, IF(AND($A74-'Outil Cibles'!L$7&lt;=40, $A74-'Outil Cibles'!L$7&gt;0), 'Outil Cibles'!L$22, 0)))</f>
        <v>0</v>
      </c>
      <c r="K74" s="23">
        <f>IF($A74='Outil Cibles'!M$7, 'Outil Cibles'!M$21, IF(AND($A74-'Outil Cibles'!M$7&lt;=20,$A74-'Outil Cibles'!M$7&gt;0), 'Outil Cibles'!M$21, IF(AND($A74-'Outil Cibles'!M$7&lt;=40, $A74-'Outil Cibles'!M$7&gt;0), 'Outil Cibles'!M$22, 0)))</f>
        <v>0</v>
      </c>
      <c r="L74" s="23">
        <f t="shared" si="4"/>
        <v>0</v>
      </c>
      <c r="N74">
        <v>2091</v>
      </c>
      <c r="O74">
        <f>B74*'Outil Cibles'!$D$8</f>
        <v>0</v>
      </c>
      <c r="P74">
        <f>C74*'Outil Cibles'!$E$8</f>
        <v>0</v>
      </c>
      <c r="Q74">
        <f>D74*'Outil Cibles'!$F$8</f>
        <v>0</v>
      </c>
      <c r="R74">
        <f>E74*'Outil Cibles'!$G$8</f>
        <v>0</v>
      </c>
      <c r="S74">
        <f>F74*'Outil Cibles'!$H$8</f>
        <v>0</v>
      </c>
      <c r="T74">
        <f>G74*'Outil Cibles'!$I$8</f>
        <v>0</v>
      </c>
      <c r="U74">
        <f>H74*'Outil Cibles'!$J$8</f>
        <v>0</v>
      </c>
      <c r="V74">
        <f>I74*'Outil Cibles'!$K$8</f>
        <v>0</v>
      </c>
      <c r="W74">
        <f>J74*'Outil Cibles'!$L$8</f>
        <v>0</v>
      </c>
      <c r="X74">
        <f>K74*'Outil Cibles'!$M$8</f>
        <v>0</v>
      </c>
      <c r="Y74">
        <f t="shared" si="5"/>
        <v>0</v>
      </c>
    </row>
    <row r="75" spans="1:25" x14ac:dyDescent="0.3">
      <c r="A75">
        <v>2092</v>
      </c>
      <c r="B75" s="23">
        <f>IF($A75='Outil Cibles'!D$7, 'Outil Cibles'!D$21, IF(AND($A75-'Outil Cibles'!D$7&lt;=20,$A75-'Outil Cibles'!D$7&gt;0), 'Outil Cibles'!D$21, IF(AND($A75-'Outil Cibles'!D$7&lt;=40, $A75-'Outil Cibles'!D$7&gt;0), 'Outil Cibles'!D$22, 0)))</f>
        <v>0</v>
      </c>
      <c r="C75" s="23">
        <f>IF($A75='Outil Cibles'!E$7, 'Outil Cibles'!E$21, IF(AND($A75-'Outil Cibles'!E$7&lt;=20,$A75-'Outil Cibles'!E$7&gt;0), 'Outil Cibles'!E$21, IF(AND($A75-'Outil Cibles'!E$7&lt;=40, $A75-'Outil Cibles'!E$7&gt;0), 'Outil Cibles'!E$22, 0)))</f>
        <v>0</v>
      </c>
      <c r="D75" s="23">
        <f>IF($A75='Outil Cibles'!F$7, 'Outil Cibles'!F$21, IF(AND($A75-'Outil Cibles'!F$7&lt;=20,$A75-'Outil Cibles'!F$7&gt;0), 'Outil Cibles'!F$21, IF(AND($A75-'Outil Cibles'!F$7&lt;=40, $A75-'Outil Cibles'!F$7&gt;0), 'Outil Cibles'!F$22, 0)))</f>
        <v>0</v>
      </c>
      <c r="E75" s="23">
        <f>IF($A75='Outil Cibles'!G$7, 'Outil Cibles'!G$21, IF(AND($A75-'Outil Cibles'!G$7&lt;=20,$A75-'Outil Cibles'!G$7&gt;0), 'Outil Cibles'!G$21, IF(AND($A75-'Outil Cibles'!G$7&lt;=40, $A75-'Outil Cibles'!G$7&gt;0), 'Outil Cibles'!G$22, 0)))</f>
        <v>0</v>
      </c>
      <c r="F75" s="23">
        <f>IF($A75='Outil Cibles'!H$7, 'Outil Cibles'!H$21, IF(AND($A75-'Outil Cibles'!H$7&lt;=20,$A75-'Outil Cibles'!H$7&gt;0), 'Outil Cibles'!H$21, IF(AND($A75-'Outil Cibles'!H$7&lt;=40, $A75-'Outil Cibles'!H$7&gt;0), 'Outil Cibles'!H$22, 0)))</f>
        <v>0</v>
      </c>
      <c r="G75" s="23">
        <f>IF($A75='Outil Cibles'!I$7, 'Outil Cibles'!I$21, IF(AND($A75-'Outil Cibles'!I$7&lt;=20,$A75-'Outil Cibles'!I$7&gt;0), 'Outil Cibles'!I$21, IF(AND($A75-'Outil Cibles'!I$7&lt;=40, $A75-'Outil Cibles'!I$7&gt;0), 'Outil Cibles'!I$22, 0)))</f>
        <v>0</v>
      </c>
      <c r="H75" s="23">
        <f>IF($A75='Outil Cibles'!J$7, 'Outil Cibles'!J$21, IF(AND($A75-'Outil Cibles'!J$7&lt;=20,$A75-'Outil Cibles'!J$7&gt;0), 'Outil Cibles'!J$21, IF(AND($A75-'Outil Cibles'!J$7&lt;=40, $A75-'Outil Cibles'!J$7&gt;0), 'Outil Cibles'!J$22, 0)))</f>
        <v>0</v>
      </c>
      <c r="I75" s="23">
        <f>IF($A75='Outil Cibles'!K$7, 'Outil Cibles'!K$21, IF(AND($A75-'Outil Cibles'!K$7&lt;=20,$A75-'Outil Cibles'!K$7&gt;0), 'Outil Cibles'!K$21, IF(AND($A75-'Outil Cibles'!K$7&lt;=40, $A75-'Outil Cibles'!K$7&gt;0), 'Outil Cibles'!K$22, 0)))</f>
        <v>0</v>
      </c>
      <c r="J75" s="23">
        <f>IF($A75='Outil Cibles'!L$7, 'Outil Cibles'!L$21, IF(AND($A75-'Outil Cibles'!L$7&lt;=20,$A75-'Outil Cibles'!L$7&gt;0), 'Outil Cibles'!L$21, IF(AND($A75-'Outil Cibles'!L$7&lt;=40, $A75-'Outil Cibles'!L$7&gt;0), 'Outil Cibles'!L$22, 0)))</f>
        <v>0</v>
      </c>
      <c r="K75" s="23">
        <f>IF($A75='Outil Cibles'!M$7, 'Outil Cibles'!M$21, IF(AND($A75-'Outil Cibles'!M$7&lt;=20,$A75-'Outil Cibles'!M$7&gt;0), 'Outil Cibles'!M$21, IF(AND($A75-'Outil Cibles'!M$7&lt;=40, $A75-'Outil Cibles'!M$7&gt;0), 'Outil Cibles'!M$22, 0)))</f>
        <v>0</v>
      </c>
      <c r="L75" s="23">
        <f t="shared" si="4"/>
        <v>0</v>
      </c>
      <c r="N75" s="10">
        <v>2092</v>
      </c>
      <c r="O75">
        <f>B75*'Outil Cibles'!$D$8</f>
        <v>0</v>
      </c>
      <c r="P75">
        <f>C75*'Outil Cibles'!$E$8</f>
        <v>0</v>
      </c>
      <c r="Q75">
        <f>D75*'Outil Cibles'!$F$8</f>
        <v>0</v>
      </c>
      <c r="R75">
        <f>E75*'Outil Cibles'!$G$8</f>
        <v>0</v>
      </c>
      <c r="S75">
        <f>F75*'Outil Cibles'!$H$8</f>
        <v>0</v>
      </c>
      <c r="T75">
        <f>G75*'Outil Cibles'!$I$8</f>
        <v>0</v>
      </c>
      <c r="U75">
        <f>H75*'Outil Cibles'!$J$8</f>
        <v>0</v>
      </c>
      <c r="V75">
        <f>I75*'Outil Cibles'!$K$8</f>
        <v>0</v>
      </c>
      <c r="W75">
        <f>J75*'Outil Cibles'!$L$8</f>
        <v>0</v>
      </c>
      <c r="X75">
        <f>K75*'Outil Cibles'!$M$8</f>
        <v>0</v>
      </c>
      <c r="Y75">
        <f t="shared" si="5"/>
        <v>0</v>
      </c>
    </row>
    <row r="76" spans="1:25" x14ac:dyDescent="0.3">
      <c r="A76">
        <v>2093</v>
      </c>
      <c r="B76" s="23">
        <f>IF($A76='Outil Cibles'!D$7, 'Outil Cibles'!D$21, IF(AND($A76-'Outil Cibles'!D$7&lt;=20,$A76-'Outil Cibles'!D$7&gt;0), 'Outil Cibles'!D$21, IF(AND($A76-'Outil Cibles'!D$7&lt;=40, $A76-'Outil Cibles'!D$7&gt;0), 'Outil Cibles'!D$22, 0)))</f>
        <v>0</v>
      </c>
      <c r="C76" s="23">
        <f>IF($A76='Outil Cibles'!E$7, 'Outil Cibles'!E$21, IF(AND($A76-'Outil Cibles'!E$7&lt;=20,$A76-'Outil Cibles'!E$7&gt;0), 'Outil Cibles'!E$21, IF(AND($A76-'Outil Cibles'!E$7&lt;=40, $A76-'Outil Cibles'!E$7&gt;0), 'Outil Cibles'!E$22, 0)))</f>
        <v>0</v>
      </c>
      <c r="D76" s="23">
        <f>IF($A76='Outil Cibles'!F$7, 'Outil Cibles'!F$21, IF(AND($A76-'Outil Cibles'!F$7&lt;=20,$A76-'Outil Cibles'!F$7&gt;0), 'Outil Cibles'!F$21, IF(AND($A76-'Outil Cibles'!F$7&lt;=40, $A76-'Outil Cibles'!F$7&gt;0), 'Outil Cibles'!F$22, 0)))</f>
        <v>0</v>
      </c>
      <c r="E76" s="23">
        <f>IF($A76='Outil Cibles'!G$7, 'Outil Cibles'!G$21, IF(AND($A76-'Outil Cibles'!G$7&lt;=20,$A76-'Outil Cibles'!G$7&gt;0), 'Outil Cibles'!G$21, IF(AND($A76-'Outil Cibles'!G$7&lt;=40, $A76-'Outil Cibles'!G$7&gt;0), 'Outil Cibles'!G$22, 0)))</f>
        <v>0</v>
      </c>
      <c r="F76" s="23">
        <f>IF($A76='Outil Cibles'!H$7, 'Outil Cibles'!H$21, IF(AND($A76-'Outil Cibles'!H$7&lt;=20,$A76-'Outil Cibles'!H$7&gt;0), 'Outil Cibles'!H$21, IF(AND($A76-'Outil Cibles'!H$7&lt;=40, $A76-'Outil Cibles'!H$7&gt;0), 'Outil Cibles'!H$22, 0)))</f>
        <v>0</v>
      </c>
      <c r="G76" s="23">
        <f>IF($A76='Outil Cibles'!I$7, 'Outil Cibles'!I$21, IF(AND($A76-'Outil Cibles'!I$7&lt;=20,$A76-'Outil Cibles'!I$7&gt;0), 'Outil Cibles'!I$21, IF(AND($A76-'Outil Cibles'!I$7&lt;=40, $A76-'Outil Cibles'!I$7&gt;0), 'Outil Cibles'!I$22, 0)))</f>
        <v>0</v>
      </c>
      <c r="H76" s="23">
        <f>IF($A76='Outil Cibles'!J$7, 'Outil Cibles'!J$21, IF(AND($A76-'Outil Cibles'!J$7&lt;=20,$A76-'Outil Cibles'!J$7&gt;0), 'Outil Cibles'!J$21, IF(AND($A76-'Outil Cibles'!J$7&lt;=40, $A76-'Outil Cibles'!J$7&gt;0), 'Outil Cibles'!J$22, 0)))</f>
        <v>0</v>
      </c>
      <c r="I76" s="23">
        <f>IF($A76='Outil Cibles'!K$7, 'Outil Cibles'!K$21, IF(AND($A76-'Outil Cibles'!K$7&lt;=20,$A76-'Outil Cibles'!K$7&gt;0), 'Outil Cibles'!K$21, IF(AND($A76-'Outil Cibles'!K$7&lt;=40, $A76-'Outil Cibles'!K$7&gt;0), 'Outil Cibles'!K$22, 0)))</f>
        <v>0</v>
      </c>
      <c r="J76" s="23">
        <f>IF($A76='Outil Cibles'!L$7, 'Outil Cibles'!L$21, IF(AND($A76-'Outil Cibles'!L$7&lt;=20,$A76-'Outil Cibles'!L$7&gt;0), 'Outil Cibles'!L$21, IF(AND($A76-'Outil Cibles'!L$7&lt;=40, $A76-'Outil Cibles'!L$7&gt;0), 'Outil Cibles'!L$22, 0)))</f>
        <v>0</v>
      </c>
      <c r="K76" s="23">
        <f>IF($A76='Outil Cibles'!M$7, 'Outil Cibles'!M$21, IF(AND($A76-'Outil Cibles'!M$7&lt;=20,$A76-'Outil Cibles'!M$7&gt;0), 'Outil Cibles'!M$21, IF(AND($A76-'Outil Cibles'!M$7&lt;=40, $A76-'Outil Cibles'!M$7&gt;0), 'Outil Cibles'!M$22, 0)))</f>
        <v>0</v>
      </c>
      <c r="L76" s="23">
        <f t="shared" si="4"/>
        <v>0</v>
      </c>
      <c r="N76" s="10">
        <v>2093</v>
      </c>
      <c r="O76">
        <f>B76*'Outil Cibles'!$D$8</f>
        <v>0</v>
      </c>
      <c r="P76">
        <f>C76*'Outil Cibles'!$E$8</f>
        <v>0</v>
      </c>
      <c r="Q76">
        <f>D76*'Outil Cibles'!$F$8</f>
        <v>0</v>
      </c>
      <c r="R76">
        <f>E76*'Outil Cibles'!$G$8</f>
        <v>0</v>
      </c>
      <c r="S76">
        <f>F76*'Outil Cibles'!$H$8</f>
        <v>0</v>
      </c>
      <c r="T76">
        <f>G76*'Outil Cibles'!$I$8</f>
        <v>0</v>
      </c>
      <c r="U76">
        <f>H76*'Outil Cibles'!$J$8</f>
        <v>0</v>
      </c>
      <c r="V76">
        <f>I76*'Outil Cibles'!$K$8</f>
        <v>0</v>
      </c>
      <c r="W76">
        <f>J76*'Outil Cibles'!$L$8</f>
        <v>0</v>
      </c>
      <c r="X76">
        <f>K76*'Outil Cibles'!$M$8</f>
        <v>0</v>
      </c>
      <c r="Y76">
        <f t="shared" si="5"/>
        <v>0</v>
      </c>
    </row>
    <row r="77" spans="1:25" x14ac:dyDescent="0.3">
      <c r="A77">
        <v>2094</v>
      </c>
      <c r="B77" s="23">
        <f>IF($A77='Outil Cibles'!D$7, 'Outil Cibles'!D$21, IF(AND($A77-'Outil Cibles'!D$7&lt;=20,$A77-'Outil Cibles'!D$7&gt;0), 'Outil Cibles'!D$21, IF(AND($A77-'Outil Cibles'!D$7&lt;=40, $A77-'Outil Cibles'!D$7&gt;0), 'Outil Cibles'!D$22, 0)))</f>
        <v>0</v>
      </c>
      <c r="C77" s="23">
        <f>IF($A77='Outil Cibles'!E$7, 'Outil Cibles'!E$21, IF(AND($A77-'Outil Cibles'!E$7&lt;=20,$A77-'Outil Cibles'!E$7&gt;0), 'Outil Cibles'!E$21, IF(AND($A77-'Outil Cibles'!E$7&lt;=40, $A77-'Outil Cibles'!E$7&gt;0), 'Outil Cibles'!E$22, 0)))</f>
        <v>0</v>
      </c>
      <c r="D77" s="23">
        <f>IF($A77='Outil Cibles'!F$7, 'Outil Cibles'!F$21, IF(AND($A77-'Outil Cibles'!F$7&lt;=20,$A77-'Outil Cibles'!F$7&gt;0), 'Outil Cibles'!F$21, IF(AND($A77-'Outil Cibles'!F$7&lt;=40, $A77-'Outil Cibles'!F$7&gt;0), 'Outil Cibles'!F$22, 0)))</f>
        <v>0</v>
      </c>
      <c r="E77" s="23">
        <f>IF($A77='Outil Cibles'!G$7, 'Outil Cibles'!G$21, IF(AND($A77-'Outil Cibles'!G$7&lt;=20,$A77-'Outil Cibles'!G$7&gt;0), 'Outil Cibles'!G$21, IF(AND($A77-'Outil Cibles'!G$7&lt;=40, $A77-'Outil Cibles'!G$7&gt;0), 'Outil Cibles'!G$22, 0)))</f>
        <v>0</v>
      </c>
      <c r="F77" s="23">
        <f>IF($A77='Outil Cibles'!H$7, 'Outil Cibles'!H$21, IF(AND($A77-'Outil Cibles'!H$7&lt;=20,$A77-'Outil Cibles'!H$7&gt;0), 'Outil Cibles'!H$21, IF(AND($A77-'Outil Cibles'!H$7&lt;=40, $A77-'Outil Cibles'!H$7&gt;0), 'Outil Cibles'!H$22, 0)))</f>
        <v>0</v>
      </c>
      <c r="G77" s="23">
        <f>IF($A77='Outil Cibles'!I$7, 'Outil Cibles'!I$21, IF(AND($A77-'Outil Cibles'!I$7&lt;=20,$A77-'Outil Cibles'!I$7&gt;0), 'Outil Cibles'!I$21, IF(AND($A77-'Outil Cibles'!I$7&lt;=40, $A77-'Outil Cibles'!I$7&gt;0), 'Outil Cibles'!I$22, 0)))</f>
        <v>0</v>
      </c>
      <c r="H77" s="23">
        <f>IF($A77='Outil Cibles'!J$7, 'Outil Cibles'!J$21, IF(AND($A77-'Outil Cibles'!J$7&lt;=20,$A77-'Outil Cibles'!J$7&gt;0), 'Outil Cibles'!J$21, IF(AND($A77-'Outil Cibles'!J$7&lt;=40, $A77-'Outil Cibles'!J$7&gt;0), 'Outil Cibles'!J$22, 0)))</f>
        <v>0</v>
      </c>
      <c r="I77" s="23">
        <f>IF($A77='Outil Cibles'!K$7, 'Outil Cibles'!K$21, IF(AND($A77-'Outil Cibles'!K$7&lt;=20,$A77-'Outil Cibles'!K$7&gt;0), 'Outil Cibles'!K$21, IF(AND($A77-'Outil Cibles'!K$7&lt;=40, $A77-'Outil Cibles'!K$7&gt;0), 'Outil Cibles'!K$22, 0)))</f>
        <v>0</v>
      </c>
      <c r="J77" s="23">
        <f>IF($A77='Outil Cibles'!L$7, 'Outil Cibles'!L$21, IF(AND($A77-'Outil Cibles'!L$7&lt;=20,$A77-'Outil Cibles'!L$7&gt;0), 'Outil Cibles'!L$21, IF(AND($A77-'Outil Cibles'!L$7&lt;=40, $A77-'Outil Cibles'!L$7&gt;0), 'Outil Cibles'!L$22, 0)))</f>
        <v>0</v>
      </c>
      <c r="K77" s="23">
        <f>IF($A77='Outil Cibles'!M$7, 'Outil Cibles'!M$21, IF(AND($A77-'Outil Cibles'!M$7&lt;=20,$A77-'Outil Cibles'!M$7&gt;0), 'Outil Cibles'!M$21, IF(AND($A77-'Outil Cibles'!M$7&lt;=40, $A77-'Outil Cibles'!M$7&gt;0), 'Outil Cibles'!M$22, 0)))</f>
        <v>0</v>
      </c>
      <c r="L77" s="23">
        <f t="shared" si="4"/>
        <v>0</v>
      </c>
      <c r="N77">
        <v>2094</v>
      </c>
      <c r="O77">
        <f>B77*'Outil Cibles'!$D$8</f>
        <v>0</v>
      </c>
      <c r="P77">
        <f>C77*'Outil Cibles'!$E$8</f>
        <v>0</v>
      </c>
      <c r="Q77">
        <f>D77*'Outil Cibles'!$F$8</f>
        <v>0</v>
      </c>
      <c r="R77">
        <f>E77*'Outil Cibles'!$G$8</f>
        <v>0</v>
      </c>
      <c r="S77">
        <f>F77*'Outil Cibles'!$H$8</f>
        <v>0</v>
      </c>
      <c r="T77">
        <f>G77*'Outil Cibles'!$I$8</f>
        <v>0</v>
      </c>
      <c r="U77">
        <f>H77*'Outil Cibles'!$J$8</f>
        <v>0</v>
      </c>
      <c r="V77">
        <f>I77*'Outil Cibles'!$K$8</f>
        <v>0</v>
      </c>
      <c r="W77">
        <f>J77*'Outil Cibles'!$L$8</f>
        <v>0</v>
      </c>
      <c r="X77">
        <f>K77*'Outil Cibles'!$M$8</f>
        <v>0</v>
      </c>
      <c r="Y77">
        <f t="shared" si="5"/>
        <v>0</v>
      </c>
    </row>
    <row r="78" spans="1:25" x14ac:dyDescent="0.3">
      <c r="A78" s="10">
        <v>2095</v>
      </c>
      <c r="B78" s="23">
        <f>IF($A78='Outil Cibles'!D$7, 'Outil Cibles'!D$21, IF(AND($A78-'Outil Cibles'!D$7&lt;=20,$A78-'Outil Cibles'!D$7&gt;0), 'Outil Cibles'!D$21, IF(AND($A78-'Outil Cibles'!D$7&lt;=40, $A78-'Outil Cibles'!D$7&gt;0), 'Outil Cibles'!D$22, 0)))</f>
        <v>0</v>
      </c>
      <c r="C78" s="23">
        <f>IF($A78='Outil Cibles'!E$7, 'Outil Cibles'!E$21, IF(AND($A78-'Outil Cibles'!E$7&lt;=20,$A78-'Outil Cibles'!E$7&gt;0), 'Outil Cibles'!E$21, IF(AND($A78-'Outil Cibles'!E$7&lt;=40, $A78-'Outil Cibles'!E$7&gt;0), 'Outil Cibles'!E$22, 0)))</f>
        <v>0</v>
      </c>
      <c r="D78" s="23">
        <f>IF($A78='Outil Cibles'!F$7, 'Outil Cibles'!F$21, IF(AND($A78-'Outil Cibles'!F$7&lt;=20,$A78-'Outil Cibles'!F$7&gt;0), 'Outil Cibles'!F$21, IF(AND($A78-'Outil Cibles'!F$7&lt;=40, $A78-'Outil Cibles'!F$7&gt;0), 'Outil Cibles'!F$22, 0)))</f>
        <v>0</v>
      </c>
      <c r="E78" s="23">
        <f>IF($A78='Outil Cibles'!G$7, 'Outil Cibles'!G$21, IF(AND($A78-'Outil Cibles'!G$7&lt;=20,$A78-'Outil Cibles'!G$7&gt;0), 'Outil Cibles'!G$21, IF(AND($A78-'Outil Cibles'!G$7&lt;=40, $A78-'Outil Cibles'!G$7&gt;0), 'Outil Cibles'!G$22, 0)))</f>
        <v>0</v>
      </c>
      <c r="F78" s="23">
        <f>IF($A78='Outil Cibles'!H$7, 'Outil Cibles'!H$21, IF(AND($A78-'Outil Cibles'!H$7&lt;=20,$A78-'Outil Cibles'!H$7&gt;0), 'Outil Cibles'!H$21, IF(AND($A78-'Outil Cibles'!H$7&lt;=40, $A78-'Outil Cibles'!H$7&gt;0), 'Outil Cibles'!H$22, 0)))</f>
        <v>0</v>
      </c>
      <c r="G78" s="23">
        <f>IF($A78='Outil Cibles'!I$7, 'Outil Cibles'!I$21, IF(AND($A78-'Outil Cibles'!I$7&lt;=20,$A78-'Outil Cibles'!I$7&gt;0), 'Outil Cibles'!I$21, IF(AND($A78-'Outil Cibles'!I$7&lt;=40, $A78-'Outil Cibles'!I$7&gt;0), 'Outil Cibles'!I$22, 0)))</f>
        <v>0</v>
      </c>
      <c r="H78" s="23">
        <f>IF($A78='Outil Cibles'!J$7, 'Outil Cibles'!J$21, IF(AND($A78-'Outil Cibles'!J$7&lt;=20,$A78-'Outil Cibles'!J$7&gt;0), 'Outil Cibles'!J$21, IF(AND($A78-'Outil Cibles'!J$7&lt;=40, $A78-'Outil Cibles'!J$7&gt;0), 'Outil Cibles'!J$22, 0)))</f>
        <v>0</v>
      </c>
      <c r="I78" s="23">
        <f>IF($A78='Outil Cibles'!K$7, 'Outil Cibles'!K$21, IF(AND($A78-'Outil Cibles'!K$7&lt;=20,$A78-'Outil Cibles'!K$7&gt;0), 'Outil Cibles'!K$21, IF(AND($A78-'Outil Cibles'!K$7&lt;=40, $A78-'Outil Cibles'!K$7&gt;0), 'Outil Cibles'!K$22, 0)))</f>
        <v>0</v>
      </c>
      <c r="J78" s="23">
        <f>IF($A78='Outil Cibles'!L$7, 'Outil Cibles'!L$21, IF(AND($A78-'Outil Cibles'!L$7&lt;=20,$A78-'Outil Cibles'!L$7&gt;0), 'Outil Cibles'!L$21, IF(AND($A78-'Outil Cibles'!L$7&lt;=40, $A78-'Outil Cibles'!L$7&gt;0), 'Outil Cibles'!L$22, 0)))</f>
        <v>0</v>
      </c>
      <c r="K78" s="23">
        <f>IF($A78='Outil Cibles'!M$7, 'Outil Cibles'!M$21, IF(AND($A78-'Outil Cibles'!M$7&lt;=20,$A78-'Outil Cibles'!M$7&gt;0), 'Outil Cibles'!M$21, IF(AND($A78-'Outil Cibles'!M$7&lt;=40, $A78-'Outil Cibles'!M$7&gt;0), 'Outil Cibles'!M$22, 0)))</f>
        <v>0</v>
      </c>
      <c r="L78" s="23">
        <f t="shared" si="4"/>
        <v>0</v>
      </c>
      <c r="N78">
        <v>2095</v>
      </c>
      <c r="O78">
        <f>B78*'Outil Cibles'!$D$8</f>
        <v>0</v>
      </c>
      <c r="P78">
        <f>C78*'Outil Cibles'!$E$8</f>
        <v>0</v>
      </c>
      <c r="Q78">
        <f>D78*'Outil Cibles'!$F$8</f>
        <v>0</v>
      </c>
      <c r="R78">
        <f>E78*'Outil Cibles'!$G$8</f>
        <v>0</v>
      </c>
      <c r="S78">
        <f>F78*'Outil Cibles'!$H$8</f>
        <v>0</v>
      </c>
      <c r="T78">
        <f>G78*'Outil Cibles'!$I$8</f>
        <v>0</v>
      </c>
      <c r="U78">
        <f>H78*'Outil Cibles'!$J$8</f>
        <v>0</v>
      </c>
      <c r="V78">
        <f>I78*'Outil Cibles'!$K$8</f>
        <v>0</v>
      </c>
      <c r="W78">
        <f>J78*'Outil Cibles'!$L$8</f>
        <v>0</v>
      </c>
      <c r="X78">
        <f>K78*'Outil Cibles'!$M$8</f>
        <v>0</v>
      </c>
      <c r="Y78">
        <f t="shared" si="5"/>
        <v>0</v>
      </c>
    </row>
    <row r="79" spans="1:25" x14ac:dyDescent="0.3">
      <c r="A79">
        <v>2096</v>
      </c>
      <c r="B79" s="23">
        <f>IF($A79='Outil Cibles'!D$7, 'Outil Cibles'!D$21, IF(AND($A79-'Outil Cibles'!D$7&lt;=20,$A79-'Outil Cibles'!D$7&gt;0), 'Outil Cibles'!D$21, IF(AND($A79-'Outil Cibles'!D$7&lt;=40, $A79-'Outil Cibles'!D$7&gt;0), 'Outil Cibles'!D$22, 0)))</f>
        <v>0</v>
      </c>
      <c r="C79" s="23">
        <f>IF($A79='Outil Cibles'!E$7, 'Outil Cibles'!E$21, IF(AND($A79-'Outil Cibles'!E$7&lt;=20,$A79-'Outil Cibles'!E$7&gt;0), 'Outil Cibles'!E$21, IF(AND($A79-'Outil Cibles'!E$7&lt;=40, $A79-'Outil Cibles'!E$7&gt;0), 'Outil Cibles'!E$22, 0)))</f>
        <v>0</v>
      </c>
      <c r="D79" s="23">
        <f>IF($A79='Outil Cibles'!F$7, 'Outil Cibles'!F$21, IF(AND($A79-'Outil Cibles'!F$7&lt;=20,$A79-'Outil Cibles'!F$7&gt;0), 'Outil Cibles'!F$21, IF(AND($A79-'Outil Cibles'!F$7&lt;=40, $A79-'Outil Cibles'!F$7&gt;0), 'Outil Cibles'!F$22, 0)))</f>
        <v>0</v>
      </c>
      <c r="E79" s="23">
        <f>IF($A79='Outil Cibles'!G$7, 'Outil Cibles'!G$21, IF(AND($A79-'Outil Cibles'!G$7&lt;=20,$A79-'Outil Cibles'!G$7&gt;0), 'Outil Cibles'!G$21, IF(AND($A79-'Outil Cibles'!G$7&lt;=40, $A79-'Outil Cibles'!G$7&gt;0), 'Outil Cibles'!G$22, 0)))</f>
        <v>0</v>
      </c>
      <c r="F79" s="23">
        <f>IF($A79='Outil Cibles'!H$7, 'Outil Cibles'!H$21, IF(AND($A79-'Outil Cibles'!H$7&lt;=20,$A79-'Outil Cibles'!H$7&gt;0), 'Outil Cibles'!H$21, IF(AND($A79-'Outil Cibles'!H$7&lt;=40, $A79-'Outil Cibles'!H$7&gt;0), 'Outil Cibles'!H$22, 0)))</f>
        <v>0</v>
      </c>
      <c r="G79" s="23">
        <f>IF($A79='Outil Cibles'!I$7, 'Outil Cibles'!I$21, IF(AND($A79-'Outil Cibles'!I$7&lt;=20,$A79-'Outil Cibles'!I$7&gt;0), 'Outil Cibles'!I$21, IF(AND($A79-'Outil Cibles'!I$7&lt;=40, $A79-'Outil Cibles'!I$7&gt;0), 'Outil Cibles'!I$22, 0)))</f>
        <v>0</v>
      </c>
      <c r="H79" s="23">
        <f>IF($A79='Outil Cibles'!J$7, 'Outil Cibles'!J$21, IF(AND($A79-'Outil Cibles'!J$7&lt;=20,$A79-'Outil Cibles'!J$7&gt;0), 'Outil Cibles'!J$21, IF(AND($A79-'Outil Cibles'!J$7&lt;=40, $A79-'Outil Cibles'!J$7&gt;0), 'Outil Cibles'!J$22, 0)))</f>
        <v>0</v>
      </c>
      <c r="I79" s="23">
        <f>IF($A79='Outil Cibles'!K$7, 'Outil Cibles'!K$21, IF(AND($A79-'Outil Cibles'!K$7&lt;=20,$A79-'Outil Cibles'!K$7&gt;0), 'Outil Cibles'!K$21, IF(AND($A79-'Outil Cibles'!K$7&lt;=40, $A79-'Outil Cibles'!K$7&gt;0), 'Outil Cibles'!K$22, 0)))</f>
        <v>0</v>
      </c>
      <c r="J79" s="23">
        <f>IF($A79='Outil Cibles'!L$7, 'Outil Cibles'!L$21, IF(AND($A79-'Outil Cibles'!L$7&lt;=20,$A79-'Outil Cibles'!L$7&gt;0), 'Outil Cibles'!L$21, IF(AND($A79-'Outil Cibles'!L$7&lt;=40, $A79-'Outil Cibles'!L$7&gt;0), 'Outil Cibles'!L$22, 0)))</f>
        <v>0</v>
      </c>
      <c r="K79" s="23">
        <f>IF($A79='Outil Cibles'!M$7, 'Outil Cibles'!M$21, IF(AND($A79-'Outil Cibles'!M$7&lt;=20,$A79-'Outil Cibles'!M$7&gt;0), 'Outil Cibles'!M$21, IF(AND($A79-'Outil Cibles'!M$7&lt;=40, $A79-'Outil Cibles'!M$7&gt;0), 'Outil Cibles'!M$22, 0)))</f>
        <v>0</v>
      </c>
      <c r="L79" s="23">
        <f t="shared" si="4"/>
        <v>0</v>
      </c>
      <c r="N79">
        <v>2096</v>
      </c>
      <c r="O79">
        <f>B79*'Outil Cibles'!$D$8</f>
        <v>0</v>
      </c>
      <c r="P79">
        <f>C79*'Outil Cibles'!$E$8</f>
        <v>0</v>
      </c>
      <c r="Q79">
        <f>D79*'Outil Cibles'!$F$8</f>
        <v>0</v>
      </c>
      <c r="R79">
        <f>E79*'Outil Cibles'!$G$8</f>
        <v>0</v>
      </c>
      <c r="S79">
        <f>F79*'Outil Cibles'!$H$8</f>
        <v>0</v>
      </c>
      <c r="T79">
        <f>G79*'Outil Cibles'!$I$8</f>
        <v>0</v>
      </c>
      <c r="U79">
        <f>H79*'Outil Cibles'!$J$8</f>
        <v>0</v>
      </c>
      <c r="V79">
        <f>I79*'Outil Cibles'!$K$8</f>
        <v>0</v>
      </c>
      <c r="W79">
        <f>J79*'Outil Cibles'!$L$8</f>
        <v>0</v>
      </c>
      <c r="X79">
        <f>K79*'Outil Cibles'!$M$8</f>
        <v>0</v>
      </c>
      <c r="Y79">
        <f t="shared" si="5"/>
        <v>0</v>
      </c>
    </row>
    <row r="80" spans="1:25" x14ac:dyDescent="0.3">
      <c r="A80">
        <v>2097</v>
      </c>
      <c r="B80" s="23">
        <f>IF($A80='Outil Cibles'!D$7, 'Outil Cibles'!D$21, IF(AND($A80-'Outil Cibles'!D$7&lt;=20,$A80-'Outil Cibles'!D$7&gt;0), 'Outil Cibles'!D$21, IF(AND($A80-'Outil Cibles'!D$7&lt;=40, $A80-'Outil Cibles'!D$7&gt;0), 'Outil Cibles'!D$22, 0)))</f>
        <v>0</v>
      </c>
      <c r="C80" s="23">
        <f>IF($A80='Outil Cibles'!E$7, 'Outil Cibles'!E$21, IF(AND($A80-'Outil Cibles'!E$7&lt;=20,$A80-'Outil Cibles'!E$7&gt;0), 'Outil Cibles'!E$21, IF(AND($A80-'Outil Cibles'!E$7&lt;=40, $A80-'Outil Cibles'!E$7&gt;0), 'Outil Cibles'!E$22, 0)))</f>
        <v>0</v>
      </c>
      <c r="D80" s="23">
        <f>IF($A80='Outil Cibles'!F$7, 'Outil Cibles'!F$21, IF(AND($A80-'Outil Cibles'!F$7&lt;=20,$A80-'Outil Cibles'!F$7&gt;0), 'Outil Cibles'!F$21, IF(AND($A80-'Outil Cibles'!F$7&lt;=40, $A80-'Outil Cibles'!F$7&gt;0), 'Outil Cibles'!F$22, 0)))</f>
        <v>0</v>
      </c>
      <c r="E80" s="23">
        <f>IF($A80='Outil Cibles'!G$7, 'Outil Cibles'!G$21, IF(AND($A80-'Outil Cibles'!G$7&lt;=20,$A80-'Outil Cibles'!G$7&gt;0), 'Outil Cibles'!G$21, IF(AND($A80-'Outil Cibles'!G$7&lt;=40, $A80-'Outil Cibles'!G$7&gt;0), 'Outil Cibles'!G$22, 0)))</f>
        <v>0</v>
      </c>
      <c r="F80" s="23">
        <f>IF($A80='Outil Cibles'!H$7, 'Outil Cibles'!H$21, IF(AND($A80-'Outil Cibles'!H$7&lt;=20,$A80-'Outil Cibles'!H$7&gt;0), 'Outil Cibles'!H$21, IF(AND($A80-'Outil Cibles'!H$7&lt;=40, $A80-'Outil Cibles'!H$7&gt;0), 'Outil Cibles'!H$22, 0)))</f>
        <v>0</v>
      </c>
      <c r="G80" s="23">
        <f>IF($A80='Outil Cibles'!I$7, 'Outil Cibles'!I$21, IF(AND($A80-'Outil Cibles'!I$7&lt;=20,$A80-'Outil Cibles'!I$7&gt;0), 'Outil Cibles'!I$21, IF(AND($A80-'Outil Cibles'!I$7&lt;=40, $A80-'Outil Cibles'!I$7&gt;0), 'Outil Cibles'!I$22, 0)))</f>
        <v>0</v>
      </c>
      <c r="H80" s="23">
        <f>IF($A80='Outil Cibles'!J$7, 'Outil Cibles'!J$21, IF(AND($A80-'Outil Cibles'!J$7&lt;=20,$A80-'Outil Cibles'!J$7&gt;0), 'Outil Cibles'!J$21, IF(AND($A80-'Outil Cibles'!J$7&lt;=40, $A80-'Outil Cibles'!J$7&gt;0), 'Outil Cibles'!J$22, 0)))</f>
        <v>0</v>
      </c>
      <c r="I80" s="23">
        <f>IF($A80='Outil Cibles'!K$7, 'Outil Cibles'!K$21, IF(AND($A80-'Outil Cibles'!K$7&lt;=20,$A80-'Outil Cibles'!K$7&gt;0), 'Outil Cibles'!K$21, IF(AND($A80-'Outil Cibles'!K$7&lt;=40, $A80-'Outil Cibles'!K$7&gt;0), 'Outil Cibles'!K$22, 0)))</f>
        <v>0</v>
      </c>
      <c r="J80" s="23">
        <f>IF($A80='Outil Cibles'!L$7, 'Outil Cibles'!L$21, IF(AND($A80-'Outil Cibles'!L$7&lt;=20,$A80-'Outil Cibles'!L$7&gt;0), 'Outil Cibles'!L$21, IF(AND($A80-'Outil Cibles'!L$7&lt;=40, $A80-'Outil Cibles'!L$7&gt;0), 'Outil Cibles'!L$22, 0)))</f>
        <v>0</v>
      </c>
      <c r="K80" s="23">
        <f>IF($A80='Outil Cibles'!M$7, 'Outil Cibles'!M$21, IF(AND($A80-'Outil Cibles'!M$7&lt;=20,$A80-'Outil Cibles'!M$7&gt;0), 'Outil Cibles'!M$21, IF(AND($A80-'Outil Cibles'!M$7&lt;=40, $A80-'Outil Cibles'!M$7&gt;0), 'Outil Cibles'!M$22, 0)))</f>
        <v>0</v>
      </c>
      <c r="L80" s="23">
        <f t="shared" si="4"/>
        <v>0</v>
      </c>
      <c r="N80">
        <v>2097</v>
      </c>
      <c r="O80">
        <f>B80*'Outil Cibles'!$D$8</f>
        <v>0</v>
      </c>
      <c r="P80">
        <f>C80*'Outil Cibles'!$E$8</f>
        <v>0</v>
      </c>
      <c r="Q80">
        <f>D80*'Outil Cibles'!$F$8</f>
        <v>0</v>
      </c>
      <c r="R80">
        <f>E80*'Outil Cibles'!$G$8</f>
        <v>0</v>
      </c>
      <c r="S80">
        <f>F80*'Outil Cibles'!$H$8</f>
        <v>0</v>
      </c>
      <c r="T80">
        <f>G80*'Outil Cibles'!$I$8</f>
        <v>0</v>
      </c>
      <c r="U80">
        <f>H80*'Outil Cibles'!$J$8</f>
        <v>0</v>
      </c>
      <c r="V80">
        <f>I80*'Outil Cibles'!$K$8</f>
        <v>0</v>
      </c>
      <c r="W80">
        <f>J80*'Outil Cibles'!$L$8</f>
        <v>0</v>
      </c>
      <c r="X80">
        <f>K80*'Outil Cibles'!$M$8</f>
        <v>0</v>
      </c>
      <c r="Y80">
        <f t="shared" si="5"/>
        <v>0</v>
      </c>
    </row>
    <row r="81" spans="1:25" x14ac:dyDescent="0.3">
      <c r="A81">
        <v>2098</v>
      </c>
      <c r="B81" s="23">
        <f>IF($A81='Outil Cibles'!D$7, 'Outil Cibles'!D$21, IF(AND($A81-'Outil Cibles'!D$7&lt;=20,$A81-'Outil Cibles'!D$7&gt;0), 'Outil Cibles'!D$21, IF(AND($A81-'Outil Cibles'!D$7&lt;=40, $A81-'Outil Cibles'!D$7&gt;0), 'Outil Cibles'!D$22, 0)))</f>
        <v>0</v>
      </c>
      <c r="C81" s="23">
        <f>IF($A81='Outil Cibles'!E$7, 'Outil Cibles'!E$21, IF(AND($A81-'Outil Cibles'!E$7&lt;=20,$A81-'Outil Cibles'!E$7&gt;0), 'Outil Cibles'!E$21, IF(AND($A81-'Outil Cibles'!E$7&lt;=40, $A81-'Outil Cibles'!E$7&gt;0), 'Outil Cibles'!E$22, 0)))</f>
        <v>0</v>
      </c>
      <c r="D81" s="23">
        <f>IF($A81='Outil Cibles'!F$7, 'Outil Cibles'!F$21, IF(AND($A81-'Outil Cibles'!F$7&lt;=20,$A81-'Outil Cibles'!F$7&gt;0), 'Outil Cibles'!F$21, IF(AND($A81-'Outil Cibles'!F$7&lt;=40, $A81-'Outil Cibles'!F$7&gt;0), 'Outil Cibles'!F$22, 0)))</f>
        <v>0</v>
      </c>
      <c r="E81" s="23">
        <f>IF($A81='Outil Cibles'!G$7, 'Outil Cibles'!G$21, IF(AND($A81-'Outil Cibles'!G$7&lt;=20,$A81-'Outil Cibles'!G$7&gt;0), 'Outil Cibles'!G$21, IF(AND($A81-'Outil Cibles'!G$7&lt;=40, $A81-'Outil Cibles'!G$7&gt;0), 'Outil Cibles'!G$22, 0)))</f>
        <v>0</v>
      </c>
      <c r="F81" s="23">
        <f>IF($A81='Outil Cibles'!H$7, 'Outil Cibles'!H$21, IF(AND($A81-'Outil Cibles'!H$7&lt;=20,$A81-'Outil Cibles'!H$7&gt;0), 'Outil Cibles'!H$21, IF(AND($A81-'Outil Cibles'!H$7&lt;=40, $A81-'Outil Cibles'!H$7&gt;0), 'Outil Cibles'!H$22, 0)))</f>
        <v>0</v>
      </c>
      <c r="G81" s="23">
        <f>IF($A81='Outil Cibles'!I$7, 'Outil Cibles'!I$21, IF(AND($A81-'Outil Cibles'!I$7&lt;=20,$A81-'Outil Cibles'!I$7&gt;0), 'Outil Cibles'!I$21, IF(AND($A81-'Outil Cibles'!I$7&lt;=40, $A81-'Outil Cibles'!I$7&gt;0), 'Outil Cibles'!I$22, 0)))</f>
        <v>0</v>
      </c>
      <c r="H81" s="23">
        <f>IF($A81='Outil Cibles'!J$7, 'Outil Cibles'!J$21, IF(AND($A81-'Outil Cibles'!J$7&lt;=20,$A81-'Outil Cibles'!J$7&gt;0), 'Outil Cibles'!J$21, IF(AND($A81-'Outil Cibles'!J$7&lt;=40, $A81-'Outil Cibles'!J$7&gt;0), 'Outil Cibles'!J$22, 0)))</f>
        <v>0</v>
      </c>
      <c r="I81" s="23">
        <f>IF($A81='Outil Cibles'!K$7, 'Outil Cibles'!K$21, IF(AND($A81-'Outil Cibles'!K$7&lt;=20,$A81-'Outil Cibles'!K$7&gt;0), 'Outil Cibles'!K$21, IF(AND($A81-'Outil Cibles'!K$7&lt;=40, $A81-'Outil Cibles'!K$7&gt;0), 'Outil Cibles'!K$22, 0)))</f>
        <v>0</v>
      </c>
      <c r="J81" s="23">
        <f>IF($A81='Outil Cibles'!L$7, 'Outil Cibles'!L$21, IF(AND($A81-'Outil Cibles'!L$7&lt;=20,$A81-'Outil Cibles'!L$7&gt;0), 'Outil Cibles'!L$21, IF(AND($A81-'Outil Cibles'!L$7&lt;=40, $A81-'Outil Cibles'!L$7&gt;0), 'Outil Cibles'!L$22, 0)))</f>
        <v>0</v>
      </c>
      <c r="K81" s="23">
        <f>IF($A81='Outil Cibles'!M$7, 'Outil Cibles'!M$21, IF(AND($A81-'Outil Cibles'!M$7&lt;=20,$A81-'Outil Cibles'!M$7&gt;0), 'Outil Cibles'!M$21, IF(AND($A81-'Outil Cibles'!M$7&lt;=40, $A81-'Outil Cibles'!M$7&gt;0), 'Outil Cibles'!M$22, 0)))</f>
        <v>0</v>
      </c>
      <c r="L81" s="23">
        <f t="shared" si="4"/>
        <v>0</v>
      </c>
      <c r="N81" s="10">
        <v>2098</v>
      </c>
      <c r="O81">
        <f>B81*'Outil Cibles'!$D$8</f>
        <v>0</v>
      </c>
      <c r="P81">
        <f>C81*'Outil Cibles'!$E$8</f>
        <v>0</v>
      </c>
      <c r="Q81">
        <f>D81*'Outil Cibles'!$F$8</f>
        <v>0</v>
      </c>
      <c r="R81">
        <f>E81*'Outil Cibles'!$G$8</f>
        <v>0</v>
      </c>
      <c r="S81">
        <f>F81*'Outil Cibles'!$H$8</f>
        <v>0</v>
      </c>
      <c r="T81">
        <f>G81*'Outil Cibles'!$I$8</f>
        <v>0</v>
      </c>
      <c r="U81">
        <f>H81*'Outil Cibles'!$J$8</f>
        <v>0</v>
      </c>
      <c r="V81">
        <f>I81*'Outil Cibles'!$K$8</f>
        <v>0</v>
      </c>
      <c r="W81">
        <f>J81*'Outil Cibles'!$L$8</f>
        <v>0</v>
      </c>
      <c r="X81">
        <f>K81*'Outil Cibles'!$M$8</f>
        <v>0</v>
      </c>
      <c r="Y81">
        <f t="shared" si="5"/>
        <v>0</v>
      </c>
    </row>
    <row r="82" spans="1:25" x14ac:dyDescent="0.3">
      <c r="A82">
        <v>2099</v>
      </c>
      <c r="B82" s="23">
        <f>IF($A82='Outil Cibles'!D$7, 'Outil Cibles'!D$21, IF(AND($A82-'Outil Cibles'!D$7&lt;=20,$A82-'Outil Cibles'!D$7&gt;0), 'Outil Cibles'!D$21, IF(AND($A82-'Outil Cibles'!D$7&lt;=40, $A82-'Outil Cibles'!D$7&gt;0), 'Outil Cibles'!D$22, 0)))</f>
        <v>0</v>
      </c>
      <c r="C82" s="23">
        <f>IF($A82='Outil Cibles'!E$7, 'Outil Cibles'!E$21, IF(AND($A82-'Outil Cibles'!E$7&lt;=20,$A82-'Outil Cibles'!E$7&gt;0), 'Outil Cibles'!E$21, IF(AND($A82-'Outil Cibles'!E$7&lt;=40, $A82-'Outil Cibles'!E$7&gt;0), 'Outil Cibles'!E$22, 0)))</f>
        <v>0</v>
      </c>
      <c r="D82" s="23">
        <f>IF($A82='Outil Cibles'!F$7, 'Outil Cibles'!F$21, IF(AND($A82-'Outil Cibles'!F$7&lt;=20,$A82-'Outil Cibles'!F$7&gt;0), 'Outil Cibles'!F$21, IF(AND($A82-'Outil Cibles'!F$7&lt;=40, $A82-'Outil Cibles'!F$7&gt;0), 'Outil Cibles'!F$22, 0)))</f>
        <v>0</v>
      </c>
      <c r="E82" s="23">
        <f>IF($A82='Outil Cibles'!G$7, 'Outil Cibles'!G$21, IF(AND($A82-'Outil Cibles'!G$7&lt;=20,$A82-'Outil Cibles'!G$7&gt;0), 'Outil Cibles'!G$21, IF(AND($A82-'Outil Cibles'!G$7&lt;=40, $A82-'Outil Cibles'!G$7&gt;0), 'Outil Cibles'!G$22, 0)))</f>
        <v>0</v>
      </c>
      <c r="F82" s="23">
        <f>IF($A82='Outil Cibles'!H$7, 'Outil Cibles'!H$21, IF(AND($A82-'Outil Cibles'!H$7&lt;=20,$A82-'Outil Cibles'!H$7&gt;0), 'Outil Cibles'!H$21, IF(AND($A82-'Outil Cibles'!H$7&lt;=40, $A82-'Outil Cibles'!H$7&gt;0), 'Outil Cibles'!H$22, 0)))</f>
        <v>0</v>
      </c>
      <c r="G82" s="23">
        <f>IF($A82='Outil Cibles'!I$7, 'Outil Cibles'!I$21, IF(AND($A82-'Outil Cibles'!I$7&lt;=20,$A82-'Outil Cibles'!I$7&gt;0), 'Outil Cibles'!I$21, IF(AND($A82-'Outil Cibles'!I$7&lt;=40, $A82-'Outil Cibles'!I$7&gt;0), 'Outil Cibles'!I$22, 0)))</f>
        <v>0</v>
      </c>
      <c r="H82" s="23">
        <f>IF($A82='Outil Cibles'!J$7, 'Outil Cibles'!J$21, IF(AND($A82-'Outil Cibles'!J$7&lt;=20,$A82-'Outil Cibles'!J$7&gt;0), 'Outil Cibles'!J$21, IF(AND($A82-'Outil Cibles'!J$7&lt;=40, $A82-'Outil Cibles'!J$7&gt;0), 'Outil Cibles'!J$22, 0)))</f>
        <v>0</v>
      </c>
      <c r="I82" s="23">
        <f>IF($A82='Outil Cibles'!K$7, 'Outil Cibles'!K$21, IF(AND($A82-'Outil Cibles'!K$7&lt;=20,$A82-'Outil Cibles'!K$7&gt;0), 'Outil Cibles'!K$21, IF(AND($A82-'Outil Cibles'!K$7&lt;=40, $A82-'Outil Cibles'!K$7&gt;0), 'Outil Cibles'!K$22, 0)))</f>
        <v>0</v>
      </c>
      <c r="J82" s="23">
        <f>IF($A82='Outil Cibles'!L$7, 'Outil Cibles'!L$21, IF(AND($A82-'Outil Cibles'!L$7&lt;=20,$A82-'Outil Cibles'!L$7&gt;0), 'Outil Cibles'!L$21, IF(AND($A82-'Outil Cibles'!L$7&lt;=40, $A82-'Outil Cibles'!L$7&gt;0), 'Outil Cibles'!L$22, 0)))</f>
        <v>0</v>
      </c>
      <c r="K82" s="23">
        <f>IF($A82='Outil Cibles'!M$7, 'Outil Cibles'!M$21, IF(AND($A82-'Outil Cibles'!M$7&lt;=20,$A82-'Outil Cibles'!M$7&gt;0), 'Outil Cibles'!M$21, IF(AND($A82-'Outil Cibles'!M$7&lt;=40, $A82-'Outil Cibles'!M$7&gt;0), 'Outil Cibles'!M$22, 0)))</f>
        <v>0</v>
      </c>
      <c r="L82" s="23">
        <f t="shared" si="4"/>
        <v>0</v>
      </c>
      <c r="N82" s="10">
        <v>2099</v>
      </c>
      <c r="O82">
        <f>B82*'Outil Cibles'!$D$8</f>
        <v>0</v>
      </c>
      <c r="P82">
        <f>C82*'Outil Cibles'!$E$8</f>
        <v>0</v>
      </c>
      <c r="Q82">
        <f>D82*'Outil Cibles'!$F$8</f>
        <v>0</v>
      </c>
      <c r="R82">
        <f>E82*'Outil Cibles'!$G$8</f>
        <v>0</v>
      </c>
      <c r="S82">
        <f>F82*'Outil Cibles'!$H$8</f>
        <v>0</v>
      </c>
      <c r="T82">
        <f>G82*'Outil Cibles'!$I$8</f>
        <v>0</v>
      </c>
      <c r="U82">
        <f>H82*'Outil Cibles'!$J$8</f>
        <v>0</v>
      </c>
      <c r="V82">
        <f>I82*'Outil Cibles'!$K$8</f>
        <v>0</v>
      </c>
      <c r="W82">
        <f>J82*'Outil Cibles'!$L$8</f>
        <v>0</v>
      </c>
      <c r="X82">
        <f>K82*'Outil Cibles'!$M$8</f>
        <v>0</v>
      </c>
      <c r="Y82">
        <f t="shared" si="5"/>
        <v>0</v>
      </c>
    </row>
    <row r="83" spans="1:25" x14ac:dyDescent="0.3">
      <c r="A83" s="10">
        <v>2100</v>
      </c>
      <c r="B83" s="23">
        <f>IF($A83='Outil Cibles'!D$7, 'Outil Cibles'!D$21, IF(AND($A83-'Outil Cibles'!D$7&lt;=20,$A83-'Outil Cibles'!D$7&gt;0), 'Outil Cibles'!D$21, IF(AND($A83-'Outil Cibles'!D$7&lt;=40, $A83-'Outil Cibles'!D$7&gt;0), 'Outil Cibles'!D$22, 0)))</f>
        <v>0</v>
      </c>
      <c r="C83" s="23">
        <f>IF($A83='Outil Cibles'!E$7, 'Outil Cibles'!E$21, IF(AND($A83-'Outil Cibles'!E$7&lt;=20,$A83-'Outil Cibles'!E$7&gt;0), 'Outil Cibles'!E$21, IF(AND($A83-'Outil Cibles'!E$7&lt;=40, $A83-'Outil Cibles'!E$7&gt;0), 'Outil Cibles'!E$22, 0)))</f>
        <v>0</v>
      </c>
      <c r="D83" s="23">
        <f>IF($A83='Outil Cibles'!F$7, 'Outil Cibles'!F$21, IF(AND($A83-'Outil Cibles'!F$7&lt;=20,$A83-'Outil Cibles'!F$7&gt;0), 'Outil Cibles'!F$21, IF(AND($A83-'Outil Cibles'!F$7&lt;=40, $A83-'Outil Cibles'!F$7&gt;0), 'Outil Cibles'!F$22, 0)))</f>
        <v>0</v>
      </c>
      <c r="E83" s="23">
        <f>IF($A83='Outil Cibles'!G$7, 'Outil Cibles'!G$21, IF(AND($A83-'Outil Cibles'!G$7&lt;=20,$A83-'Outil Cibles'!G$7&gt;0), 'Outil Cibles'!G$21, IF(AND($A83-'Outil Cibles'!G$7&lt;=40, $A83-'Outil Cibles'!G$7&gt;0), 'Outil Cibles'!G$22, 0)))</f>
        <v>0</v>
      </c>
      <c r="F83" s="23">
        <f>IF($A83='Outil Cibles'!H$7, 'Outil Cibles'!H$21, IF(AND($A83-'Outil Cibles'!H$7&lt;=20,$A83-'Outil Cibles'!H$7&gt;0), 'Outil Cibles'!H$21, IF(AND($A83-'Outil Cibles'!H$7&lt;=40, $A83-'Outil Cibles'!H$7&gt;0), 'Outil Cibles'!H$22, 0)))</f>
        <v>0</v>
      </c>
      <c r="G83" s="23">
        <f>IF($A83='Outil Cibles'!I$7, 'Outil Cibles'!I$21, IF(AND($A83-'Outil Cibles'!I$7&lt;=20,$A83-'Outil Cibles'!I$7&gt;0), 'Outil Cibles'!I$21, IF(AND($A83-'Outil Cibles'!I$7&lt;=40, $A83-'Outil Cibles'!I$7&gt;0), 'Outil Cibles'!I$22, 0)))</f>
        <v>0</v>
      </c>
      <c r="H83" s="23">
        <f>IF($A83='Outil Cibles'!J$7, 'Outil Cibles'!J$21, IF(AND($A83-'Outil Cibles'!J$7&lt;=20,$A83-'Outil Cibles'!J$7&gt;0), 'Outil Cibles'!J$21, IF(AND($A83-'Outil Cibles'!J$7&lt;=40, $A83-'Outil Cibles'!J$7&gt;0), 'Outil Cibles'!J$22, 0)))</f>
        <v>0</v>
      </c>
      <c r="I83" s="23">
        <f>IF($A83='Outil Cibles'!K$7, 'Outil Cibles'!K$21, IF(AND($A83-'Outil Cibles'!K$7&lt;=20,$A83-'Outil Cibles'!K$7&gt;0), 'Outil Cibles'!K$21, IF(AND($A83-'Outil Cibles'!K$7&lt;=40, $A83-'Outil Cibles'!K$7&gt;0), 'Outil Cibles'!K$22, 0)))</f>
        <v>0</v>
      </c>
      <c r="J83" s="23">
        <f>IF($A83='Outil Cibles'!L$7, 'Outil Cibles'!L$21, IF(AND($A83-'Outil Cibles'!L$7&lt;=20,$A83-'Outil Cibles'!L$7&gt;0), 'Outil Cibles'!L$21, IF(AND($A83-'Outil Cibles'!L$7&lt;=40, $A83-'Outil Cibles'!L$7&gt;0), 'Outil Cibles'!L$22, 0)))</f>
        <v>0</v>
      </c>
      <c r="K83" s="23">
        <f>IF($A83='Outil Cibles'!M$7, 'Outil Cibles'!M$21, IF(AND($A83-'Outil Cibles'!M$7&lt;=20,$A83-'Outil Cibles'!M$7&gt;0), 'Outil Cibles'!M$21, IF(AND($A83-'Outil Cibles'!M$7&lt;=40, $A83-'Outil Cibles'!M$7&gt;0), 'Outil Cibles'!M$22, 0)))</f>
        <v>0</v>
      </c>
      <c r="L83" s="23">
        <f t="shared" si="4"/>
        <v>0</v>
      </c>
      <c r="N83">
        <v>2100</v>
      </c>
      <c r="O83">
        <f>B83*'Outil Cibles'!$D$8</f>
        <v>0</v>
      </c>
      <c r="P83">
        <f>C83*'Outil Cibles'!$E$8</f>
        <v>0</v>
      </c>
      <c r="Q83">
        <f>D83*'Outil Cibles'!$F$8</f>
        <v>0</v>
      </c>
      <c r="R83">
        <f>E83*'Outil Cibles'!$G$8</f>
        <v>0</v>
      </c>
      <c r="S83">
        <f>F83*'Outil Cibles'!$H$8</f>
        <v>0</v>
      </c>
      <c r="T83">
        <f>G83*'Outil Cibles'!$I$8</f>
        <v>0</v>
      </c>
      <c r="U83">
        <f>H83*'Outil Cibles'!$J$8</f>
        <v>0</v>
      </c>
      <c r="V83">
        <f>I83*'Outil Cibles'!$K$8</f>
        <v>0</v>
      </c>
      <c r="W83">
        <f>J83*'Outil Cibles'!$L$8</f>
        <v>0</v>
      </c>
      <c r="X83">
        <f>K83*'Outil Cibles'!$M$8</f>
        <v>0</v>
      </c>
      <c r="Y83">
        <f t="shared" si="5"/>
        <v>0</v>
      </c>
    </row>
    <row r="88" spans="1:25" x14ac:dyDescent="0.3">
      <c r="N88">
        <v>2022</v>
      </c>
      <c r="O88">
        <f>IF(AND($N88-'Outil Cibles'!D$7&lt;=60,$N88-'Outil Cibles'!D$7&gt;=0), O$3, 0)</f>
        <v>0</v>
      </c>
      <c r="P88">
        <f>IF(AND($N88-'Outil Cibles'!E$7&lt;=60,$N88-'Outil Cibles'!E$7&gt;=0), P$3, 0)</f>
        <v>0</v>
      </c>
      <c r="Q88">
        <f>IF(AND($N88-'Outil Cibles'!F$7&lt;=60,$N88-'Outil Cibles'!F$7&gt;=0), Q$3, 0)</f>
        <v>0</v>
      </c>
      <c r="R88">
        <f>IF(AND($N88-'Outil Cibles'!G$7&lt;=60,$N88-'Outil Cibles'!G$7&gt;=0), R$3, 0)</f>
        <v>0</v>
      </c>
      <c r="S88">
        <f>IF(AND($N88-'Outil Cibles'!H$7&lt;=60,$N88-'Outil Cibles'!H$7&gt;=0), S$3, 0)</f>
        <v>0</v>
      </c>
      <c r="T88">
        <f>IF(AND($N88-'Outil Cibles'!I$7&lt;=60,$N88-'Outil Cibles'!I$7&gt;=0), T$3, 0)</f>
        <v>0</v>
      </c>
      <c r="U88">
        <f>IF(AND($N88-'Outil Cibles'!J$7&lt;=60,$N88-'Outil Cibles'!J$7&gt;=0), U$3, 0)</f>
        <v>0</v>
      </c>
      <c r="V88">
        <f>IF(AND($N88-'Outil Cibles'!K$7&lt;=60,$N88-'Outil Cibles'!K$7&gt;=0), V$3, 0)</f>
        <v>0</v>
      </c>
      <c r="W88">
        <f>IF(AND($N88-'Outil Cibles'!L$7&lt;=60,$N88-'Outil Cibles'!L$7&gt;=0), W$3, 0)</f>
        <v>0</v>
      </c>
      <c r="X88">
        <f>IF(AND($N88-'Outil Cibles'!M$7&lt;=60,$N88-'Outil Cibles'!M$7&gt;=0), X$3, 0)</f>
        <v>0</v>
      </c>
    </row>
    <row r="89" spans="1:25" x14ac:dyDescent="0.3">
      <c r="N89">
        <v>2023</v>
      </c>
      <c r="O89">
        <f>IF(AND($N89-'Outil Cibles'!D$7&lt;=60,$N89-'Outil Cibles'!D$7&gt;=0), O$3, 0)</f>
        <v>0</v>
      </c>
      <c r="P89">
        <f>IF(AND($N89-'Outil Cibles'!E$7&lt;=60,$N89-'Outil Cibles'!E$7&gt;=0), P$3, 0)</f>
        <v>0</v>
      </c>
      <c r="Q89">
        <f>IF(AND($N89-'Outil Cibles'!F$7&lt;=60,$N89-'Outil Cibles'!F$7&gt;=0), Q$3, 0)</f>
        <v>0</v>
      </c>
      <c r="R89">
        <f>IF(AND($N89-'Outil Cibles'!G$7&lt;=60,$N89-'Outil Cibles'!G$7&gt;=0), R$3, 0)</f>
        <v>0</v>
      </c>
      <c r="S89">
        <f>IF(AND($N89-'Outil Cibles'!H$7&lt;=60,$N89-'Outil Cibles'!H$7&gt;=0), S$3, 0)</f>
        <v>0</v>
      </c>
      <c r="T89">
        <f>IF(AND($N89-'Outil Cibles'!I$7&lt;=60,$N89-'Outil Cibles'!I$7&gt;=0), T$3, 0)</f>
        <v>0</v>
      </c>
      <c r="U89">
        <f>IF(AND($N89-'Outil Cibles'!J$7&lt;=60,$N89-'Outil Cibles'!J$7&gt;=0), U$3, 0)</f>
        <v>0</v>
      </c>
      <c r="V89">
        <f>IF(AND($N89-'Outil Cibles'!K$7&lt;=60,$N89-'Outil Cibles'!K$7&gt;=0), V$3, 0)</f>
        <v>0</v>
      </c>
      <c r="W89">
        <f>IF(AND($N89-'Outil Cibles'!L$7&lt;=60,$N89-'Outil Cibles'!L$7&gt;=0), W$3, 0)</f>
        <v>0</v>
      </c>
      <c r="X89">
        <f>IF(AND($N89-'Outil Cibles'!M$7&lt;=60,$N89-'Outil Cibles'!M$7&gt;=0), X$3, 0)</f>
        <v>0</v>
      </c>
    </row>
    <row r="90" spans="1:25" x14ac:dyDescent="0.3">
      <c r="N90">
        <v>2024</v>
      </c>
      <c r="O90">
        <f>IF(AND($N90-'Outil Cibles'!D$7&lt;=60,$N90-'Outil Cibles'!D$7&gt;=0), O$3, 0)</f>
        <v>1043.1637008618798</v>
      </c>
      <c r="P90">
        <f>IF(AND($N90-'Outil Cibles'!E$7&lt;=60,$N90-'Outil Cibles'!E$7&gt;=0), P$3, 0)</f>
        <v>0</v>
      </c>
      <c r="Q90">
        <f>IF(AND($N90-'Outil Cibles'!F$7&lt;=60,$N90-'Outil Cibles'!F$7&gt;=0), Q$3, 0)</f>
        <v>0</v>
      </c>
      <c r="R90">
        <f>IF(AND($N90-'Outil Cibles'!G$7&lt;=60,$N90-'Outil Cibles'!G$7&gt;=0), R$3, 0)</f>
        <v>0</v>
      </c>
      <c r="S90">
        <f>IF(AND($N90-'Outil Cibles'!H$7&lt;=60,$N90-'Outil Cibles'!H$7&gt;=0), S$3, 0)</f>
        <v>0</v>
      </c>
      <c r="T90">
        <f>IF(AND($N90-'Outil Cibles'!I$7&lt;=60,$N90-'Outil Cibles'!I$7&gt;=0), T$3, 0)</f>
        <v>0</v>
      </c>
      <c r="U90">
        <f>IF(AND($N90-'Outil Cibles'!J$7&lt;=60,$N90-'Outil Cibles'!J$7&gt;=0), U$3, 0)</f>
        <v>0</v>
      </c>
      <c r="V90">
        <f>IF(AND($N90-'Outil Cibles'!K$7&lt;=60,$N90-'Outil Cibles'!K$7&gt;=0), V$3, 0)</f>
        <v>0</v>
      </c>
      <c r="W90">
        <f>IF(AND($N90-'Outil Cibles'!L$7&lt;=60,$N90-'Outil Cibles'!L$7&gt;=0), W$3, 0)</f>
        <v>0</v>
      </c>
      <c r="X90">
        <f>IF(AND($N90-'Outil Cibles'!M$7&lt;=60,$N90-'Outil Cibles'!M$7&gt;=0), X$3, 0)</f>
        <v>0</v>
      </c>
    </row>
    <row r="91" spans="1:25" x14ac:dyDescent="0.3">
      <c r="N91" s="10">
        <v>2025</v>
      </c>
      <c r="O91">
        <f>IF(AND($N91-'Outil Cibles'!D$7&lt;=60,$N91-'Outil Cibles'!D$7&gt;=0), O$3, 0)</f>
        <v>1043.1637008618798</v>
      </c>
      <c r="P91">
        <f>IF(AND($N91-'Outil Cibles'!E$7&lt;=60,$N91-'Outil Cibles'!E$7&gt;=0), P$3, 0)</f>
        <v>0</v>
      </c>
      <c r="Q91">
        <f>IF(AND($N91-'Outil Cibles'!F$7&lt;=60,$N91-'Outil Cibles'!F$7&gt;=0), Q$3, 0)</f>
        <v>0</v>
      </c>
      <c r="R91">
        <f>IF(AND($N91-'Outil Cibles'!G$7&lt;=60,$N91-'Outil Cibles'!G$7&gt;=0), R$3, 0)</f>
        <v>0</v>
      </c>
      <c r="S91">
        <f>IF(AND($N91-'Outil Cibles'!H$7&lt;=60,$N91-'Outil Cibles'!H$7&gt;=0), S$3, 0)</f>
        <v>0</v>
      </c>
      <c r="T91">
        <f>IF(AND($N91-'Outil Cibles'!I$7&lt;=60,$N91-'Outil Cibles'!I$7&gt;=0), T$3, 0)</f>
        <v>0</v>
      </c>
      <c r="U91">
        <f>IF(AND($N91-'Outil Cibles'!J$7&lt;=60,$N91-'Outil Cibles'!J$7&gt;=0), U$3, 0)</f>
        <v>0</v>
      </c>
      <c r="V91">
        <f>IF(AND($N91-'Outil Cibles'!K$7&lt;=60,$N91-'Outil Cibles'!K$7&gt;=0), V$3, 0)</f>
        <v>0</v>
      </c>
      <c r="W91">
        <f>IF(AND($N91-'Outil Cibles'!L$7&lt;=60,$N91-'Outil Cibles'!L$7&gt;=0), W$3, 0)</f>
        <v>0</v>
      </c>
      <c r="X91">
        <f>IF(AND($N91-'Outil Cibles'!M$7&lt;=60,$N91-'Outil Cibles'!M$7&gt;=0), X$3, 0)</f>
        <v>0</v>
      </c>
    </row>
    <row r="92" spans="1:25" x14ac:dyDescent="0.3">
      <c r="N92">
        <v>2026</v>
      </c>
      <c r="O92">
        <f>IF(AND($N92-'Outil Cibles'!D$7&lt;=60,$N92-'Outil Cibles'!D$7&gt;=0), O$3, 0)</f>
        <v>1043.1637008618798</v>
      </c>
      <c r="P92">
        <f>IF(AND($N92-'Outil Cibles'!E$7&lt;=60,$N92-'Outil Cibles'!E$7&gt;=0), P$3, 0)</f>
        <v>2770.0820951112937</v>
      </c>
      <c r="Q92">
        <f>IF(AND($N92-'Outil Cibles'!F$7&lt;=60,$N92-'Outil Cibles'!F$7&gt;=0), Q$3, 0)</f>
        <v>0</v>
      </c>
      <c r="R92">
        <f>IF(AND($N92-'Outil Cibles'!G$7&lt;=60,$N92-'Outil Cibles'!G$7&gt;=0), R$3, 0)</f>
        <v>0</v>
      </c>
      <c r="S92">
        <f>IF(AND($N92-'Outil Cibles'!H$7&lt;=60,$N92-'Outil Cibles'!H$7&gt;=0), S$3, 0)</f>
        <v>0</v>
      </c>
      <c r="T92">
        <f>IF(AND($N92-'Outil Cibles'!I$7&lt;=60,$N92-'Outil Cibles'!I$7&gt;=0), T$3, 0)</f>
        <v>0</v>
      </c>
      <c r="U92">
        <f>IF(AND($N92-'Outil Cibles'!J$7&lt;=60,$N92-'Outil Cibles'!J$7&gt;=0), U$3, 0)</f>
        <v>0</v>
      </c>
      <c r="V92">
        <f>IF(AND($N92-'Outil Cibles'!K$7&lt;=60,$N92-'Outil Cibles'!K$7&gt;=0), V$3, 0)</f>
        <v>0</v>
      </c>
      <c r="W92">
        <f>IF(AND($N92-'Outil Cibles'!L$7&lt;=60,$N92-'Outil Cibles'!L$7&gt;=0), W$3, 0)</f>
        <v>0</v>
      </c>
      <c r="X92">
        <f>IF(AND($N92-'Outil Cibles'!M$7&lt;=60,$N92-'Outil Cibles'!M$7&gt;=0), X$3, 0)</f>
        <v>0</v>
      </c>
    </row>
    <row r="93" spans="1:25" x14ac:dyDescent="0.3">
      <c r="N93">
        <v>2027</v>
      </c>
      <c r="O93">
        <f>IF(AND($N93-'Outil Cibles'!D$7&lt;=60,$N93-'Outil Cibles'!D$7&gt;=0), O$3, 0)</f>
        <v>1043.1637008618798</v>
      </c>
      <c r="P93">
        <f>IF(AND($N93-'Outil Cibles'!E$7&lt;=60,$N93-'Outil Cibles'!E$7&gt;=0), P$3, 0)</f>
        <v>2770.0820951112937</v>
      </c>
      <c r="Q93">
        <f>IF(AND($N93-'Outil Cibles'!F$7&lt;=60,$N93-'Outil Cibles'!F$7&gt;=0), Q$3, 0)</f>
        <v>0</v>
      </c>
      <c r="R93">
        <f>IF(AND($N93-'Outil Cibles'!G$7&lt;=60,$N93-'Outil Cibles'!G$7&gt;=0), R$3, 0)</f>
        <v>0</v>
      </c>
      <c r="S93">
        <f>IF(AND($N93-'Outil Cibles'!H$7&lt;=60,$N93-'Outil Cibles'!H$7&gt;=0), S$3, 0)</f>
        <v>0</v>
      </c>
      <c r="T93">
        <f>IF(AND($N93-'Outil Cibles'!I$7&lt;=60,$N93-'Outil Cibles'!I$7&gt;=0), T$3, 0)</f>
        <v>0</v>
      </c>
      <c r="U93">
        <f>IF(AND($N93-'Outil Cibles'!J$7&lt;=60,$N93-'Outil Cibles'!J$7&gt;=0), U$3, 0)</f>
        <v>0</v>
      </c>
      <c r="V93">
        <f>IF(AND($N93-'Outil Cibles'!K$7&lt;=60,$N93-'Outil Cibles'!K$7&gt;=0), V$3, 0)</f>
        <v>0</v>
      </c>
      <c r="W93">
        <f>IF(AND($N93-'Outil Cibles'!L$7&lt;=60,$N93-'Outil Cibles'!L$7&gt;=0), W$3, 0)</f>
        <v>0</v>
      </c>
      <c r="X93">
        <f>IF(AND($N93-'Outil Cibles'!M$7&lt;=60,$N93-'Outil Cibles'!M$7&gt;=0), X$3, 0)</f>
        <v>0</v>
      </c>
    </row>
    <row r="94" spans="1:25" x14ac:dyDescent="0.3">
      <c r="N94">
        <v>2028</v>
      </c>
      <c r="O94">
        <f>IF(AND($N94-'Outil Cibles'!D$7&lt;=60,$N94-'Outil Cibles'!D$7&gt;=0), O$3, 0)</f>
        <v>1043.1637008618798</v>
      </c>
      <c r="P94">
        <f>IF(AND($N94-'Outil Cibles'!E$7&lt;=60,$N94-'Outil Cibles'!E$7&gt;=0), P$3, 0)</f>
        <v>2770.0820951112937</v>
      </c>
      <c r="Q94">
        <f>IF(AND($N94-'Outil Cibles'!F$7&lt;=60,$N94-'Outil Cibles'!F$7&gt;=0), Q$3, 0)</f>
        <v>0</v>
      </c>
      <c r="R94">
        <f>IF(AND($N94-'Outil Cibles'!G$7&lt;=60,$N94-'Outil Cibles'!G$7&gt;=0), R$3, 0)</f>
        <v>0</v>
      </c>
      <c r="S94">
        <f>IF(AND($N94-'Outil Cibles'!H$7&lt;=60,$N94-'Outil Cibles'!H$7&gt;=0), S$3, 0)</f>
        <v>0</v>
      </c>
      <c r="T94">
        <f>IF(AND($N94-'Outil Cibles'!I$7&lt;=60,$N94-'Outil Cibles'!I$7&gt;=0), T$3, 0)</f>
        <v>0</v>
      </c>
      <c r="U94">
        <f>IF(AND($N94-'Outil Cibles'!J$7&lt;=60,$N94-'Outil Cibles'!J$7&gt;=0), U$3, 0)</f>
        <v>0</v>
      </c>
      <c r="V94">
        <f>IF(AND($N94-'Outil Cibles'!K$7&lt;=60,$N94-'Outil Cibles'!K$7&gt;=0), V$3, 0)</f>
        <v>0</v>
      </c>
      <c r="W94">
        <f>IF(AND($N94-'Outil Cibles'!L$7&lt;=60,$N94-'Outil Cibles'!L$7&gt;=0), W$3, 0)</f>
        <v>0</v>
      </c>
      <c r="X94">
        <f>IF(AND($N94-'Outil Cibles'!M$7&lt;=60,$N94-'Outil Cibles'!M$7&gt;=0), X$3, 0)</f>
        <v>0</v>
      </c>
    </row>
    <row r="95" spans="1:25" x14ac:dyDescent="0.3">
      <c r="N95">
        <v>2029</v>
      </c>
      <c r="O95">
        <f>IF(AND($N95-'Outil Cibles'!D$7&lt;=60,$N95-'Outil Cibles'!D$7&gt;=0), O$3, 0)</f>
        <v>1043.1637008618798</v>
      </c>
      <c r="P95">
        <f>IF(AND($N95-'Outil Cibles'!E$7&lt;=60,$N95-'Outil Cibles'!E$7&gt;=0), P$3, 0)</f>
        <v>2770.0820951112937</v>
      </c>
      <c r="Q95">
        <f>IF(AND($N95-'Outil Cibles'!F$7&lt;=60,$N95-'Outil Cibles'!F$7&gt;=0), Q$3, 0)</f>
        <v>0</v>
      </c>
      <c r="R95">
        <f>IF(AND($N95-'Outil Cibles'!G$7&lt;=60,$N95-'Outil Cibles'!G$7&gt;=0), R$3, 0)</f>
        <v>0</v>
      </c>
      <c r="S95">
        <f>IF(AND($N95-'Outil Cibles'!H$7&lt;=60,$N95-'Outil Cibles'!H$7&gt;=0), S$3, 0)</f>
        <v>0</v>
      </c>
      <c r="T95">
        <f>IF(AND($N95-'Outil Cibles'!I$7&lt;=60,$N95-'Outil Cibles'!I$7&gt;=0), T$3, 0)</f>
        <v>0</v>
      </c>
      <c r="U95">
        <f>IF(AND($N95-'Outil Cibles'!J$7&lt;=60,$N95-'Outil Cibles'!J$7&gt;=0), U$3, 0)</f>
        <v>0</v>
      </c>
      <c r="V95">
        <f>IF(AND($N95-'Outil Cibles'!K$7&lt;=60,$N95-'Outil Cibles'!K$7&gt;=0), V$3, 0)</f>
        <v>0</v>
      </c>
      <c r="W95">
        <f>IF(AND($N95-'Outil Cibles'!L$7&lt;=60,$N95-'Outil Cibles'!L$7&gt;=0), W$3, 0)</f>
        <v>0</v>
      </c>
      <c r="X95">
        <f>IF(AND($N95-'Outil Cibles'!M$7&lt;=60,$N95-'Outil Cibles'!M$7&gt;=0), X$3, 0)</f>
        <v>0</v>
      </c>
    </row>
    <row r="96" spans="1:25" x14ac:dyDescent="0.3">
      <c r="N96" s="10">
        <v>2030</v>
      </c>
      <c r="O96">
        <f>IF(AND($N96-'Outil Cibles'!D$7&lt;=60,$N96-'Outil Cibles'!D$7&gt;=0), O$3, 0)</f>
        <v>1043.1637008618798</v>
      </c>
      <c r="P96">
        <f>IF(AND($N96-'Outil Cibles'!E$7&lt;=60,$N96-'Outil Cibles'!E$7&gt;=0), P$3, 0)</f>
        <v>2770.0820951112937</v>
      </c>
      <c r="Q96">
        <f>IF(AND($N96-'Outil Cibles'!F$7&lt;=60,$N96-'Outil Cibles'!F$7&gt;=0), Q$3, 0)</f>
        <v>1909.1625886556317</v>
      </c>
      <c r="R96">
        <f>IF(AND($N96-'Outil Cibles'!G$7&lt;=60,$N96-'Outil Cibles'!G$7&gt;=0), R$3, 0)</f>
        <v>0</v>
      </c>
      <c r="S96">
        <f>IF(AND($N96-'Outil Cibles'!H$7&lt;=60,$N96-'Outil Cibles'!H$7&gt;=0), S$3, 0)</f>
        <v>0</v>
      </c>
      <c r="T96">
        <f>IF(AND($N96-'Outil Cibles'!I$7&lt;=60,$N96-'Outil Cibles'!I$7&gt;=0), T$3, 0)</f>
        <v>0</v>
      </c>
      <c r="U96">
        <f>IF(AND($N96-'Outil Cibles'!J$7&lt;=60,$N96-'Outil Cibles'!J$7&gt;=0), U$3, 0)</f>
        <v>0</v>
      </c>
      <c r="V96">
        <f>IF(AND($N96-'Outil Cibles'!K$7&lt;=60,$N96-'Outil Cibles'!K$7&gt;=0), V$3, 0)</f>
        <v>0</v>
      </c>
      <c r="W96">
        <f>IF(AND($N96-'Outil Cibles'!L$7&lt;=60,$N96-'Outil Cibles'!L$7&gt;=0), W$3, 0)</f>
        <v>0</v>
      </c>
      <c r="X96">
        <f>IF(AND($N96-'Outil Cibles'!M$7&lt;=60,$N96-'Outil Cibles'!M$7&gt;=0), X$3, 0)</f>
        <v>0</v>
      </c>
    </row>
    <row r="97" spans="14:24" x14ac:dyDescent="0.3">
      <c r="N97">
        <v>2031</v>
      </c>
      <c r="O97">
        <f>IF(AND($N97-'Outil Cibles'!D$7&lt;=60,$N97-'Outil Cibles'!D$7&gt;=0), O$3, 0)</f>
        <v>1043.1637008618798</v>
      </c>
      <c r="P97">
        <f>IF(AND($N97-'Outil Cibles'!E$7&lt;=60,$N97-'Outil Cibles'!E$7&gt;=0), P$3, 0)</f>
        <v>2770.0820951112937</v>
      </c>
      <c r="Q97">
        <f>IF(AND($N97-'Outil Cibles'!F$7&lt;=60,$N97-'Outil Cibles'!F$7&gt;=0), Q$3, 0)</f>
        <v>1909.1625886556317</v>
      </c>
      <c r="R97">
        <f>IF(AND($N97-'Outil Cibles'!G$7&lt;=60,$N97-'Outil Cibles'!G$7&gt;=0), R$3, 0)</f>
        <v>0</v>
      </c>
      <c r="S97">
        <f>IF(AND($N97-'Outil Cibles'!H$7&lt;=60,$N97-'Outil Cibles'!H$7&gt;=0), S$3, 0)</f>
        <v>0</v>
      </c>
      <c r="T97">
        <f>IF(AND($N97-'Outil Cibles'!I$7&lt;=60,$N97-'Outil Cibles'!I$7&gt;=0), T$3, 0)</f>
        <v>0</v>
      </c>
      <c r="U97">
        <f>IF(AND($N97-'Outil Cibles'!J$7&lt;=60,$N97-'Outil Cibles'!J$7&gt;=0), U$3, 0)</f>
        <v>0</v>
      </c>
      <c r="V97">
        <f>IF(AND($N97-'Outil Cibles'!K$7&lt;=60,$N97-'Outil Cibles'!K$7&gt;=0), V$3, 0)</f>
        <v>0</v>
      </c>
      <c r="W97">
        <f>IF(AND($N97-'Outil Cibles'!L$7&lt;=60,$N97-'Outil Cibles'!L$7&gt;=0), W$3, 0)</f>
        <v>0</v>
      </c>
      <c r="X97">
        <f>IF(AND($N97-'Outil Cibles'!M$7&lt;=60,$N97-'Outil Cibles'!M$7&gt;=0), X$3, 0)</f>
        <v>0</v>
      </c>
    </row>
    <row r="98" spans="14:24" x14ac:dyDescent="0.3">
      <c r="N98">
        <v>2032</v>
      </c>
      <c r="O98">
        <f>IF(AND($N98-'Outil Cibles'!D$7&lt;=60,$N98-'Outil Cibles'!D$7&gt;=0), O$3, 0)</f>
        <v>1043.1637008618798</v>
      </c>
      <c r="P98">
        <f>IF(AND($N98-'Outil Cibles'!E$7&lt;=60,$N98-'Outil Cibles'!E$7&gt;=0), P$3, 0)</f>
        <v>2770.0820951112937</v>
      </c>
      <c r="Q98">
        <f>IF(AND($N98-'Outil Cibles'!F$7&lt;=60,$N98-'Outil Cibles'!F$7&gt;=0), Q$3, 0)</f>
        <v>1909.1625886556317</v>
      </c>
      <c r="R98">
        <f>IF(AND($N98-'Outil Cibles'!G$7&lt;=60,$N98-'Outil Cibles'!G$7&gt;=0), R$3, 0)</f>
        <v>0</v>
      </c>
      <c r="S98">
        <f>IF(AND($N98-'Outil Cibles'!H$7&lt;=60,$N98-'Outil Cibles'!H$7&gt;=0), S$3, 0)</f>
        <v>0</v>
      </c>
      <c r="T98">
        <f>IF(AND($N98-'Outil Cibles'!I$7&lt;=60,$N98-'Outil Cibles'!I$7&gt;=0), T$3, 0)</f>
        <v>0</v>
      </c>
      <c r="U98">
        <f>IF(AND($N98-'Outil Cibles'!J$7&lt;=60,$N98-'Outil Cibles'!J$7&gt;=0), U$3, 0)</f>
        <v>0</v>
      </c>
      <c r="V98">
        <f>IF(AND($N98-'Outil Cibles'!K$7&lt;=60,$N98-'Outil Cibles'!K$7&gt;=0), V$3, 0)</f>
        <v>0</v>
      </c>
      <c r="W98">
        <f>IF(AND($N98-'Outil Cibles'!L$7&lt;=60,$N98-'Outil Cibles'!L$7&gt;=0), W$3, 0)</f>
        <v>0</v>
      </c>
      <c r="X98">
        <f>IF(AND($N98-'Outil Cibles'!M$7&lt;=60,$N98-'Outil Cibles'!M$7&gt;=0), X$3, 0)</f>
        <v>0</v>
      </c>
    </row>
    <row r="99" spans="14:24" x14ac:dyDescent="0.3">
      <c r="N99">
        <v>2033</v>
      </c>
      <c r="O99">
        <f>IF(AND($N99-'Outil Cibles'!D$7&lt;=60,$N99-'Outil Cibles'!D$7&gt;=0), O$3, 0)</f>
        <v>1043.1637008618798</v>
      </c>
      <c r="P99">
        <f>IF(AND($N99-'Outil Cibles'!E$7&lt;=60,$N99-'Outil Cibles'!E$7&gt;=0), P$3, 0)</f>
        <v>2770.0820951112937</v>
      </c>
      <c r="Q99">
        <f>IF(AND($N99-'Outil Cibles'!F$7&lt;=60,$N99-'Outil Cibles'!F$7&gt;=0), Q$3, 0)</f>
        <v>1909.1625886556317</v>
      </c>
      <c r="R99">
        <f>IF(AND($N99-'Outil Cibles'!G$7&lt;=60,$N99-'Outil Cibles'!G$7&gt;=0), R$3, 0)</f>
        <v>0</v>
      </c>
      <c r="S99">
        <f>IF(AND($N99-'Outil Cibles'!H$7&lt;=60,$N99-'Outil Cibles'!H$7&gt;=0), S$3, 0)</f>
        <v>0</v>
      </c>
      <c r="T99">
        <f>IF(AND($N99-'Outil Cibles'!I$7&lt;=60,$N99-'Outil Cibles'!I$7&gt;=0), T$3, 0)</f>
        <v>0</v>
      </c>
      <c r="U99">
        <f>IF(AND($N99-'Outil Cibles'!J$7&lt;=60,$N99-'Outil Cibles'!J$7&gt;=0), U$3, 0)</f>
        <v>0</v>
      </c>
      <c r="V99">
        <f>IF(AND($N99-'Outil Cibles'!K$7&lt;=60,$N99-'Outil Cibles'!K$7&gt;=0), V$3, 0)</f>
        <v>0</v>
      </c>
      <c r="W99">
        <f>IF(AND($N99-'Outil Cibles'!L$7&lt;=60,$N99-'Outil Cibles'!L$7&gt;=0), W$3, 0)</f>
        <v>0</v>
      </c>
      <c r="X99">
        <f>IF(AND($N99-'Outil Cibles'!M$7&lt;=60,$N99-'Outil Cibles'!M$7&gt;=0), X$3, 0)</f>
        <v>0</v>
      </c>
    </row>
    <row r="100" spans="14:24" x14ac:dyDescent="0.3">
      <c r="N100">
        <v>2034</v>
      </c>
      <c r="O100">
        <f>IF(AND($N100-'Outil Cibles'!D$7&lt;=60,$N100-'Outil Cibles'!D$7&gt;=0), O$3, 0)</f>
        <v>1043.1637008618798</v>
      </c>
      <c r="P100">
        <f>IF(AND($N100-'Outil Cibles'!E$7&lt;=60,$N100-'Outil Cibles'!E$7&gt;=0), P$3, 0)</f>
        <v>2770.0820951112937</v>
      </c>
      <c r="Q100">
        <f>IF(AND($N100-'Outil Cibles'!F$7&lt;=60,$N100-'Outil Cibles'!F$7&gt;=0), Q$3, 0)</f>
        <v>1909.1625886556317</v>
      </c>
      <c r="R100">
        <f>IF(AND($N100-'Outil Cibles'!G$7&lt;=60,$N100-'Outil Cibles'!G$7&gt;=0), R$3, 0)</f>
        <v>0</v>
      </c>
      <c r="S100">
        <f>IF(AND($N100-'Outil Cibles'!H$7&lt;=60,$N100-'Outil Cibles'!H$7&gt;=0), S$3, 0)</f>
        <v>0</v>
      </c>
      <c r="T100">
        <f>IF(AND($N100-'Outil Cibles'!I$7&lt;=60,$N100-'Outil Cibles'!I$7&gt;=0), T$3, 0)</f>
        <v>0</v>
      </c>
      <c r="U100">
        <f>IF(AND($N100-'Outil Cibles'!J$7&lt;=60,$N100-'Outil Cibles'!J$7&gt;=0), U$3, 0)</f>
        <v>0</v>
      </c>
      <c r="V100">
        <f>IF(AND($N100-'Outil Cibles'!K$7&lt;=60,$N100-'Outil Cibles'!K$7&gt;=0), V$3, 0)</f>
        <v>0</v>
      </c>
      <c r="W100">
        <f>IF(AND($N100-'Outil Cibles'!L$7&lt;=60,$N100-'Outil Cibles'!L$7&gt;=0), W$3, 0)</f>
        <v>0</v>
      </c>
      <c r="X100">
        <f>IF(AND($N100-'Outil Cibles'!M$7&lt;=60,$N100-'Outil Cibles'!M$7&gt;=0), X$3, 0)</f>
        <v>0</v>
      </c>
    </row>
    <row r="101" spans="14:24" x14ac:dyDescent="0.3">
      <c r="N101" s="10">
        <v>2035</v>
      </c>
      <c r="O101">
        <f>IF(AND($N101-'Outil Cibles'!D$7&lt;=60,$N101-'Outil Cibles'!D$7&gt;=0), O$3, 0)</f>
        <v>1043.1637008618798</v>
      </c>
      <c r="P101">
        <f>IF(AND($N101-'Outil Cibles'!E$7&lt;=60,$N101-'Outil Cibles'!E$7&gt;=0), P$3, 0)</f>
        <v>2770.0820951112937</v>
      </c>
      <c r="Q101">
        <f>IF(AND($N101-'Outil Cibles'!F$7&lt;=60,$N101-'Outil Cibles'!F$7&gt;=0), Q$3, 0)</f>
        <v>1909.1625886556317</v>
      </c>
      <c r="R101">
        <f>IF(AND($N101-'Outil Cibles'!G$7&lt;=60,$N101-'Outil Cibles'!G$7&gt;=0), R$3, 0)</f>
        <v>1257.004461978674</v>
      </c>
      <c r="S101">
        <f>IF(AND($N101-'Outil Cibles'!H$7&lt;=60,$N101-'Outil Cibles'!H$7&gt;=0), S$3, 0)</f>
        <v>0</v>
      </c>
      <c r="T101">
        <f>IF(AND($N101-'Outil Cibles'!I$7&lt;=60,$N101-'Outil Cibles'!I$7&gt;=0), T$3, 0)</f>
        <v>0</v>
      </c>
      <c r="U101">
        <f>IF(AND($N101-'Outil Cibles'!J$7&lt;=60,$N101-'Outil Cibles'!J$7&gt;=0), U$3, 0)</f>
        <v>0</v>
      </c>
      <c r="V101">
        <f>IF(AND($N101-'Outil Cibles'!K$7&lt;=60,$N101-'Outil Cibles'!K$7&gt;=0), V$3, 0)</f>
        <v>0</v>
      </c>
      <c r="W101">
        <f>IF(AND($N101-'Outil Cibles'!L$7&lt;=60,$N101-'Outil Cibles'!L$7&gt;=0), W$3, 0)</f>
        <v>0</v>
      </c>
      <c r="X101">
        <f>IF(AND($N101-'Outil Cibles'!M$7&lt;=60,$N101-'Outil Cibles'!M$7&gt;=0), X$3, 0)</f>
        <v>0</v>
      </c>
    </row>
    <row r="102" spans="14:24" x14ac:dyDescent="0.3">
      <c r="N102">
        <v>2036</v>
      </c>
      <c r="O102">
        <f>IF(AND($N102-'Outil Cibles'!D$7&lt;=60,$N102-'Outil Cibles'!D$7&gt;=0), O$3, 0)</f>
        <v>1043.1637008618798</v>
      </c>
      <c r="P102">
        <f>IF(AND($N102-'Outil Cibles'!E$7&lt;=60,$N102-'Outil Cibles'!E$7&gt;=0), P$3, 0)</f>
        <v>2770.0820951112937</v>
      </c>
      <c r="Q102">
        <f>IF(AND($N102-'Outil Cibles'!F$7&lt;=60,$N102-'Outil Cibles'!F$7&gt;=0), Q$3, 0)</f>
        <v>1909.1625886556317</v>
      </c>
      <c r="R102">
        <f>IF(AND($N102-'Outil Cibles'!G$7&lt;=60,$N102-'Outil Cibles'!G$7&gt;=0), R$3, 0)</f>
        <v>1257.004461978674</v>
      </c>
      <c r="S102">
        <f>IF(AND($N102-'Outil Cibles'!H$7&lt;=60,$N102-'Outil Cibles'!H$7&gt;=0), S$3, 0)</f>
        <v>0</v>
      </c>
      <c r="T102">
        <f>IF(AND($N102-'Outil Cibles'!I$7&lt;=60,$N102-'Outil Cibles'!I$7&gt;=0), T$3, 0)</f>
        <v>0</v>
      </c>
      <c r="U102">
        <f>IF(AND($N102-'Outil Cibles'!J$7&lt;=60,$N102-'Outil Cibles'!J$7&gt;=0), U$3, 0)</f>
        <v>0</v>
      </c>
      <c r="V102">
        <f>IF(AND($N102-'Outil Cibles'!K$7&lt;=60,$N102-'Outil Cibles'!K$7&gt;=0), V$3, 0)</f>
        <v>0</v>
      </c>
      <c r="W102">
        <f>IF(AND($N102-'Outil Cibles'!L$7&lt;=60,$N102-'Outil Cibles'!L$7&gt;=0), W$3, 0)</f>
        <v>0</v>
      </c>
      <c r="X102">
        <f>IF(AND($N102-'Outil Cibles'!M$7&lt;=60,$N102-'Outil Cibles'!M$7&gt;=0), X$3, 0)</f>
        <v>0</v>
      </c>
    </row>
    <row r="103" spans="14:24" x14ac:dyDescent="0.3">
      <c r="N103">
        <v>2037</v>
      </c>
      <c r="O103">
        <f>IF(AND($N103-'Outil Cibles'!D$7&lt;=60,$N103-'Outil Cibles'!D$7&gt;=0), O$3, 0)</f>
        <v>1043.1637008618798</v>
      </c>
      <c r="P103">
        <f>IF(AND($N103-'Outil Cibles'!E$7&lt;=60,$N103-'Outil Cibles'!E$7&gt;=0), P$3, 0)</f>
        <v>2770.0820951112937</v>
      </c>
      <c r="Q103">
        <f>IF(AND($N103-'Outil Cibles'!F$7&lt;=60,$N103-'Outil Cibles'!F$7&gt;=0), Q$3, 0)</f>
        <v>1909.1625886556317</v>
      </c>
      <c r="R103">
        <f>IF(AND($N103-'Outil Cibles'!G$7&lt;=60,$N103-'Outil Cibles'!G$7&gt;=0), R$3, 0)</f>
        <v>1257.004461978674</v>
      </c>
      <c r="S103">
        <f>IF(AND($N103-'Outil Cibles'!H$7&lt;=60,$N103-'Outil Cibles'!H$7&gt;=0), S$3, 0)</f>
        <v>0</v>
      </c>
      <c r="T103">
        <f>IF(AND($N103-'Outil Cibles'!I$7&lt;=60,$N103-'Outil Cibles'!I$7&gt;=0), T$3, 0)</f>
        <v>0</v>
      </c>
      <c r="U103">
        <f>IF(AND($N103-'Outil Cibles'!J$7&lt;=60,$N103-'Outil Cibles'!J$7&gt;=0), U$3, 0)</f>
        <v>0</v>
      </c>
      <c r="V103">
        <f>IF(AND($N103-'Outil Cibles'!K$7&lt;=60,$N103-'Outil Cibles'!K$7&gt;=0), V$3, 0)</f>
        <v>0</v>
      </c>
      <c r="W103">
        <f>IF(AND($N103-'Outil Cibles'!L$7&lt;=60,$N103-'Outil Cibles'!L$7&gt;=0), W$3, 0)</f>
        <v>0</v>
      </c>
      <c r="X103">
        <f>IF(AND($N103-'Outil Cibles'!M$7&lt;=60,$N103-'Outil Cibles'!M$7&gt;=0), X$3, 0)</f>
        <v>0</v>
      </c>
    </row>
    <row r="104" spans="14:24" x14ac:dyDescent="0.3">
      <c r="N104">
        <v>2038</v>
      </c>
      <c r="O104">
        <f>IF(AND($N104-'Outil Cibles'!D$7&lt;=60,$N104-'Outil Cibles'!D$7&gt;=0), O$3, 0)</f>
        <v>1043.1637008618798</v>
      </c>
      <c r="P104">
        <f>IF(AND($N104-'Outil Cibles'!E$7&lt;=60,$N104-'Outil Cibles'!E$7&gt;=0), P$3, 0)</f>
        <v>2770.0820951112937</v>
      </c>
      <c r="Q104">
        <f>IF(AND($N104-'Outil Cibles'!F$7&lt;=60,$N104-'Outil Cibles'!F$7&gt;=0), Q$3, 0)</f>
        <v>1909.1625886556317</v>
      </c>
      <c r="R104">
        <f>IF(AND($N104-'Outil Cibles'!G$7&lt;=60,$N104-'Outil Cibles'!G$7&gt;=0), R$3, 0)</f>
        <v>1257.004461978674</v>
      </c>
      <c r="S104">
        <f>IF(AND($N104-'Outil Cibles'!H$7&lt;=60,$N104-'Outil Cibles'!H$7&gt;=0), S$3, 0)</f>
        <v>986.56148916388076</v>
      </c>
      <c r="T104">
        <f>IF(AND($N104-'Outil Cibles'!I$7&lt;=60,$N104-'Outil Cibles'!I$7&gt;=0), T$3, 0)</f>
        <v>0</v>
      </c>
      <c r="U104">
        <f>IF(AND($N104-'Outil Cibles'!J$7&lt;=60,$N104-'Outil Cibles'!J$7&gt;=0), U$3, 0)</f>
        <v>0</v>
      </c>
      <c r="V104">
        <f>IF(AND($N104-'Outil Cibles'!K$7&lt;=60,$N104-'Outil Cibles'!K$7&gt;=0), V$3, 0)</f>
        <v>0</v>
      </c>
      <c r="W104">
        <f>IF(AND($N104-'Outil Cibles'!L$7&lt;=60,$N104-'Outil Cibles'!L$7&gt;=0), W$3, 0)</f>
        <v>0</v>
      </c>
      <c r="X104">
        <f>IF(AND($N104-'Outil Cibles'!M$7&lt;=60,$N104-'Outil Cibles'!M$7&gt;=0), X$3, 0)</f>
        <v>0</v>
      </c>
    </row>
    <row r="105" spans="14:24" x14ac:dyDescent="0.3">
      <c r="N105">
        <v>2039</v>
      </c>
      <c r="O105">
        <f>IF(AND($N105-'Outil Cibles'!D$7&lt;=60,$N105-'Outil Cibles'!D$7&gt;=0), O$3, 0)</f>
        <v>1043.1637008618798</v>
      </c>
      <c r="P105">
        <f>IF(AND($N105-'Outil Cibles'!E$7&lt;=60,$N105-'Outil Cibles'!E$7&gt;=0), P$3, 0)</f>
        <v>2770.0820951112937</v>
      </c>
      <c r="Q105">
        <f>IF(AND($N105-'Outil Cibles'!F$7&lt;=60,$N105-'Outil Cibles'!F$7&gt;=0), Q$3, 0)</f>
        <v>1909.1625886556317</v>
      </c>
      <c r="R105">
        <f>IF(AND($N105-'Outil Cibles'!G$7&lt;=60,$N105-'Outil Cibles'!G$7&gt;=0), R$3, 0)</f>
        <v>1257.004461978674</v>
      </c>
      <c r="S105">
        <f>IF(AND($N105-'Outil Cibles'!H$7&lt;=60,$N105-'Outil Cibles'!H$7&gt;=0), S$3, 0)</f>
        <v>986.56148916388076</v>
      </c>
      <c r="T105">
        <f>IF(AND($N105-'Outil Cibles'!I$7&lt;=60,$N105-'Outil Cibles'!I$7&gt;=0), T$3, 0)</f>
        <v>0</v>
      </c>
      <c r="U105">
        <f>IF(AND($N105-'Outil Cibles'!J$7&lt;=60,$N105-'Outil Cibles'!J$7&gt;=0), U$3, 0)</f>
        <v>0</v>
      </c>
      <c r="V105">
        <f>IF(AND($N105-'Outil Cibles'!K$7&lt;=60,$N105-'Outil Cibles'!K$7&gt;=0), V$3, 0)</f>
        <v>0</v>
      </c>
      <c r="W105">
        <f>IF(AND($N105-'Outil Cibles'!L$7&lt;=60,$N105-'Outil Cibles'!L$7&gt;=0), W$3, 0)</f>
        <v>0</v>
      </c>
      <c r="X105">
        <f>IF(AND($N105-'Outil Cibles'!M$7&lt;=60,$N105-'Outil Cibles'!M$7&gt;=0), X$3, 0)</f>
        <v>0</v>
      </c>
    </row>
    <row r="106" spans="14:24" x14ac:dyDescent="0.3">
      <c r="N106" s="10">
        <v>2040</v>
      </c>
      <c r="O106">
        <f>IF(AND($N106-'Outil Cibles'!D$7&lt;=60,$N106-'Outil Cibles'!D$7&gt;=0), O$3, 0)</f>
        <v>1043.1637008618798</v>
      </c>
      <c r="P106">
        <f>IF(AND($N106-'Outil Cibles'!E$7&lt;=60,$N106-'Outil Cibles'!E$7&gt;=0), P$3, 0)</f>
        <v>2770.0820951112937</v>
      </c>
      <c r="Q106">
        <f>IF(AND($N106-'Outil Cibles'!F$7&lt;=60,$N106-'Outil Cibles'!F$7&gt;=0), Q$3, 0)</f>
        <v>1909.1625886556317</v>
      </c>
      <c r="R106">
        <f>IF(AND($N106-'Outil Cibles'!G$7&lt;=60,$N106-'Outil Cibles'!G$7&gt;=0), R$3, 0)</f>
        <v>1257.004461978674</v>
      </c>
      <c r="S106">
        <f>IF(AND($N106-'Outil Cibles'!H$7&lt;=60,$N106-'Outil Cibles'!H$7&gt;=0), S$3, 0)</f>
        <v>986.56148916388076</v>
      </c>
      <c r="T106">
        <f>IF(AND($N106-'Outil Cibles'!I$7&lt;=60,$N106-'Outil Cibles'!I$7&gt;=0), T$3, 0)</f>
        <v>830.62515767806633</v>
      </c>
      <c r="U106">
        <f>IF(AND($N106-'Outil Cibles'!J$7&lt;=60,$N106-'Outil Cibles'!J$7&gt;=0), U$3, 0)</f>
        <v>0</v>
      </c>
      <c r="V106">
        <f>IF(AND($N106-'Outil Cibles'!K$7&lt;=60,$N106-'Outil Cibles'!K$7&gt;=0), V$3, 0)</f>
        <v>0</v>
      </c>
      <c r="W106">
        <f>IF(AND($N106-'Outil Cibles'!L$7&lt;=60,$N106-'Outil Cibles'!L$7&gt;=0), W$3, 0)</f>
        <v>0</v>
      </c>
      <c r="X106">
        <f>IF(AND($N106-'Outil Cibles'!M$7&lt;=60,$N106-'Outil Cibles'!M$7&gt;=0), X$3, 0)</f>
        <v>0</v>
      </c>
    </row>
    <row r="107" spans="14:24" x14ac:dyDescent="0.3">
      <c r="N107">
        <v>2041</v>
      </c>
      <c r="O107">
        <f>IF(AND($N107-'Outil Cibles'!D$7&lt;=60,$N107-'Outil Cibles'!D$7&gt;=0), O$3, 0)</f>
        <v>1043.1637008618798</v>
      </c>
      <c r="P107">
        <f>IF(AND($N107-'Outil Cibles'!E$7&lt;=60,$N107-'Outil Cibles'!E$7&gt;=0), P$3, 0)</f>
        <v>2770.0820951112937</v>
      </c>
      <c r="Q107">
        <f>IF(AND($N107-'Outil Cibles'!F$7&lt;=60,$N107-'Outil Cibles'!F$7&gt;=0), Q$3, 0)</f>
        <v>1909.1625886556317</v>
      </c>
      <c r="R107">
        <f>IF(AND($N107-'Outil Cibles'!G$7&lt;=60,$N107-'Outil Cibles'!G$7&gt;=0), R$3, 0)</f>
        <v>1257.004461978674</v>
      </c>
      <c r="S107">
        <f>IF(AND($N107-'Outil Cibles'!H$7&lt;=60,$N107-'Outil Cibles'!H$7&gt;=0), S$3, 0)</f>
        <v>986.56148916388076</v>
      </c>
      <c r="T107">
        <f>IF(AND($N107-'Outil Cibles'!I$7&lt;=60,$N107-'Outil Cibles'!I$7&gt;=0), T$3, 0)</f>
        <v>830.62515767806633</v>
      </c>
      <c r="U107">
        <f>IF(AND($N107-'Outil Cibles'!J$7&lt;=60,$N107-'Outil Cibles'!J$7&gt;=0), U$3, 0)</f>
        <v>0</v>
      </c>
      <c r="V107">
        <f>IF(AND($N107-'Outil Cibles'!K$7&lt;=60,$N107-'Outil Cibles'!K$7&gt;=0), V$3, 0)</f>
        <v>0</v>
      </c>
      <c r="W107">
        <f>IF(AND($N107-'Outil Cibles'!L$7&lt;=60,$N107-'Outil Cibles'!L$7&gt;=0), W$3, 0)</f>
        <v>0</v>
      </c>
      <c r="X107">
        <f>IF(AND($N107-'Outil Cibles'!M$7&lt;=60,$N107-'Outil Cibles'!M$7&gt;=0), X$3, 0)</f>
        <v>0</v>
      </c>
    </row>
    <row r="108" spans="14:24" x14ac:dyDescent="0.3">
      <c r="N108">
        <v>2042</v>
      </c>
      <c r="O108">
        <f>IF(AND($N108-'Outil Cibles'!D$7&lt;=60,$N108-'Outil Cibles'!D$7&gt;=0), O$3, 0)</f>
        <v>1043.1637008618798</v>
      </c>
      <c r="P108">
        <f>IF(AND($N108-'Outil Cibles'!E$7&lt;=60,$N108-'Outil Cibles'!E$7&gt;=0), P$3, 0)</f>
        <v>2770.0820951112937</v>
      </c>
      <c r="Q108">
        <f>IF(AND($N108-'Outil Cibles'!F$7&lt;=60,$N108-'Outil Cibles'!F$7&gt;=0), Q$3, 0)</f>
        <v>1909.1625886556317</v>
      </c>
      <c r="R108">
        <f>IF(AND($N108-'Outil Cibles'!G$7&lt;=60,$N108-'Outil Cibles'!G$7&gt;=0), R$3, 0)</f>
        <v>1257.004461978674</v>
      </c>
      <c r="S108">
        <f>IF(AND($N108-'Outil Cibles'!H$7&lt;=60,$N108-'Outil Cibles'!H$7&gt;=0), S$3, 0)</f>
        <v>986.56148916388076</v>
      </c>
      <c r="T108">
        <f>IF(AND($N108-'Outil Cibles'!I$7&lt;=60,$N108-'Outil Cibles'!I$7&gt;=0), T$3, 0)</f>
        <v>830.62515767806633</v>
      </c>
      <c r="U108">
        <f>IF(AND($N108-'Outil Cibles'!J$7&lt;=60,$N108-'Outil Cibles'!J$7&gt;=0), U$3, 0)</f>
        <v>680.92130837794082</v>
      </c>
      <c r="V108">
        <f>IF(AND($N108-'Outil Cibles'!K$7&lt;=60,$N108-'Outil Cibles'!K$7&gt;=0), V$3, 0)</f>
        <v>0</v>
      </c>
      <c r="W108">
        <f>IF(AND($N108-'Outil Cibles'!L$7&lt;=60,$N108-'Outil Cibles'!L$7&gt;=0), W$3, 0)</f>
        <v>0</v>
      </c>
      <c r="X108">
        <f>IF(AND($N108-'Outil Cibles'!M$7&lt;=60,$N108-'Outil Cibles'!M$7&gt;=0), X$3, 0)</f>
        <v>0</v>
      </c>
    </row>
    <row r="109" spans="14:24" x14ac:dyDescent="0.3">
      <c r="N109">
        <v>2043</v>
      </c>
      <c r="O109">
        <f>IF(AND($N109-'Outil Cibles'!D$7&lt;=60,$N109-'Outil Cibles'!D$7&gt;=0), O$3, 0)</f>
        <v>1043.1637008618798</v>
      </c>
      <c r="P109">
        <f>IF(AND($N109-'Outil Cibles'!E$7&lt;=60,$N109-'Outil Cibles'!E$7&gt;=0), P$3, 0)</f>
        <v>2770.0820951112937</v>
      </c>
      <c r="Q109">
        <f>IF(AND($N109-'Outil Cibles'!F$7&lt;=60,$N109-'Outil Cibles'!F$7&gt;=0), Q$3, 0)</f>
        <v>1909.1625886556317</v>
      </c>
      <c r="R109">
        <f>IF(AND($N109-'Outil Cibles'!G$7&lt;=60,$N109-'Outil Cibles'!G$7&gt;=0), R$3, 0)</f>
        <v>1257.004461978674</v>
      </c>
      <c r="S109">
        <f>IF(AND($N109-'Outil Cibles'!H$7&lt;=60,$N109-'Outil Cibles'!H$7&gt;=0), S$3, 0)</f>
        <v>986.56148916388076</v>
      </c>
      <c r="T109">
        <f>IF(AND($N109-'Outil Cibles'!I$7&lt;=60,$N109-'Outil Cibles'!I$7&gt;=0), T$3, 0)</f>
        <v>830.62515767806633</v>
      </c>
      <c r="U109">
        <f>IF(AND($N109-'Outil Cibles'!J$7&lt;=60,$N109-'Outil Cibles'!J$7&gt;=0), U$3, 0)</f>
        <v>680.92130837794082</v>
      </c>
      <c r="V109">
        <f>IF(AND($N109-'Outil Cibles'!K$7&lt;=60,$N109-'Outil Cibles'!K$7&gt;=0), V$3, 0)</f>
        <v>0</v>
      </c>
      <c r="W109">
        <f>IF(AND($N109-'Outil Cibles'!L$7&lt;=60,$N109-'Outil Cibles'!L$7&gt;=0), W$3, 0)</f>
        <v>0</v>
      </c>
      <c r="X109">
        <f>IF(AND($N109-'Outil Cibles'!M$7&lt;=60,$N109-'Outil Cibles'!M$7&gt;=0), X$3, 0)</f>
        <v>0</v>
      </c>
    </row>
    <row r="110" spans="14:24" x14ac:dyDescent="0.3">
      <c r="N110">
        <v>2044</v>
      </c>
      <c r="O110">
        <f>IF(AND($N110-'Outil Cibles'!D$7&lt;=60,$N110-'Outil Cibles'!D$7&gt;=0), O$3, 0)</f>
        <v>1043.1637008618798</v>
      </c>
      <c r="P110">
        <f>IF(AND($N110-'Outil Cibles'!E$7&lt;=60,$N110-'Outil Cibles'!E$7&gt;=0), P$3, 0)</f>
        <v>2770.0820951112937</v>
      </c>
      <c r="Q110">
        <f>IF(AND($N110-'Outil Cibles'!F$7&lt;=60,$N110-'Outil Cibles'!F$7&gt;=0), Q$3, 0)</f>
        <v>1909.1625886556317</v>
      </c>
      <c r="R110">
        <f>IF(AND($N110-'Outil Cibles'!G$7&lt;=60,$N110-'Outil Cibles'!G$7&gt;=0), R$3, 0)</f>
        <v>1257.004461978674</v>
      </c>
      <c r="S110">
        <f>IF(AND($N110-'Outil Cibles'!H$7&lt;=60,$N110-'Outil Cibles'!H$7&gt;=0), S$3, 0)</f>
        <v>986.56148916388076</v>
      </c>
      <c r="T110">
        <f>IF(AND($N110-'Outil Cibles'!I$7&lt;=60,$N110-'Outil Cibles'!I$7&gt;=0), T$3, 0)</f>
        <v>830.62515767806633</v>
      </c>
      <c r="U110">
        <f>IF(AND($N110-'Outil Cibles'!J$7&lt;=60,$N110-'Outil Cibles'!J$7&gt;=0), U$3, 0)</f>
        <v>680.92130837794082</v>
      </c>
      <c r="V110">
        <f>IF(AND($N110-'Outil Cibles'!K$7&lt;=60,$N110-'Outil Cibles'!K$7&gt;=0), V$3, 0)</f>
        <v>520.02611366210544</v>
      </c>
      <c r="W110">
        <f>IF(AND($N110-'Outil Cibles'!L$7&lt;=60,$N110-'Outil Cibles'!L$7&gt;=0), W$3, 0)</f>
        <v>0</v>
      </c>
      <c r="X110">
        <f>IF(AND($N110-'Outil Cibles'!M$7&lt;=60,$N110-'Outil Cibles'!M$7&gt;=0), X$3, 0)</f>
        <v>0</v>
      </c>
    </row>
    <row r="111" spans="14:24" x14ac:dyDescent="0.3">
      <c r="N111" s="10">
        <v>2045</v>
      </c>
      <c r="O111">
        <f>IF(AND($N111-'Outil Cibles'!D$7&lt;=60,$N111-'Outil Cibles'!D$7&gt;=0), O$3, 0)</f>
        <v>1043.1637008618798</v>
      </c>
      <c r="P111">
        <f>IF(AND($N111-'Outil Cibles'!E$7&lt;=60,$N111-'Outil Cibles'!E$7&gt;=0), P$3, 0)</f>
        <v>2770.0820951112937</v>
      </c>
      <c r="Q111">
        <f>IF(AND($N111-'Outil Cibles'!F$7&lt;=60,$N111-'Outil Cibles'!F$7&gt;=0), Q$3, 0)</f>
        <v>1909.1625886556317</v>
      </c>
      <c r="R111">
        <f>IF(AND($N111-'Outil Cibles'!G$7&lt;=60,$N111-'Outil Cibles'!G$7&gt;=0), R$3, 0)</f>
        <v>1257.004461978674</v>
      </c>
      <c r="S111">
        <f>IF(AND($N111-'Outil Cibles'!H$7&lt;=60,$N111-'Outil Cibles'!H$7&gt;=0), S$3, 0)</f>
        <v>986.56148916388076</v>
      </c>
      <c r="T111">
        <f>IF(AND($N111-'Outil Cibles'!I$7&lt;=60,$N111-'Outil Cibles'!I$7&gt;=0), T$3, 0)</f>
        <v>830.62515767806633</v>
      </c>
      <c r="U111">
        <f>IF(AND($N111-'Outil Cibles'!J$7&lt;=60,$N111-'Outil Cibles'!J$7&gt;=0), U$3, 0)</f>
        <v>680.92130837794082</v>
      </c>
      <c r="V111">
        <f>IF(AND($N111-'Outil Cibles'!K$7&lt;=60,$N111-'Outil Cibles'!K$7&gt;=0), V$3, 0)</f>
        <v>520.02611366210544</v>
      </c>
      <c r="W111">
        <f>IF(AND($N111-'Outil Cibles'!L$7&lt;=60,$N111-'Outil Cibles'!L$7&gt;=0), W$3, 0)</f>
        <v>0</v>
      </c>
      <c r="X111">
        <f>IF(AND($N111-'Outil Cibles'!M$7&lt;=60,$N111-'Outil Cibles'!M$7&gt;=0), X$3, 0)</f>
        <v>0</v>
      </c>
    </row>
    <row r="112" spans="14:24" x14ac:dyDescent="0.3">
      <c r="N112">
        <v>2046</v>
      </c>
      <c r="O112">
        <f>IF(AND($N112-'Outil Cibles'!D$7&lt;=60,$N112-'Outil Cibles'!D$7&gt;=0), O$3, 0)</f>
        <v>1043.1637008618798</v>
      </c>
      <c r="P112">
        <f>IF(AND($N112-'Outil Cibles'!E$7&lt;=60,$N112-'Outil Cibles'!E$7&gt;=0), P$3, 0)</f>
        <v>2770.0820951112937</v>
      </c>
      <c r="Q112">
        <f>IF(AND($N112-'Outil Cibles'!F$7&lt;=60,$N112-'Outil Cibles'!F$7&gt;=0), Q$3, 0)</f>
        <v>1909.1625886556317</v>
      </c>
      <c r="R112">
        <f>IF(AND($N112-'Outil Cibles'!G$7&lt;=60,$N112-'Outil Cibles'!G$7&gt;=0), R$3, 0)</f>
        <v>1257.004461978674</v>
      </c>
      <c r="S112">
        <f>IF(AND($N112-'Outil Cibles'!H$7&lt;=60,$N112-'Outil Cibles'!H$7&gt;=0), S$3, 0)</f>
        <v>986.56148916388076</v>
      </c>
      <c r="T112">
        <f>IF(AND($N112-'Outil Cibles'!I$7&lt;=60,$N112-'Outil Cibles'!I$7&gt;=0), T$3, 0)</f>
        <v>830.62515767806633</v>
      </c>
      <c r="U112">
        <f>IF(AND($N112-'Outil Cibles'!J$7&lt;=60,$N112-'Outil Cibles'!J$7&gt;=0), U$3, 0)</f>
        <v>680.92130837794082</v>
      </c>
      <c r="V112">
        <f>IF(AND($N112-'Outil Cibles'!K$7&lt;=60,$N112-'Outil Cibles'!K$7&gt;=0), V$3, 0)</f>
        <v>520.02611366210544</v>
      </c>
      <c r="W112">
        <f>IF(AND($N112-'Outil Cibles'!L$7&lt;=60,$N112-'Outil Cibles'!L$7&gt;=0), W$3, 0)</f>
        <v>0</v>
      </c>
      <c r="X112">
        <f>IF(AND($N112-'Outil Cibles'!M$7&lt;=60,$N112-'Outil Cibles'!M$7&gt;=0), X$3, 0)</f>
        <v>0</v>
      </c>
    </row>
    <row r="113" spans="14:24" x14ac:dyDescent="0.3">
      <c r="N113">
        <v>2047</v>
      </c>
      <c r="O113">
        <f>IF(AND($N113-'Outil Cibles'!D$7&lt;=60,$N113-'Outil Cibles'!D$7&gt;=0), O$3, 0)</f>
        <v>1043.1637008618798</v>
      </c>
      <c r="P113">
        <f>IF(AND($N113-'Outil Cibles'!E$7&lt;=60,$N113-'Outil Cibles'!E$7&gt;=0), P$3, 0)</f>
        <v>2770.0820951112937</v>
      </c>
      <c r="Q113">
        <f>IF(AND($N113-'Outil Cibles'!F$7&lt;=60,$N113-'Outil Cibles'!F$7&gt;=0), Q$3, 0)</f>
        <v>1909.1625886556317</v>
      </c>
      <c r="R113">
        <f>IF(AND($N113-'Outil Cibles'!G$7&lt;=60,$N113-'Outil Cibles'!G$7&gt;=0), R$3, 0)</f>
        <v>1257.004461978674</v>
      </c>
      <c r="S113">
        <f>IF(AND($N113-'Outil Cibles'!H$7&lt;=60,$N113-'Outil Cibles'!H$7&gt;=0), S$3, 0)</f>
        <v>986.56148916388076</v>
      </c>
      <c r="T113">
        <f>IF(AND($N113-'Outil Cibles'!I$7&lt;=60,$N113-'Outil Cibles'!I$7&gt;=0), T$3, 0)</f>
        <v>830.62515767806633</v>
      </c>
      <c r="U113">
        <f>IF(AND($N113-'Outil Cibles'!J$7&lt;=60,$N113-'Outil Cibles'!J$7&gt;=0), U$3, 0)</f>
        <v>680.92130837794082</v>
      </c>
      <c r="V113">
        <f>IF(AND($N113-'Outil Cibles'!K$7&lt;=60,$N113-'Outil Cibles'!K$7&gt;=0), V$3, 0)</f>
        <v>520.02611366210544</v>
      </c>
      <c r="W113">
        <f>IF(AND($N113-'Outil Cibles'!L$7&lt;=60,$N113-'Outil Cibles'!L$7&gt;=0), W$3, 0)</f>
        <v>0</v>
      </c>
      <c r="X113">
        <f>IF(AND($N113-'Outil Cibles'!M$7&lt;=60,$N113-'Outil Cibles'!M$7&gt;=0), X$3, 0)</f>
        <v>0</v>
      </c>
    </row>
    <row r="114" spans="14:24" x14ac:dyDescent="0.3">
      <c r="N114">
        <v>2048</v>
      </c>
      <c r="O114">
        <f>IF(AND($N114-'Outil Cibles'!D$7&lt;=60,$N114-'Outil Cibles'!D$7&gt;=0), O$3, 0)</f>
        <v>1043.1637008618798</v>
      </c>
      <c r="P114">
        <f>IF(AND($N114-'Outil Cibles'!E$7&lt;=60,$N114-'Outil Cibles'!E$7&gt;=0), P$3, 0)</f>
        <v>2770.0820951112937</v>
      </c>
      <c r="Q114">
        <f>IF(AND($N114-'Outil Cibles'!F$7&lt;=60,$N114-'Outil Cibles'!F$7&gt;=0), Q$3, 0)</f>
        <v>1909.1625886556317</v>
      </c>
      <c r="R114">
        <f>IF(AND($N114-'Outil Cibles'!G$7&lt;=60,$N114-'Outil Cibles'!G$7&gt;=0), R$3, 0)</f>
        <v>1257.004461978674</v>
      </c>
      <c r="S114">
        <f>IF(AND($N114-'Outil Cibles'!H$7&lt;=60,$N114-'Outil Cibles'!H$7&gt;=0), S$3, 0)</f>
        <v>986.56148916388076</v>
      </c>
      <c r="T114">
        <f>IF(AND($N114-'Outil Cibles'!I$7&lt;=60,$N114-'Outil Cibles'!I$7&gt;=0), T$3, 0)</f>
        <v>830.62515767806633</v>
      </c>
      <c r="U114">
        <f>IF(AND($N114-'Outil Cibles'!J$7&lt;=60,$N114-'Outil Cibles'!J$7&gt;=0), U$3, 0)</f>
        <v>680.92130837794082</v>
      </c>
      <c r="V114">
        <f>IF(AND($N114-'Outil Cibles'!K$7&lt;=60,$N114-'Outil Cibles'!K$7&gt;=0), V$3, 0)</f>
        <v>520.02611366210544</v>
      </c>
      <c r="W114">
        <f>IF(AND($N114-'Outil Cibles'!L$7&lt;=60,$N114-'Outil Cibles'!L$7&gt;=0), W$3, 0)</f>
        <v>199.49441755440617</v>
      </c>
      <c r="X114">
        <f>IF(AND($N114-'Outil Cibles'!M$7&lt;=60,$N114-'Outil Cibles'!M$7&gt;=0), X$3, 0)</f>
        <v>0</v>
      </c>
    </row>
    <row r="115" spans="14:24" x14ac:dyDescent="0.3">
      <c r="N115">
        <v>2049</v>
      </c>
      <c r="O115">
        <f>IF(AND($N115-'Outil Cibles'!D$7&lt;=60,$N115-'Outil Cibles'!D$7&gt;=0), O$3, 0)</f>
        <v>1043.1637008618798</v>
      </c>
      <c r="P115">
        <f>IF(AND($N115-'Outil Cibles'!E$7&lt;=60,$N115-'Outil Cibles'!E$7&gt;=0), P$3, 0)</f>
        <v>2770.0820951112937</v>
      </c>
      <c r="Q115">
        <f>IF(AND($N115-'Outil Cibles'!F$7&lt;=60,$N115-'Outil Cibles'!F$7&gt;=0), Q$3, 0)</f>
        <v>1909.1625886556317</v>
      </c>
      <c r="R115">
        <f>IF(AND($N115-'Outil Cibles'!G$7&lt;=60,$N115-'Outil Cibles'!G$7&gt;=0), R$3, 0)</f>
        <v>1257.004461978674</v>
      </c>
      <c r="S115">
        <f>IF(AND($N115-'Outil Cibles'!H$7&lt;=60,$N115-'Outil Cibles'!H$7&gt;=0), S$3, 0)</f>
        <v>986.56148916388076</v>
      </c>
      <c r="T115">
        <f>IF(AND($N115-'Outil Cibles'!I$7&lt;=60,$N115-'Outil Cibles'!I$7&gt;=0), T$3, 0)</f>
        <v>830.62515767806633</v>
      </c>
      <c r="U115">
        <f>IF(AND($N115-'Outil Cibles'!J$7&lt;=60,$N115-'Outil Cibles'!J$7&gt;=0), U$3, 0)</f>
        <v>680.92130837794082</v>
      </c>
      <c r="V115">
        <f>IF(AND($N115-'Outil Cibles'!K$7&lt;=60,$N115-'Outil Cibles'!K$7&gt;=0), V$3, 0)</f>
        <v>520.02611366210544</v>
      </c>
      <c r="W115">
        <f>IF(AND($N115-'Outil Cibles'!L$7&lt;=60,$N115-'Outil Cibles'!L$7&gt;=0), W$3, 0)</f>
        <v>199.49441755440617</v>
      </c>
      <c r="X115">
        <f>IF(AND($N115-'Outil Cibles'!M$7&lt;=60,$N115-'Outil Cibles'!M$7&gt;=0), X$3, 0)</f>
        <v>0</v>
      </c>
    </row>
    <row r="116" spans="14:24" x14ac:dyDescent="0.3">
      <c r="N116" s="10">
        <v>2050</v>
      </c>
      <c r="O116">
        <f>IF(AND($N116-'Outil Cibles'!D$7&lt;=60,$N116-'Outil Cibles'!D$7&gt;=0), O$3, 0)</f>
        <v>1043.1637008618798</v>
      </c>
      <c r="P116">
        <f>IF(AND($N116-'Outil Cibles'!E$7&lt;=60,$N116-'Outil Cibles'!E$7&gt;=0), P$3, 0)</f>
        <v>2770.0820951112937</v>
      </c>
      <c r="Q116">
        <f>IF(AND($N116-'Outil Cibles'!F$7&lt;=60,$N116-'Outil Cibles'!F$7&gt;=0), Q$3, 0)</f>
        <v>1909.1625886556317</v>
      </c>
      <c r="R116">
        <f>IF(AND($N116-'Outil Cibles'!G$7&lt;=60,$N116-'Outil Cibles'!G$7&gt;=0), R$3, 0)</f>
        <v>1257.004461978674</v>
      </c>
      <c r="S116">
        <f>IF(AND($N116-'Outil Cibles'!H$7&lt;=60,$N116-'Outil Cibles'!H$7&gt;=0), S$3, 0)</f>
        <v>986.56148916388076</v>
      </c>
      <c r="T116">
        <f>IF(AND($N116-'Outil Cibles'!I$7&lt;=60,$N116-'Outil Cibles'!I$7&gt;=0), T$3, 0)</f>
        <v>830.62515767806633</v>
      </c>
      <c r="U116">
        <f>IF(AND($N116-'Outil Cibles'!J$7&lt;=60,$N116-'Outil Cibles'!J$7&gt;=0), U$3, 0)</f>
        <v>680.92130837794082</v>
      </c>
      <c r="V116">
        <f>IF(AND($N116-'Outil Cibles'!K$7&lt;=60,$N116-'Outil Cibles'!K$7&gt;=0), V$3, 0)</f>
        <v>520.02611366210544</v>
      </c>
      <c r="W116">
        <f>IF(AND($N116-'Outil Cibles'!L$7&lt;=60,$N116-'Outil Cibles'!L$7&gt;=0), W$3, 0)</f>
        <v>199.49441755440617</v>
      </c>
      <c r="X116">
        <f>IF(AND($N116-'Outil Cibles'!M$7&lt;=60,$N116-'Outil Cibles'!M$7&gt;=0), X$3, 0)</f>
        <v>99.128163673392294</v>
      </c>
    </row>
    <row r="117" spans="14:24" x14ac:dyDescent="0.3">
      <c r="N117" s="10">
        <v>2051</v>
      </c>
      <c r="O117">
        <f>IF(AND($N117-'Outil Cibles'!D$7&lt;=60,$N117-'Outil Cibles'!D$7&gt;=0), O$3, 0)</f>
        <v>1043.1637008618798</v>
      </c>
      <c r="P117">
        <f>IF(AND($N117-'Outil Cibles'!E$7&lt;=60,$N117-'Outil Cibles'!E$7&gt;=0), P$3, 0)</f>
        <v>2770.0820951112937</v>
      </c>
      <c r="Q117">
        <f>IF(AND($N117-'Outil Cibles'!F$7&lt;=60,$N117-'Outil Cibles'!F$7&gt;=0), Q$3, 0)</f>
        <v>1909.1625886556317</v>
      </c>
      <c r="R117">
        <f>IF(AND($N117-'Outil Cibles'!G$7&lt;=60,$N117-'Outil Cibles'!G$7&gt;=0), R$3, 0)</f>
        <v>1257.004461978674</v>
      </c>
      <c r="S117">
        <f>IF(AND($N117-'Outil Cibles'!H$7&lt;=60,$N117-'Outil Cibles'!H$7&gt;=0), S$3, 0)</f>
        <v>986.56148916388076</v>
      </c>
      <c r="T117">
        <f>IF(AND($N117-'Outil Cibles'!I$7&lt;=60,$N117-'Outil Cibles'!I$7&gt;=0), T$3, 0)</f>
        <v>830.62515767806633</v>
      </c>
      <c r="U117">
        <f>IF(AND($N117-'Outil Cibles'!J$7&lt;=60,$N117-'Outil Cibles'!J$7&gt;=0), U$3, 0)</f>
        <v>680.92130837794082</v>
      </c>
      <c r="V117">
        <f>IF(AND($N117-'Outil Cibles'!K$7&lt;=60,$N117-'Outil Cibles'!K$7&gt;=0), V$3, 0)</f>
        <v>520.02611366210544</v>
      </c>
      <c r="W117">
        <f>IF(AND($N117-'Outil Cibles'!L$7&lt;=60,$N117-'Outil Cibles'!L$7&gt;=0), W$3, 0)</f>
        <v>199.49441755440617</v>
      </c>
      <c r="X117">
        <f>IF(AND($N117-'Outil Cibles'!M$7&lt;=60,$N117-'Outil Cibles'!M$7&gt;=0), X$3, 0)</f>
        <v>99.128163673392294</v>
      </c>
    </row>
    <row r="118" spans="14:24" x14ac:dyDescent="0.3">
      <c r="N118">
        <v>2052</v>
      </c>
      <c r="O118">
        <f>IF(AND($N118-'Outil Cibles'!D$7&lt;=60,$N118-'Outil Cibles'!D$7&gt;=0), O$3, 0)</f>
        <v>1043.1637008618798</v>
      </c>
      <c r="P118">
        <f>IF(AND($N118-'Outil Cibles'!E$7&lt;=60,$N118-'Outil Cibles'!E$7&gt;=0), P$3, 0)</f>
        <v>2770.0820951112937</v>
      </c>
      <c r="Q118">
        <f>IF(AND($N118-'Outil Cibles'!F$7&lt;=60,$N118-'Outil Cibles'!F$7&gt;=0), Q$3, 0)</f>
        <v>1909.1625886556317</v>
      </c>
      <c r="R118">
        <f>IF(AND($N118-'Outil Cibles'!G$7&lt;=60,$N118-'Outil Cibles'!G$7&gt;=0), R$3, 0)</f>
        <v>1257.004461978674</v>
      </c>
      <c r="S118">
        <f>IF(AND($N118-'Outil Cibles'!H$7&lt;=60,$N118-'Outil Cibles'!H$7&gt;=0), S$3, 0)</f>
        <v>986.56148916388076</v>
      </c>
      <c r="T118">
        <f>IF(AND($N118-'Outil Cibles'!I$7&lt;=60,$N118-'Outil Cibles'!I$7&gt;=0), T$3, 0)</f>
        <v>830.62515767806633</v>
      </c>
      <c r="U118">
        <f>IF(AND($N118-'Outil Cibles'!J$7&lt;=60,$N118-'Outil Cibles'!J$7&gt;=0), U$3, 0)</f>
        <v>680.92130837794082</v>
      </c>
      <c r="V118">
        <f>IF(AND($N118-'Outil Cibles'!K$7&lt;=60,$N118-'Outil Cibles'!K$7&gt;=0), V$3, 0)</f>
        <v>520.02611366210544</v>
      </c>
      <c r="W118">
        <f>IF(AND($N118-'Outil Cibles'!L$7&lt;=60,$N118-'Outil Cibles'!L$7&gt;=0), W$3, 0)</f>
        <v>199.49441755440617</v>
      </c>
      <c r="X118">
        <f>IF(AND($N118-'Outil Cibles'!M$7&lt;=60,$N118-'Outil Cibles'!M$7&gt;=0), X$3, 0)</f>
        <v>99.128163673392294</v>
      </c>
    </row>
    <row r="119" spans="14:24" x14ac:dyDescent="0.3">
      <c r="N119">
        <v>2053</v>
      </c>
      <c r="O119">
        <f>IF(AND($N119-'Outil Cibles'!D$7&lt;=60,$N119-'Outil Cibles'!D$7&gt;=0), O$3, 0)</f>
        <v>1043.1637008618798</v>
      </c>
      <c r="P119">
        <f>IF(AND($N119-'Outil Cibles'!E$7&lt;=60,$N119-'Outil Cibles'!E$7&gt;=0), P$3, 0)</f>
        <v>2770.0820951112937</v>
      </c>
      <c r="Q119">
        <f>IF(AND($N119-'Outil Cibles'!F$7&lt;=60,$N119-'Outil Cibles'!F$7&gt;=0), Q$3, 0)</f>
        <v>1909.1625886556317</v>
      </c>
      <c r="R119">
        <f>IF(AND($N119-'Outil Cibles'!G$7&lt;=60,$N119-'Outil Cibles'!G$7&gt;=0), R$3, 0)</f>
        <v>1257.004461978674</v>
      </c>
      <c r="S119">
        <f>IF(AND($N119-'Outil Cibles'!H$7&lt;=60,$N119-'Outil Cibles'!H$7&gt;=0), S$3, 0)</f>
        <v>986.56148916388076</v>
      </c>
      <c r="T119">
        <f>IF(AND($N119-'Outil Cibles'!I$7&lt;=60,$N119-'Outil Cibles'!I$7&gt;=0), T$3, 0)</f>
        <v>830.62515767806633</v>
      </c>
      <c r="U119">
        <f>IF(AND($N119-'Outil Cibles'!J$7&lt;=60,$N119-'Outil Cibles'!J$7&gt;=0), U$3, 0)</f>
        <v>680.92130837794082</v>
      </c>
      <c r="V119">
        <f>IF(AND($N119-'Outil Cibles'!K$7&lt;=60,$N119-'Outil Cibles'!K$7&gt;=0), V$3, 0)</f>
        <v>520.02611366210544</v>
      </c>
      <c r="W119">
        <f>IF(AND($N119-'Outil Cibles'!L$7&lt;=60,$N119-'Outil Cibles'!L$7&gt;=0), W$3, 0)</f>
        <v>199.49441755440617</v>
      </c>
      <c r="X119">
        <f>IF(AND($N119-'Outil Cibles'!M$7&lt;=60,$N119-'Outil Cibles'!M$7&gt;=0), X$3, 0)</f>
        <v>99.128163673392294</v>
      </c>
    </row>
    <row r="120" spans="14:24" x14ac:dyDescent="0.3">
      <c r="N120">
        <v>2054</v>
      </c>
      <c r="O120">
        <f>IF(AND($N120-'Outil Cibles'!D$7&lt;=60,$N120-'Outil Cibles'!D$7&gt;=0), O$3, 0)</f>
        <v>1043.1637008618798</v>
      </c>
      <c r="P120">
        <f>IF(AND($N120-'Outil Cibles'!E$7&lt;=60,$N120-'Outil Cibles'!E$7&gt;=0), P$3, 0)</f>
        <v>2770.0820951112937</v>
      </c>
      <c r="Q120">
        <f>IF(AND($N120-'Outil Cibles'!F$7&lt;=60,$N120-'Outil Cibles'!F$7&gt;=0), Q$3, 0)</f>
        <v>1909.1625886556317</v>
      </c>
      <c r="R120">
        <f>IF(AND($N120-'Outil Cibles'!G$7&lt;=60,$N120-'Outil Cibles'!G$7&gt;=0), R$3, 0)</f>
        <v>1257.004461978674</v>
      </c>
      <c r="S120">
        <f>IF(AND($N120-'Outil Cibles'!H$7&lt;=60,$N120-'Outil Cibles'!H$7&gt;=0), S$3, 0)</f>
        <v>986.56148916388076</v>
      </c>
      <c r="T120">
        <f>IF(AND($N120-'Outil Cibles'!I$7&lt;=60,$N120-'Outil Cibles'!I$7&gt;=0), T$3, 0)</f>
        <v>830.62515767806633</v>
      </c>
      <c r="U120">
        <f>IF(AND($N120-'Outil Cibles'!J$7&lt;=60,$N120-'Outil Cibles'!J$7&gt;=0), U$3, 0)</f>
        <v>680.92130837794082</v>
      </c>
      <c r="V120">
        <f>IF(AND($N120-'Outil Cibles'!K$7&lt;=60,$N120-'Outil Cibles'!K$7&gt;=0), V$3, 0)</f>
        <v>520.02611366210544</v>
      </c>
      <c r="W120">
        <f>IF(AND($N120-'Outil Cibles'!L$7&lt;=60,$N120-'Outil Cibles'!L$7&gt;=0), W$3, 0)</f>
        <v>199.49441755440617</v>
      </c>
      <c r="X120">
        <f>IF(AND($N120-'Outil Cibles'!M$7&lt;=60,$N120-'Outil Cibles'!M$7&gt;=0), X$3, 0)</f>
        <v>99.128163673392294</v>
      </c>
    </row>
    <row r="121" spans="14:24" x14ac:dyDescent="0.3">
      <c r="N121">
        <v>2055</v>
      </c>
      <c r="O121">
        <f>IF(AND($N121-'Outil Cibles'!D$7&lt;=60,$N121-'Outil Cibles'!D$7&gt;=0), O$3, 0)</f>
        <v>1043.1637008618798</v>
      </c>
      <c r="P121">
        <f>IF(AND($N121-'Outil Cibles'!E$7&lt;=60,$N121-'Outil Cibles'!E$7&gt;=0), P$3, 0)</f>
        <v>2770.0820951112937</v>
      </c>
      <c r="Q121">
        <f>IF(AND($N121-'Outil Cibles'!F$7&lt;=60,$N121-'Outil Cibles'!F$7&gt;=0), Q$3, 0)</f>
        <v>1909.1625886556317</v>
      </c>
      <c r="R121">
        <f>IF(AND($N121-'Outil Cibles'!G$7&lt;=60,$N121-'Outil Cibles'!G$7&gt;=0), R$3, 0)</f>
        <v>1257.004461978674</v>
      </c>
      <c r="S121">
        <f>IF(AND($N121-'Outil Cibles'!H$7&lt;=60,$N121-'Outil Cibles'!H$7&gt;=0), S$3, 0)</f>
        <v>986.56148916388076</v>
      </c>
      <c r="T121">
        <f>IF(AND($N121-'Outil Cibles'!I$7&lt;=60,$N121-'Outil Cibles'!I$7&gt;=0), T$3, 0)</f>
        <v>830.62515767806633</v>
      </c>
      <c r="U121">
        <f>IF(AND($N121-'Outil Cibles'!J$7&lt;=60,$N121-'Outil Cibles'!J$7&gt;=0), U$3, 0)</f>
        <v>680.92130837794082</v>
      </c>
      <c r="V121">
        <f>IF(AND($N121-'Outil Cibles'!K$7&lt;=60,$N121-'Outil Cibles'!K$7&gt;=0), V$3, 0)</f>
        <v>520.02611366210544</v>
      </c>
      <c r="W121">
        <f>IF(AND($N121-'Outil Cibles'!L$7&lt;=60,$N121-'Outil Cibles'!L$7&gt;=0), W$3, 0)</f>
        <v>199.49441755440617</v>
      </c>
      <c r="X121">
        <f>IF(AND($N121-'Outil Cibles'!M$7&lt;=60,$N121-'Outil Cibles'!M$7&gt;=0), X$3, 0)</f>
        <v>99.128163673392294</v>
      </c>
    </row>
    <row r="122" spans="14:24" x14ac:dyDescent="0.3">
      <c r="N122" s="10">
        <v>2056</v>
      </c>
      <c r="O122">
        <f>IF(AND($N122-'Outil Cibles'!D$7&lt;=60,$N122-'Outil Cibles'!D$7&gt;=0), O$3, 0)</f>
        <v>1043.1637008618798</v>
      </c>
      <c r="P122">
        <f>IF(AND($N122-'Outil Cibles'!E$7&lt;=60,$N122-'Outil Cibles'!E$7&gt;=0), P$3, 0)</f>
        <v>2770.0820951112937</v>
      </c>
      <c r="Q122">
        <f>IF(AND($N122-'Outil Cibles'!F$7&lt;=60,$N122-'Outil Cibles'!F$7&gt;=0), Q$3, 0)</f>
        <v>1909.1625886556317</v>
      </c>
      <c r="R122">
        <f>IF(AND($N122-'Outil Cibles'!G$7&lt;=60,$N122-'Outil Cibles'!G$7&gt;=0), R$3, 0)</f>
        <v>1257.004461978674</v>
      </c>
      <c r="S122">
        <f>IF(AND($N122-'Outil Cibles'!H$7&lt;=60,$N122-'Outil Cibles'!H$7&gt;=0), S$3, 0)</f>
        <v>986.56148916388076</v>
      </c>
      <c r="T122">
        <f>IF(AND($N122-'Outil Cibles'!I$7&lt;=60,$N122-'Outil Cibles'!I$7&gt;=0), T$3, 0)</f>
        <v>830.62515767806633</v>
      </c>
      <c r="U122">
        <f>IF(AND($N122-'Outil Cibles'!J$7&lt;=60,$N122-'Outil Cibles'!J$7&gt;=0), U$3, 0)</f>
        <v>680.92130837794082</v>
      </c>
      <c r="V122">
        <f>IF(AND($N122-'Outil Cibles'!K$7&lt;=60,$N122-'Outil Cibles'!K$7&gt;=0), V$3, 0)</f>
        <v>520.02611366210544</v>
      </c>
      <c r="W122">
        <f>IF(AND($N122-'Outil Cibles'!L$7&lt;=60,$N122-'Outil Cibles'!L$7&gt;=0), W$3, 0)</f>
        <v>199.49441755440617</v>
      </c>
      <c r="X122">
        <f>IF(AND($N122-'Outil Cibles'!M$7&lt;=60,$N122-'Outil Cibles'!M$7&gt;=0), X$3, 0)</f>
        <v>99.128163673392294</v>
      </c>
    </row>
    <row r="123" spans="14:24" x14ac:dyDescent="0.3">
      <c r="N123" s="10">
        <v>2057</v>
      </c>
      <c r="O123">
        <f>IF(AND($N123-'Outil Cibles'!D$7&lt;=60,$N123-'Outil Cibles'!D$7&gt;=0), O$3, 0)</f>
        <v>1043.1637008618798</v>
      </c>
      <c r="P123">
        <f>IF(AND($N123-'Outil Cibles'!E$7&lt;=60,$N123-'Outil Cibles'!E$7&gt;=0), P$3, 0)</f>
        <v>2770.0820951112937</v>
      </c>
      <c r="Q123">
        <f>IF(AND($N123-'Outil Cibles'!F$7&lt;=60,$N123-'Outil Cibles'!F$7&gt;=0), Q$3, 0)</f>
        <v>1909.1625886556317</v>
      </c>
      <c r="R123">
        <f>IF(AND($N123-'Outil Cibles'!G$7&lt;=60,$N123-'Outil Cibles'!G$7&gt;=0), R$3, 0)</f>
        <v>1257.004461978674</v>
      </c>
      <c r="S123">
        <f>IF(AND($N123-'Outil Cibles'!H$7&lt;=60,$N123-'Outil Cibles'!H$7&gt;=0), S$3, 0)</f>
        <v>986.56148916388076</v>
      </c>
      <c r="T123">
        <f>IF(AND($N123-'Outil Cibles'!I$7&lt;=60,$N123-'Outil Cibles'!I$7&gt;=0), T$3, 0)</f>
        <v>830.62515767806633</v>
      </c>
      <c r="U123">
        <f>IF(AND($N123-'Outil Cibles'!J$7&lt;=60,$N123-'Outil Cibles'!J$7&gt;=0), U$3, 0)</f>
        <v>680.92130837794082</v>
      </c>
      <c r="V123">
        <f>IF(AND($N123-'Outil Cibles'!K$7&lt;=60,$N123-'Outil Cibles'!K$7&gt;=0), V$3, 0)</f>
        <v>520.02611366210544</v>
      </c>
      <c r="W123">
        <f>IF(AND($N123-'Outil Cibles'!L$7&lt;=60,$N123-'Outil Cibles'!L$7&gt;=0), W$3, 0)</f>
        <v>199.49441755440617</v>
      </c>
      <c r="X123">
        <f>IF(AND($N123-'Outil Cibles'!M$7&lt;=60,$N123-'Outil Cibles'!M$7&gt;=0), X$3, 0)</f>
        <v>99.128163673392294</v>
      </c>
    </row>
    <row r="124" spans="14:24" x14ac:dyDescent="0.3">
      <c r="N124">
        <v>2058</v>
      </c>
      <c r="O124">
        <f>IF(AND($N124-'Outil Cibles'!D$7&lt;=60,$N124-'Outil Cibles'!D$7&gt;=0), O$3, 0)</f>
        <v>1043.1637008618798</v>
      </c>
      <c r="P124">
        <f>IF(AND($N124-'Outil Cibles'!E$7&lt;=60,$N124-'Outil Cibles'!E$7&gt;=0), P$3, 0)</f>
        <v>2770.0820951112937</v>
      </c>
      <c r="Q124">
        <f>IF(AND($N124-'Outil Cibles'!F$7&lt;=60,$N124-'Outil Cibles'!F$7&gt;=0), Q$3, 0)</f>
        <v>1909.1625886556317</v>
      </c>
      <c r="R124">
        <f>IF(AND($N124-'Outil Cibles'!G$7&lt;=60,$N124-'Outil Cibles'!G$7&gt;=0), R$3, 0)</f>
        <v>1257.004461978674</v>
      </c>
      <c r="S124">
        <f>IF(AND($N124-'Outil Cibles'!H$7&lt;=60,$N124-'Outil Cibles'!H$7&gt;=0), S$3, 0)</f>
        <v>986.56148916388076</v>
      </c>
      <c r="T124">
        <f>IF(AND($N124-'Outil Cibles'!I$7&lt;=60,$N124-'Outil Cibles'!I$7&gt;=0), T$3, 0)</f>
        <v>830.62515767806633</v>
      </c>
      <c r="U124">
        <f>IF(AND($N124-'Outil Cibles'!J$7&lt;=60,$N124-'Outil Cibles'!J$7&gt;=0), U$3, 0)</f>
        <v>680.92130837794082</v>
      </c>
      <c r="V124">
        <f>IF(AND($N124-'Outil Cibles'!K$7&lt;=60,$N124-'Outil Cibles'!K$7&gt;=0), V$3, 0)</f>
        <v>520.02611366210544</v>
      </c>
      <c r="W124">
        <f>IF(AND($N124-'Outil Cibles'!L$7&lt;=60,$N124-'Outil Cibles'!L$7&gt;=0), W$3, 0)</f>
        <v>199.49441755440617</v>
      </c>
      <c r="X124">
        <f>IF(AND($N124-'Outil Cibles'!M$7&lt;=60,$N124-'Outil Cibles'!M$7&gt;=0), X$3, 0)</f>
        <v>99.128163673392294</v>
      </c>
    </row>
    <row r="125" spans="14:24" x14ac:dyDescent="0.3">
      <c r="N125">
        <v>2059</v>
      </c>
      <c r="O125">
        <f>IF(AND($N125-'Outil Cibles'!D$7&lt;=60,$N125-'Outil Cibles'!D$7&gt;=0), O$3, 0)</f>
        <v>1043.1637008618798</v>
      </c>
      <c r="P125">
        <f>IF(AND($N125-'Outil Cibles'!E$7&lt;=60,$N125-'Outil Cibles'!E$7&gt;=0), P$3, 0)</f>
        <v>2770.0820951112937</v>
      </c>
      <c r="Q125">
        <f>IF(AND($N125-'Outil Cibles'!F$7&lt;=60,$N125-'Outil Cibles'!F$7&gt;=0), Q$3, 0)</f>
        <v>1909.1625886556317</v>
      </c>
      <c r="R125">
        <f>IF(AND($N125-'Outil Cibles'!G$7&lt;=60,$N125-'Outil Cibles'!G$7&gt;=0), R$3, 0)</f>
        <v>1257.004461978674</v>
      </c>
      <c r="S125">
        <f>IF(AND($N125-'Outil Cibles'!H$7&lt;=60,$N125-'Outil Cibles'!H$7&gt;=0), S$3, 0)</f>
        <v>986.56148916388076</v>
      </c>
      <c r="T125">
        <f>IF(AND($N125-'Outil Cibles'!I$7&lt;=60,$N125-'Outil Cibles'!I$7&gt;=0), T$3, 0)</f>
        <v>830.62515767806633</v>
      </c>
      <c r="U125">
        <f>IF(AND($N125-'Outil Cibles'!J$7&lt;=60,$N125-'Outil Cibles'!J$7&gt;=0), U$3, 0)</f>
        <v>680.92130837794082</v>
      </c>
      <c r="V125">
        <f>IF(AND($N125-'Outil Cibles'!K$7&lt;=60,$N125-'Outil Cibles'!K$7&gt;=0), V$3, 0)</f>
        <v>520.02611366210544</v>
      </c>
      <c r="W125">
        <f>IF(AND($N125-'Outil Cibles'!L$7&lt;=60,$N125-'Outil Cibles'!L$7&gt;=0), W$3, 0)</f>
        <v>199.49441755440617</v>
      </c>
      <c r="X125">
        <f>IF(AND($N125-'Outil Cibles'!M$7&lt;=60,$N125-'Outil Cibles'!M$7&gt;=0), X$3, 0)</f>
        <v>99.128163673392294</v>
      </c>
    </row>
    <row r="126" spans="14:24" x14ac:dyDescent="0.3">
      <c r="N126">
        <v>2060</v>
      </c>
      <c r="O126">
        <f>IF(AND($N126-'Outil Cibles'!D$7&lt;=60,$N126-'Outil Cibles'!D$7&gt;=0), O$3, 0)</f>
        <v>1043.1637008618798</v>
      </c>
      <c r="P126">
        <f>IF(AND($N126-'Outil Cibles'!E$7&lt;=60,$N126-'Outil Cibles'!E$7&gt;=0), P$3, 0)</f>
        <v>2770.0820951112937</v>
      </c>
      <c r="Q126">
        <f>IF(AND($N126-'Outil Cibles'!F$7&lt;=60,$N126-'Outil Cibles'!F$7&gt;=0), Q$3, 0)</f>
        <v>1909.1625886556317</v>
      </c>
      <c r="R126">
        <f>IF(AND($N126-'Outil Cibles'!G$7&lt;=60,$N126-'Outil Cibles'!G$7&gt;=0), R$3, 0)</f>
        <v>1257.004461978674</v>
      </c>
      <c r="S126">
        <f>IF(AND($N126-'Outil Cibles'!H$7&lt;=60,$N126-'Outil Cibles'!H$7&gt;=0), S$3, 0)</f>
        <v>986.56148916388076</v>
      </c>
      <c r="T126">
        <f>IF(AND($N126-'Outil Cibles'!I$7&lt;=60,$N126-'Outil Cibles'!I$7&gt;=0), T$3, 0)</f>
        <v>830.62515767806633</v>
      </c>
      <c r="U126">
        <f>IF(AND($N126-'Outil Cibles'!J$7&lt;=60,$N126-'Outil Cibles'!J$7&gt;=0), U$3, 0)</f>
        <v>680.92130837794082</v>
      </c>
      <c r="V126">
        <f>IF(AND($N126-'Outil Cibles'!K$7&lt;=60,$N126-'Outil Cibles'!K$7&gt;=0), V$3, 0)</f>
        <v>520.02611366210544</v>
      </c>
      <c r="W126">
        <f>IF(AND($N126-'Outil Cibles'!L$7&lt;=60,$N126-'Outil Cibles'!L$7&gt;=0), W$3, 0)</f>
        <v>199.49441755440617</v>
      </c>
      <c r="X126">
        <f>IF(AND($N126-'Outil Cibles'!M$7&lt;=60,$N126-'Outil Cibles'!M$7&gt;=0), X$3, 0)</f>
        <v>99.128163673392294</v>
      </c>
    </row>
    <row r="127" spans="14:24" x14ac:dyDescent="0.3">
      <c r="N127">
        <v>2061</v>
      </c>
      <c r="O127">
        <f>IF(AND($N127-'Outil Cibles'!D$7&lt;=60,$N127-'Outil Cibles'!D$7&gt;=0), O$3, 0)</f>
        <v>1043.1637008618798</v>
      </c>
      <c r="P127">
        <f>IF(AND($N127-'Outil Cibles'!E$7&lt;=60,$N127-'Outil Cibles'!E$7&gt;=0), P$3, 0)</f>
        <v>2770.0820951112937</v>
      </c>
      <c r="Q127">
        <f>IF(AND($N127-'Outil Cibles'!F$7&lt;=60,$N127-'Outil Cibles'!F$7&gt;=0), Q$3, 0)</f>
        <v>1909.1625886556317</v>
      </c>
      <c r="R127">
        <f>IF(AND($N127-'Outil Cibles'!G$7&lt;=60,$N127-'Outil Cibles'!G$7&gt;=0), R$3, 0)</f>
        <v>1257.004461978674</v>
      </c>
      <c r="S127">
        <f>IF(AND($N127-'Outil Cibles'!H$7&lt;=60,$N127-'Outil Cibles'!H$7&gt;=0), S$3, 0)</f>
        <v>986.56148916388076</v>
      </c>
      <c r="T127">
        <f>IF(AND($N127-'Outil Cibles'!I$7&lt;=60,$N127-'Outil Cibles'!I$7&gt;=0), T$3, 0)</f>
        <v>830.62515767806633</v>
      </c>
      <c r="U127">
        <f>IF(AND($N127-'Outil Cibles'!J$7&lt;=60,$N127-'Outil Cibles'!J$7&gt;=0), U$3, 0)</f>
        <v>680.92130837794082</v>
      </c>
      <c r="V127">
        <f>IF(AND($N127-'Outil Cibles'!K$7&lt;=60,$N127-'Outil Cibles'!K$7&gt;=0), V$3, 0)</f>
        <v>520.02611366210544</v>
      </c>
      <c r="W127">
        <f>IF(AND($N127-'Outil Cibles'!L$7&lt;=60,$N127-'Outil Cibles'!L$7&gt;=0), W$3, 0)</f>
        <v>199.49441755440617</v>
      </c>
      <c r="X127">
        <f>IF(AND($N127-'Outil Cibles'!M$7&lt;=60,$N127-'Outil Cibles'!M$7&gt;=0), X$3, 0)</f>
        <v>99.128163673392294</v>
      </c>
    </row>
    <row r="128" spans="14:24" x14ac:dyDescent="0.3">
      <c r="N128" s="10">
        <v>2062</v>
      </c>
      <c r="O128">
        <f>IF(AND($N128-'Outil Cibles'!D$7&lt;=60,$N128-'Outil Cibles'!D$7&gt;=0), O$3, 0)</f>
        <v>1043.1637008618798</v>
      </c>
      <c r="P128">
        <f>IF(AND($N128-'Outil Cibles'!E$7&lt;=60,$N128-'Outil Cibles'!E$7&gt;=0), P$3, 0)</f>
        <v>2770.0820951112937</v>
      </c>
      <c r="Q128">
        <f>IF(AND($N128-'Outil Cibles'!F$7&lt;=60,$N128-'Outil Cibles'!F$7&gt;=0), Q$3, 0)</f>
        <v>1909.1625886556317</v>
      </c>
      <c r="R128">
        <f>IF(AND($N128-'Outil Cibles'!G$7&lt;=60,$N128-'Outil Cibles'!G$7&gt;=0), R$3, 0)</f>
        <v>1257.004461978674</v>
      </c>
      <c r="S128">
        <f>IF(AND($N128-'Outil Cibles'!H$7&lt;=60,$N128-'Outil Cibles'!H$7&gt;=0), S$3, 0)</f>
        <v>986.56148916388076</v>
      </c>
      <c r="T128">
        <f>IF(AND($N128-'Outil Cibles'!I$7&lt;=60,$N128-'Outil Cibles'!I$7&gt;=0), T$3, 0)</f>
        <v>830.62515767806633</v>
      </c>
      <c r="U128">
        <f>IF(AND($N128-'Outil Cibles'!J$7&lt;=60,$N128-'Outil Cibles'!J$7&gt;=0), U$3, 0)</f>
        <v>680.92130837794082</v>
      </c>
      <c r="V128">
        <f>IF(AND($N128-'Outil Cibles'!K$7&lt;=60,$N128-'Outil Cibles'!K$7&gt;=0), V$3, 0)</f>
        <v>520.02611366210544</v>
      </c>
      <c r="W128">
        <f>IF(AND($N128-'Outil Cibles'!L$7&lt;=60,$N128-'Outil Cibles'!L$7&gt;=0), W$3, 0)</f>
        <v>199.49441755440617</v>
      </c>
      <c r="X128">
        <f>IF(AND($N128-'Outil Cibles'!M$7&lt;=60,$N128-'Outil Cibles'!M$7&gt;=0), X$3, 0)</f>
        <v>99.128163673392294</v>
      </c>
    </row>
    <row r="129" spans="14:24" x14ac:dyDescent="0.3">
      <c r="N129" s="10">
        <v>2063</v>
      </c>
      <c r="O129">
        <f>IF(AND($N129-'Outil Cibles'!D$7&lt;=60,$N129-'Outil Cibles'!D$7&gt;=0), O$3, 0)</f>
        <v>1043.1637008618798</v>
      </c>
      <c r="P129">
        <f>IF(AND($N129-'Outil Cibles'!E$7&lt;=60,$N129-'Outil Cibles'!E$7&gt;=0), P$3, 0)</f>
        <v>2770.0820951112937</v>
      </c>
      <c r="Q129">
        <f>IF(AND($N129-'Outil Cibles'!F$7&lt;=60,$N129-'Outil Cibles'!F$7&gt;=0), Q$3, 0)</f>
        <v>1909.1625886556317</v>
      </c>
      <c r="R129">
        <f>IF(AND($N129-'Outil Cibles'!G$7&lt;=60,$N129-'Outil Cibles'!G$7&gt;=0), R$3, 0)</f>
        <v>1257.004461978674</v>
      </c>
      <c r="S129">
        <f>IF(AND($N129-'Outil Cibles'!H$7&lt;=60,$N129-'Outil Cibles'!H$7&gt;=0), S$3, 0)</f>
        <v>986.56148916388076</v>
      </c>
      <c r="T129">
        <f>IF(AND($N129-'Outil Cibles'!I$7&lt;=60,$N129-'Outil Cibles'!I$7&gt;=0), T$3, 0)</f>
        <v>830.62515767806633</v>
      </c>
      <c r="U129">
        <f>IF(AND($N129-'Outil Cibles'!J$7&lt;=60,$N129-'Outil Cibles'!J$7&gt;=0), U$3, 0)</f>
        <v>680.92130837794082</v>
      </c>
      <c r="V129">
        <f>IF(AND($N129-'Outil Cibles'!K$7&lt;=60,$N129-'Outil Cibles'!K$7&gt;=0), V$3, 0)</f>
        <v>520.02611366210544</v>
      </c>
      <c r="W129">
        <f>IF(AND($N129-'Outil Cibles'!L$7&lt;=60,$N129-'Outil Cibles'!L$7&gt;=0), W$3, 0)</f>
        <v>199.49441755440617</v>
      </c>
      <c r="X129">
        <f>IF(AND($N129-'Outil Cibles'!M$7&lt;=60,$N129-'Outil Cibles'!M$7&gt;=0), X$3, 0)</f>
        <v>99.128163673392294</v>
      </c>
    </row>
    <row r="130" spans="14:24" x14ac:dyDescent="0.3">
      <c r="N130">
        <v>2064</v>
      </c>
      <c r="O130">
        <f>IF(AND($N130-'Outil Cibles'!D$7&lt;=60,$N130-'Outil Cibles'!D$7&gt;=0), O$3, 0)</f>
        <v>1043.1637008618798</v>
      </c>
      <c r="P130">
        <f>IF(AND($N130-'Outil Cibles'!E$7&lt;=60,$N130-'Outil Cibles'!E$7&gt;=0), P$3, 0)</f>
        <v>2770.0820951112937</v>
      </c>
      <c r="Q130">
        <f>IF(AND($N130-'Outil Cibles'!F$7&lt;=60,$N130-'Outil Cibles'!F$7&gt;=0), Q$3, 0)</f>
        <v>1909.1625886556317</v>
      </c>
      <c r="R130">
        <f>IF(AND($N130-'Outil Cibles'!G$7&lt;=60,$N130-'Outil Cibles'!G$7&gt;=0), R$3, 0)</f>
        <v>1257.004461978674</v>
      </c>
      <c r="S130">
        <f>IF(AND($N130-'Outil Cibles'!H$7&lt;=60,$N130-'Outil Cibles'!H$7&gt;=0), S$3, 0)</f>
        <v>986.56148916388076</v>
      </c>
      <c r="T130">
        <f>IF(AND($N130-'Outil Cibles'!I$7&lt;=60,$N130-'Outil Cibles'!I$7&gt;=0), T$3, 0)</f>
        <v>830.62515767806633</v>
      </c>
      <c r="U130">
        <f>IF(AND($N130-'Outil Cibles'!J$7&lt;=60,$N130-'Outil Cibles'!J$7&gt;=0), U$3, 0)</f>
        <v>680.92130837794082</v>
      </c>
      <c r="V130">
        <f>IF(AND($N130-'Outil Cibles'!K$7&lt;=60,$N130-'Outil Cibles'!K$7&gt;=0), V$3, 0)</f>
        <v>520.02611366210544</v>
      </c>
      <c r="W130">
        <f>IF(AND($N130-'Outil Cibles'!L$7&lt;=60,$N130-'Outil Cibles'!L$7&gt;=0), W$3, 0)</f>
        <v>199.49441755440617</v>
      </c>
      <c r="X130">
        <f>IF(AND($N130-'Outil Cibles'!M$7&lt;=60,$N130-'Outil Cibles'!M$7&gt;=0), X$3, 0)</f>
        <v>99.128163673392294</v>
      </c>
    </row>
    <row r="131" spans="14:24" x14ac:dyDescent="0.3">
      <c r="N131">
        <v>2065</v>
      </c>
      <c r="O131">
        <f>IF(AND($N131-'Outil Cibles'!D$7&lt;=60,$N131-'Outil Cibles'!D$7&gt;=0), O$3, 0)</f>
        <v>1043.1637008618798</v>
      </c>
      <c r="P131">
        <f>IF(AND($N131-'Outil Cibles'!E$7&lt;=60,$N131-'Outil Cibles'!E$7&gt;=0), P$3, 0)</f>
        <v>2770.0820951112937</v>
      </c>
      <c r="Q131">
        <f>IF(AND($N131-'Outil Cibles'!F$7&lt;=60,$N131-'Outil Cibles'!F$7&gt;=0), Q$3, 0)</f>
        <v>1909.1625886556317</v>
      </c>
      <c r="R131">
        <f>IF(AND($N131-'Outil Cibles'!G$7&lt;=60,$N131-'Outil Cibles'!G$7&gt;=0), R$3, 0)</f>
        <v>1257.004461978674</v>
      </c>
      <c r="S131">
        <f>IF(AND($N131-'Outil Cibles'!H$7&lt;=60,$N131-'Outil Cibles'!H$7&gt;=0), S$3, 0)</f>
        <v>986.56148916388076</v>
      </c>
      <c r="T131">
        <f>IF(AND($N131-'Outil Cibles'!I$7&lt;=60,$N131-'Outil Cibles'!I$7&gt;=0), T$3, 0)</f>
        <v>830.62515767806633</v>
      </c>
      <c r="U131">
        <f>IF(AND($N131-'Outil Cibles'!J$7&lt;=60,$N131-'Outil Cibles'!J$7&gt;=0), U$3, 0)</f>
        <v>680.92130837794082</v>
      </c>
      <c r="V131">
        <f>IF(AND($N131-'Outil Cibles'!K$7&lt;=60,$N131-'Outil Cibles'!K$7&gt;=0), V$3, 0)</f>
        <v>520.02611366210544</v>
      </c>
      <c r="W131">
        <f>IF(AND($N131-'Outil Cibles'!L$7&lt;=60,$N131-'Outil Cibles'!L$7&gt;=0), W$3, 0)</f>
        <v>199.49441755440617</v>
      </c>
      <c r="X131">
        <f>IF(AND($N131-'Outil Cibles'!M$7&lt;=60,$N131-'Outil Cibles'!M$7&gt;=0), X$3, 0)</f>
        <v>99.128163673392294</v>
      </c>
    </row>
    <row r="132" spans="14:24" x14ac:dyDescent="0.3">
      <c r="N132">
        <v>2066</v>
      </c>
      <c r="O132">
        <f>IF(AND($N132-'Outil Cibles'!D$7&lt;=60,$N132-'Outil Cibles'!D$7&gt;=0), O$3, 0)</f>
        <v>1043.1637008618798</v>
      </c>
      <c r="P132">
        <f>IF(AND($N132-'Outil Cibles'!E$7&lt;=60,$N132-'Outil Cibles'!E$7&gt;=0), P$3, 0)</f>
        <v>2770.0820951112937</v>
      </c>
      <c r="Q132">
        <f>IF(AND($N132-'Outil Cibles'!F$7&lt;=60,$N132-'Outil Cibles'!F$7&gt;=0), Q$3, 0)</f>
        <v>1909.1625886556317</v>
      </c>
      <c r="R132">
        <f>IF(AND($N132-'Outil Cibles'!G$7&lt;=60,$N132-'Outil Cibles'!G$7&gt;=0), R$3, 0)</f>
        <v>1257.004461978674</v>
      </c>
      <c r="S132">
        <f>IF(AND($N132-'Outil Cibles'!H$7&lt;=60,$N132-'Outil Cibles'!H$7&gt;=0), S$3, 0)</f>
        <v>986.56148916388076</v>
      </c>
      <c r="T132">
        <f>IF(AND($N132-'Outil Cibles'!I$7&lt;=60,$N132-'Outil Cibles'!I$7&gt;=0), T$3, 0)</f>
        <v>830.62515767806633</v>
      </c>
      <c r="U132">
        <f>IF(AND($N132-'Outil Cibles'!J$7&lt;=60,$N132-'Outil Cibles'!J$7&gt;=0), U$3, 0)</f>
        <v>680.92130837794082</v>
      </c>
      <c r="V132">
        <f>IF(AND($N132-'Outil Cibles'!K$7&lt;=60,$N132-'Outil Cibles'!K$7&gt;=0), V$3, 0)</f>
        <v>520.02611366210544</v>
      </c>
      <c r="W132">
        <f>IF(AND($N132-'Outil Cibles'!L$7&lt;=60,$N132-'Outil Cibles'!L$7&gt;=0), W$3, 0)</f>
        <v>199.49441755440617</v>
      </c>
      <c r="X132">
        <f>IF(AND($N132-'Outil Cibles'!M$7&lt;=60,$N132-'Outil Cibles'!M$7&gt;=0), X$3, 0)</f>
        <v>99.128163673392294</v>
      </c>
    </row>
    <row r="133" spans="14:24" x14ac:dyDescent="0.3">
      <c r="N133">
        <v>2067</v>
      </c>
      <c r="O133">
        <f>IF(AND($N133-'Outil Cibles'!D$7&lt;=60,$N133-'Outil Cibles'!D$7&gt;=0), O$3, 0)</f>
        <v>1043.1637008618798</v>
      </c>
      <c r="P133">
        <f>IF(AND($N133-'Outil Cibles'!E$7&lt;=60,$N133-'Outil Cibles'!E$7&gt;=0), P$3, 0)</f>
        <v>2770.0820951112937</v>
      </c>
      <c r="Q133">
        <f>IF(AND($N133-'Outil Cibles'!F$7&lt;=60,$N133-'Outil Cibles'!F$7&gt;=0), Q$3, 0)</f>
        <v>1909.1625886556317</v>
      </c>
      <c r="R133">
        <f>IF(AND($N133-'Outil Cibles'!G$7&lt;=60,$N133-'Outil Cibles'!G$7&gt;=0), R$3, 0)</f>
        <v>1257.004461978674</v>
      </c>
      <c r="S133">
        <f>IF(AND($N133-'Outil Cibles'!H$7&lt;=60,$N133-'Outil Cibles'!H$7&gt;=0), S$3, 0)</f>
        <v>986.56148916388076</v>
      </c>
      <c r="T133">
        <f>IF(AND($N133-'Outil Cibles'!I$7&lt;=60,$N133-'Outil Cibles'!I$7&gt;=0), T$3, 0)</f>
        <v>830.62515767806633</v>
      </c>
      <c r="U133">
        <f>IF(AND($N133-'Outil Cibles'!J$7&lt;=60,$N133-'Outil Cibles'!J$7&gt;=0), U$3, 0)</f>
        <v>680.92130837794082</v>
      </c>
      <c r="V133">
        <f>IF(AND($N133-'Outil Cibles'!K$7&lt;=60,$N133-'Outil Cibles'!K$7&gt;=0), V$3, 0)</f>
        <v>520.02611366210544</v>
      </c>
      <c r="W133">
        <f>IF(AND($N133-'Outil Cibles'!L$7&lt;=60,$N133-'Outil Cibles'!L$7&gt;=0), W$3, 0)</f>
        <v>199.49441755440617</v>
      </c>
      <c r="X133">
        <f>IF(AND($N133-'Outil Cibles'!M$7&lt;=60,$N133-'Outil Cibles'!M$7&gt;=0), X$3, 0)</f>
        <v>99.128163673392294</v>
      </c>
    </row>
    <row r="134" spans="14:24" x14ac:dyDescent="0.3">
      <c r="N134" s="10">
        <v>2068</v>
      </c>
      <c r="O134">
        <f>IF(AND($N134-'Outil Cibles'!D$7&lt;=60,$N134-'Outil Cibles'!D$7&gt;=0), O$3, 0)</f>
        <v>1043.1637008618798</v>
      </c>
      <c r="P134">
        <f>IF(AND($N134-'Outil Cibles'!E$7&lt;=60,$N134-'Outil Cibles'!E$7&gt;=0), P$3, 0)</f>
        <v>2770.0820951112937</v>
      </c>
      <c r="Q134">
        <f>IF(AND($N134-'Outil Cibles'!F$7&lt;=60,$N134-'Outil Cibles'!F$7&gt;=0), Q$3, 0)</f>
        <v>1909.1625886556317</v>
      </c>
      <c r="R134">
        <f>IF(AND($N134-'Outil Cibles'!G$7&lt;=60,$N134-'Outil Cibles'!G$7&gt;=0), R$3, 0)</f>
        <v>1257.004461978674</v>
      </c>
      <c r="S134">
        <f>IF(AND($N134-'Outil Cibles'!H$7&lt;=60,$N134-'Outil Cibles'!H$7&gt;=0), S$3, 0)</f>
        <v>986.56148916388076</v>
      </c>
      <c r="T134">
        <f>IF(AND($N134-'Outil Cibles'!I$7&lt;=60,$N134-'Outil Cibles'!I$7&gt;=0), T$3, 0)</f>
        <v>830.62515767806633</v>
      </c>
      <c r="U134">
        <f>IF(AND($N134-'Outil Cibles'!J$7&lt;=60,$N134-'Outil Cibles'!J$7&gt;=0), U$3, 0)</f>
        <v>680.92130837794082</v>
      </c>
      <c r="V134">
        <f>IF(AND($N134-'Outil Cibles'!K$7&lt;=60,$N134-'Outil Cibles'!K$7&gt;=0), V$3, 0)</f>
        <v>520.02611366210544</v>
      </c>
      <c r="W134">
        <f>IF(AND($N134-'Outil Cibles'!L$7&lt;=60,$N134-'Outil Cibles'!L$7&gt;=0), W$3, 0)</f>
        <v>199.49441755440617</v>
      </c>
      <c r="X134">
        <f>IF(AND($N134-'Outil Cibles'!M$7&lt;=60,$N134-'Outil Cibles'!M$7&gt;=0), X$3, 0)</f>
        <v>99.128163673392294</v>
      </c>
    </row>
    <row r="135" spans="14:24" x14ac:dyDescent="0.3">
      <c r="N135" s="10">
        <v>2069</v>
      </c>
      <c r="O135">
        <f>IF(AND($N135-'Outil Cibles'!D$7&lt;=60,$N135-'Outil Cibles'!D$7&gt;=0), O$3, 0)</f>
        <v>1043.1637008618798</v>
      </c>
      <c r="P135">
        <f>IF(AND($N135-'Outil Cibles'!E$7&lt;=60,$N135-'Outil Cibles'!E$7&gt;=0), P$3, 0)</f>
        <v>2770.0820951112937</v>
      </c>
      <c r="Q135">
        <f>IF(AND($N135-'Outil Cibles'!F$7&lt;=60,$N135-'Outil Cibles'!F$7&gt;=0), Q$3, 0)</f>
        <v>1909.1625886556317</v>
      </c>
      <c r="R135">
        <f>IF(AND($N135-'Outil Cibles'!G$7&lt;=60,$N135-'Outil Cibles'!G$7&gt;=0), R$3, 0)</f>
        <v>1257.004461978674</v>
      </c>
      <c r="S135">
        <f>IF(AND($N135-'Outil Cibles'!H$7&lt;=60,$N135-'Outil Cibles'!H$7&gt;=0), S$3, 0)</f>
        <v>986.56148916388076</v>
      </c>
      <c r="T135">
        <f>IF(AND($N135-'Outil Cibles'!I$7&lt;=60,$N135-'Outil Cibles'!I$7&gt;=0), T$3, 0)</f>
        <v>830.62515767806633</v>
      </c>
      <c r="U135">
        <f>IF(AND($N135-'Outil Cibles'!J$7&lt;=60,$N135-'Outil Cibles'!J$7&gt;=0), U$3, 0)</f>
        <v>680.92130837794082</v>
      </c>
      <c r="V135">
        <f>IF(AND($N135-'Outil Cibles'!K$7&lt;=60,$N135-'Outil Cibles'!K$7&gt;=0), V$3, 0)</f>
        <v>520.02611366210544</v>
      </c>
      <c r="W135">
        <f>IF(AND($N135-'Outil Cibles'!L$7&lt;=60,$N135-'Outil Cibles'!L$7&gt;=0), W$3, 0)</f>
        <v>199.49441755440617</v>
      </c>
      <c r="X135">
        <f>IF(AND($N135-'Outil Cibles'!M$7&lt;=60,$N135-'Outil Cibles'!M$7&gt;=0), X$3, 0)</f>
        <v>99.128163673392294</v>
      </c>
    </row>
    <row r="136" spans="14:24" x14ac:dyDescent="0.3">
      <c r="N136">
        <v>2070</v>
      </c>
      <c r="O136">
        <f>IF(AND($N136-'Outil Cibles'!D$7&lt;=60,$N136-'Outil Cibles'!D$7&gt;=0), O$3, 0)</f>
        <v>1043.1637008618798</v>
      </c>
      <c r="P136">
        <f>IF(AND($N136-'Outil Cibles'!E$7&lt;=60,$N136-'Outil Cibles'!E$7&gt;=0), P$3, 0)</f>
        <v>2770.0820951112937</v>
      </c>
      <c r="Q136">
        <f>IF(AND($N136-'Outil Cibles'!F$7&lt;=60,$N136-'Outil Cibles'!F$7&gt;=0), Q$3, 0)</f>
        <v>1909.1625886556317</v>
      </c>
      <c r="R136">
        <f>IF(AND($N136-'Outil Cibles'!G$7&lt;=60,$N136-'Outil Cibles'!G$7&gt;=0), R$3, 0)</f>
        <v>1257.004461978674</v>
      </c>
      <c r="S136">
        <f>IF(AND($N136-'Outil Cibles'!H$7&lt;=60,$N136-'Outil Cibles'!H$7&gt;=0), S$3, 0)</f>
        <v>986.56148916388076</v>
      </c>
      <c r="T136">
        <f>IF(AND($N136-'Outil Cibles'!I$7&lt;=60,$N136-'Outil Cibles'!I$7&gt;=0), T$3, 0)</f>
        <v>830.62515767806633</v>
      </c>
      <c r="U136">
        <f>IF(AND($N136-'Outil Cibles'!J$7&lt;=60,$N136-'Outil Cibles'!J$7&gt;=0), U$3, 0)</f>
        <v>680.92130837794082</v>
      </c>
      <c r="V136">
        <f>IF(AND($N136-'Outil Cibles'!K$7&lt;=60,$N136-'Outil Cibles'!K$7&gt;=0), V$3, 0)</f>
        <v>520.02611366210544</v>
      </c>
      <c r="W136">
        <f>IF(AND($N136-'Outil Cibles'!L$7&lt;=60,$N136-'Outil Cibles'!L$7&gt;=0), W$3, 0)</f>
        <v>199.49441755440617</v>
      </c>
      <c r="X136">
        <f>IF(AND($N136-'Outil Cibles'!M$7&lt;=60,$N136-'Outil Cibles'!M$7&gt;=0), X$3, 0)</f>
        <v>99.128163673392294</v>
      </c>
    </row>
    <row r="137" spans="14:24" x14ac:dyDescent="0.3">
      <c r="N137">
        <v>2071</v>
      </c>
      <c r="O137">
        <f>IF(AND($N137-'Outil Cibles'!D$7&lt;=60,$N137-'Outil Cibles'!D$7&gt;=0), O$3, 0)</f>
        <v>1043.1637008618798</v>
      </c>
      <c r="P137">
        <f>IF(AND($N137-'Outil Cibles'!E$7&lt;=60,$N137-'Outil Cibles'!E$7&gt;=0), P$3, 0)</f>
        <v>2770.0820951112937</v>
      </c>
      <c r="Q137">
        <f>IF(AND($N137-'Outil Cibles'!F$7&lt;=60,$N137-'Outil Cibles'!F$7&gt;=0), Q$3, 0)</f>
        <v>1909.1625886556317</v>
      </c>
      <c r="R137">
        <f>IF(AND($N137-'Outil Cibles'!G$7&lt;=60,$N137-'Outil Cibles'!G$7&gt;=0), R$3, 0)</f>
        <v>1257.004461978674</v>
      </c>
      <c r="S137">
        <f>IF(AND($N137-'Outil Cibles'!H$7&lt;=60,$N137-'Outil Cibles'!H$7&gt;=0), S$3, 0)</f>
        <v>986.56148916388076</v>
      </c>
      <c r="T137">
        <f>IF(AND($N137-'Outil Cibles'!I$7&lt;=60,$N137-'Outil Cibles'!I$7&gt;=0), T$3, 0)</f>
        <v>830.62515767806633</v>
      </c>
      <c r="U137">
        <f>IF(AND($N137-'Outil Cibles'!J$7&lt;=60,$N137-'Outil Cibles'!J$7&gt;=0), U$3, 0)</f>
        <v>680.92130837794082</v>
      </c>
      <c r="V137">
        <f>IF(AND($N137-'Outil Cibles'!K$7&lt;=60,$N137-'Outil Cibles'!K$7&gt;=0), V$3, 0)</f>
        <v>520.02611366210544</v>
      </c>
      <c r="W137">
        <f>IF(AND($N137-'Outil Cibles'!L$7&lt;=60,$N137-'Outil Cibles'!L$7&gt;=0), W$3, 0)</f>
        <v>199.49441755440617</v>
      </c>
      <c r="X137">
        <f>IF(AND($N137-'Outil Cibles'!M$7&lt;=60,$N137-'Outil Cibles'!M$7&gt;=0), X$3, 0)</f>
        <v>99.128163673392294</v>
      </c>
    </row>
    <row r="138" spans="14:24" x14ac:dyDescent="0.3">
      <c r="N138">
        <v>2072</v>
      </c>
      <c r="O138">
        <f>IF(AND($N138-'Outil Cibles'!D$7&lt;=60,$N138-'Outil Cibles'!D$7&gt;=0), O$3, 0)</f>
        <v>1043.1637008618798</v>
      </c>
      <c r="P138">
        <f>IF(AND($N138-'Outil Cibles'!E$7&lt;=60,$N138-'Outil Cibles'!E$7&gt;=0), P$3, 0)</f>
        <v>2770.0820951112937</v>
      </c>
      <c r="Q138">
        <f>IF(AND($N138-'Outil Cibles'!F$7&lt;=60,$N138-'Outil Cibles'!F$7&gt;=0), Q$3, 0)</f>
        <v>1909.1625886556317</v>
      </c>
      <c r="R138">
        <f>IF(AND($N138-'Outil Cibles'!G$7&lt;=60,$N138-'Outil Cibles'!G$7&gt;=0), R$3, 0)</f>
        <v>1257.004461978674</v>
      </c>
      <c r="S138">
        <f>IF(AND($N138-'Outil Cibles'!H$7&lt;=60,$N138-'Outil Cibles'!H$7&gt;=0), S$3, 0)</f>
        <v>986.56148916388076</v>
      </c>
      <c r="T138">
        <f>IF(AND($N138-'Outil Cibles'!I$7&lt;=60,$N138-'Outil Cibles'!I$7&gt;=0), T$3, 0)</f>
        <v>830.62515767806633</v>
      </c>
      <c r="U138">
        <f>IF(AND($N138-'Outil Cibles'!J$7&lt;=60,$N138-'Outil Cibles'!J$7&gt;=0), U$3, 0)</f>
        <v>680.92130837794082</v>
      </c>
      <c r="V138">
        <f>IF(AND($N138-'Outil Cibles'!K$7&lt;=60,$N138-'Outil Cibles'!K$7&gt;=0), V$3, 0)</f>
        <v>520.02611366210544</v>
      </c>
      <c r="W138">
        <f>IF(AND($N138-'Outil Cibles'!L$7&lt;=60,$N138-'Outil Cibles'!L$7&gt;=0), W$3, 0)</f>
        <v>199.49441755440617</v>
      </c>
      <c r="X138">
        <f>IF(AND($N138-'Outil Cibles'!M$7&lt;=60,$N138-'Outil Cibles'!M$7&gt;=0), X$3, 0)</f>
        <v>99.128163673392294</v>
      </c>
    </row>
    <row r="139" spans="14:24" x14ac:dyDescent="0.3">
      <c r="N139">
        <v>2073</v>
      </c>
      <c r="O139">
        <f>IF(AND($N139-'Outil Cibles'!D$7&lt;=60,$N139-'Outil Cibles'!D$7&gt;=0), O$3, 0)</f>
        <v>1043.1637008618798</v>
      </c>
      <c r="P139">
        <f>IF(AND($N139-'Outil Cibles'!E$7&lt;=60,$N139-'Outil Cibles'!E$7&gt;=0), P$3, 0)</f>
        <v>2770.0820951112937</v>
      </c>
      <c r="Q139">
        <f>IF(AND($N139-'Outil Cibles'!F$7&lt;=60,$N139-'Outil Cibles'!F$7&gt;=0), Q$3, 0)</f>
        <v>1909.1625886556317</v>
      </c>
      <c r="R139">
        <f>IF(AND($N139-'Outil Cibles'!G$7&lt;=60,$N139-'Outil Cibles'!G$7&gt;=0), R$3, 0)</f>
        <v>1257.004461978674</v>
      </c>
      <c r="S139">
        <f>IF(AND($N139-'Outil Cibles'!H$7&lt;=60,$N139-'Outil Cibles'!H$7&gt;=0), S$3, 0)</f>
        <v>986.56148916388076</v>
      </c>
      <c r="T139">
        <f>IF(AND($N139-'Outil Cibles'!I$7&lt;=60,$N139-'Outil Cibles'!I$7&gt;=0), T$3, 0)</f>
        <v>830.62515767806633</v>
      </c>
      <c r="U139">
        <f>IF(AND($N139-'Outil Cibles'!J$7&lt;=60,$N139-'Outil Cibles'!J$7&gt;=0), U$3, 0)</f>
        <v>680.92130837794082</v>
      </c>
      <c r="V139">
        <f>IF(AND($N139-'Outil Cibles'!K$7&lt;=60,$N139-'Outil Cibles'!K$7&gt;=0), V$3, 0)</f>
        <v>520.02611366210544</v>
      </c>
      <c r="W139">
        <f>IF(AND($N139-'Outil Cibles'!L$7&lt;=60,$N139-'Outil Cibles'!L$7&gt;=0), W$3, 0)</f>
        <v>199.49441755440617</v>
      </c>
      <c r="X139">
        <f>IF(AND($N139-'Outil Cibles'!M$7&lt;=60,$N139-'Outil Cibles'!M$7&gt;=0), X$3, 0)</f>
        <v>99.128163673392294</v>
      </c>
    </row>
    <row r="140" spans="14:24" x14ac:dyDescent="0.3">
      <c r="N140" s="10">
        <v>2074</v>
      </c>
      <c r="O140">
        <f>IF(AND($N140-'Outil Cibles'!D$7&lt;=60,$N140-'Outil Cibles'!D$7&gt;=0), O$3, 0)</f>
        <v>1043.1637008618798</v>
      </c>
      <c r="P140">
        <f>IF(AND($N140-'Outil Cibles'!E$7&lt;=60,$N140-'Outil Cibles'!E$7&gt;=0), P$3, 0)</f>
        <v>2770.0820951112937</v>
      </c>
      <c r="Q140">
        <f>IF(AND($N140-'Outil Cibles'!F$7&lt;=60,$N140-'Outil Cibles'!F$7&gt;=0), Q$3, 0)</f>
        <v>1909.1625886556317</v>
      </c>
      <c r="R140">
        <f>IF(AND($N140-'Outil Cibles'!G$7&lt;=60,$N140-'Outil Cibles'!G$7&gt;=0), R$3, 0)</f>
        <v>1257.004461978674</v>
      </c>
      <c r="S140">
        <f>IF(AND($N140-'Outil Cibles'!H$7&lt;=60,$N140-'Outil Cibles'!H$7&gt;=0), S$3, 0)</f>
        <v>986.56148916388076</v>
      </c>
      <c r="T140">
        <f>IF(AND($N140-'Outil Cibles'!I$7&lt;=60,$N140-'Outil Cibles'!I$7&gt;=0), T$3, 0)</f>
        <v>830.62515767806633</v>
      </c>
      <c r="U140">
        <f>IF(AND($N140-'Outil Cibles'!J$7&lt;=60,$N140-'Outil Cibles'!J$7&gt;=0), U$3, 0)</f>
        <v>680.92130837794082</v>
      </c>
      <c r="V140">
        <f>IF(AND($N140-'Outil Cibles'!K$7&lt;=60,$N140-'Outil Cibles'!K$7&gt;=0), V$3, 0)</f>
        <v>520.02611366210544</v>
      </c>
      <c r="W140">
        <f>IF(AND($N140-'Outil Cibles'!L$7&lt;=60,$N140-'Outil Cibles'!L$7&gt;=0), W$3, 0)</f>
        <v>199.49441755440617</v>
      </c>
      <c r="X140">
        <f>IF(AND($N140-'Outil Cibles'!M$7&lt;=60,$N140-'Outil Cibles'!M$7&gt;=0), X$3, 0)</f>
        <v>99.128163673392294</v>
      </c>
    </row>
    <row r="141" spans="14:24" x14ac:dyDescent="0.3">
      <c r="N141" s="10">
        <v>2075</v>
      </c>
      <c r="O141">
        <f>IF(AND($N141-'Outil Cibles'!D$7&lt;=60,$N141-'Outil Cibles'!D$7&gt;=0), O$3, 0)</f>
        <v>1043.1637008618798</v>
      </c>
      <c r="P141">
        <f>IF(AND($N141-'Outil Cibles'!E$7&lt;=60,$N141-'Outil Cibles'!E$7&gt;=0), P$3, 0)</f>
        <v>2770.0820951112937</v>
      </c>
      <c r="Q141">
        <f>IF(AND($N141-'Outil Cibles'!F$7&lt;=60,$N141-'Outil Cibles'!F$7&gt;=0), Q$3, 0)</f>
        <v>1909.1625886556317</v>
      </c>
      <c r="R141">
        <f>IF(AND($N141-'Outil Cibles'!G$7&lt;=60,$N141-'Outil Cibles'!G$7&gt;=0), R$3, 0)</f>
        <v>1257.004461978674</v>
      </c>
      <c r="S141">
        <f>IF(AND($N141-'Outil Cibles'!H$7&lt;=60,$N141-'Outil Cibles'!H$7&gt;=0), S$3, 0)</f>
        <v>986.56148916388076</v>
      </c>
      <c r="T141">
        <f>IF(AND($N141-'Outil Cibles'!I$7&lt;=60,$N141-'Outil Cibles'!I$7&gt;=0), T$3, 0)</f>
        <v>830.62515767806633</v>
      </c>
      <c r="U141">
        <f>IF(AND($N141-'Outil Cibles'!J$7&lt;=60,$N141-'Outil Cibles'!J$7&gt;=0), U$3, 0)</f>
        <v>680.92130837794082</v>
      </c>
      <c r="V141">
        <f>IF(AND($N141-'Outil Cibles'!K$7&lt;=60,$N141-'Outil Cibles'!K$7&gt;=0), V$3, 0)</f>
        <v>520.02611366210544</v>
      </c>
      <c r="W141">
        <f>IF(AND($N141-'Outil Cibles'!L$7&lt;=60,$N141-'Outil Cibles'!L$7&gt;=0), W$3, 0)</f>
        <v>199.49441755440617</v>
      </c>
      <c r="X141">
        <f>IF(AND($N141-'Outil Cibles'!M$7&lt;=60,$N141-'Outil Cibles'!M$7&gt;=0), X$3, 0)</f>
        <v>99.128163673392294</v>
      </c>
    </row>
    <row r="142" spans="14:24" x14ac:dyDescent="0.3">
      <c r="N142">
        <v>2076</v>
      </c>
      <c r="O142">
        <f>IF(AND($N142-'Outil Cibles'!D$7&lt;=60,$N142-'Outil Cibles'!D$7&gt;=0), O$3, 0)</f>
        <v>1043.1637008618798</v>
      </c>
      <c r="P142">
        <f>IF(AND($N142-'Outil Cibles'!E$7&lt;=60,$N142-'Outil Cibles'!E$7&gt;=0), P$3, 0)</f>
        <v>2770.0820951112937</v>
      </c>
      <c r="Q142">
        <f>IF(AND($N142-'Outil Cibles'!F$7&lt;=60,$N142-'Outil Cibles'!F$7&gt;=0), Q$3, 0)</f>
        <v>1909.1625886556317</v>
      </c>
      <c r="R142">
        <f>IF(AND($N142-'Outil Cibles'!G$7&lt;=60,$N142-'Outil Cibles'!G$7&gt;=0), R$3, 0)</f>
        <v>1257.004461978674</v>
      </c>
      <c r="S142">
        <f>IF(AND($N142-'Outil Cibles'!H$7&lt;=60,$N142-'Outil Cibles'!H$7&gt;=0), S$3, 0)</f>
        <v>986.56148916388076</v>
      </c>
      <c r="T142">
        <f>IF(AND($N142-'Outil Cibles'!I$7&lt;=60,$N142-'Outil Cibles'!I$7&gt;=0), T$3, 0)</f>
        <v>830.62515767806633</v>
      </c>
      <c r="U142">
        <f>IF(AND($N142-'Outil Cibles'!J$7&lt;=60,$N142-'Outil Cibles'!J$7&gt;=0), U$3, 0)</f>
        <v>680.92130837794082</v>
      </c>
      <c r="V142">
        <f>IF(AND($N142-'Outil Cibles'!K$7&lt;=60,$N142-'Outil Cibles'!K$7&gt;=0), V$3, 0)</f>
        <v>520.02611366210544</v>
      </c>
      <c r="W142">
        <f>IF(AND($N142-'Outil Cibles'!L$7&lt;=60,$N142-'Outil Cibles'!L$7&gt;=0), W$3, 0)</f>
        <v>199.49441755440617</v>
      </c>
      <c r="X142">
        <f>IF(AND($N142-'Outil Cibles'!M$7&lt;=60,$N142-'Outil Cibles'!M$7&gt;=0), X$3, 0)</f>
        <v>99.128163673392294</v>
      </c>
    </row>
    <row r="143" spans="14:24" x14ac:dyDescent="0.3">
      <c r="N143">
        <v>2077</v>
      </c>
      <c r="O143">
        <f>IF(AND($N143-'Outil Cibles'!D$7&lt;=60,$N143-'Outil Cibles'!D$7&gt;=0), O$3, 0)</f>
        <v>1043.1637008618798</v>
      </c>
      <c r="P143">
        <f>IF(AND($N143-'Outil Cibles'!E$7&lt;=60,$N143-'Outil Cibles'!E$7&gt;=0), P$3, 0)</f>
        <v>2770.0820951112937</v>
      </c>
      <c r="Q143">
        <f>IF(AND($N143-'Outil Cibles'!F$7&lt;=60,$N143-'Outil Cibles'!F$7&gt;=0), Q$3, 0)</f>
        <v>1909.1625886556317</v>
      </c>
      <c r="R143">
        <f>IF(AND($N143-'Outil Cibles'!G$7&lt;=60,$N143-'Outil Cibles'!G$7&gt;=0), R$3, 0)</f>
        <v>1257.004461978674</v>
      </c>
      <c r="S143">
        <f>IF(AND($N143-'Outil Cibles'!H$7&lt;=60,$N143-'Outil Cibles'!H$7&gt;=0), S$3, 0)</f>
        <v>986.56148916388076</v>
      </c>
      <c r="T143">
        <f>IF(AND($N143-'Outil Cibles'!I$7&lt;=60,$N143-'Outil Cibles'!I$7&gt;=0), T$3, 0)</f>
        <v>830.62515767806633</v>
      </c>
      <c r="U143">
        <f>IF(AND($N143-'Outil Cibles'!J$7&lt;=60,$N143-'Outil Cibles'!J$7&gt;=0), U$3, 0)</f>
        <v>680.92130837794082</v>
      </c>
      <c r="V143">
        <f>IF(AND($N143-'Outil Cibles'!K$7&lt;=60,$N143-'Outil Cibles'!K$7&gt;=0), V$3, 0)</f>
        <v>520.02611366210544</v>
      </c>
      <c r="W143">
        <f>IF(AND($N143-'Outil Cibles'!L$7&lt;=60,$N143-'Outil Cibles'!L$7&gt;=0), W$3, 0)</f>
        <v>199.49441755440617</v>
      </c>
      <c r="X143">
        <f>IF(AND($N143-'Outil Cibles'!M$7&lt;=60,$N143-'Outil Cibles'!M$7&gt;=0), X$3, 0)</f>
        <v>99.128163673392294</v>
      </c>
    </row>
    <row r="144" spans="14:24" x14ac:dyDescent="0.3">
      <c r="N144">
        <v>2078</v>
      </c>
      <c r="O144">
        <f>IF(AND($N144-'Outil Cibles'!D$7&lt;=60,$N144-'Outil Cibles'!D$7&gt;=0), O$3, 0)</f>
        <v>1043.1637008618798</v>
      </c>
      <c r="P144">
        <f>IF(AND($N144-'Outil Cibles'!E$7&lt;=60,$N144-'Outil Cibles'!E$7&gt;=0), P$3, 0)</f>
        <v>2770.0820951112937</v>
      </c>
      <c r="Q144">
        <f>IF(AND($N144-'Outil Cibles'!F$7&lt;=60,$N144-'Outil Cibles'!F$7&gt;=0), Q$3, 0)</f>
        <v>1909.1625886556317</v>
      </c>
      <c r="R144">
        <f>IF(AND($N144-'Outil Cibles'!G$7&lt;=60,$N144-'Outil Cibles'!G$7&gt;=0), R$3, 0)</f>
        <v>1257.004461978674</v>
      </c>
      <c r="S144">
        <f>IF(AND($N144-'Outil Cibles'!H$7&lt;=60,$N144-'Outil Cibles'!H$7&gt;=0), S$3, 0)</f>
        <v>986.56148916388076</v>
      </c>
      <c r="T144">
        <f>IF(AND($N144-'Outil Cibles'!I$7&lt;=60,$N144-'Outil Cibles'!I$7&gt;=0), T$3, 0)</f>
        <v>830.62515767806633</v>
      </c>
      <c r="U144">
        <f>IF(AND($N144-'Outil Cibles'!J$7&lt;=60,$N144-'Outil Cibles'!J$7&gt;=0), U$3, 0)</f>
        <v>680.92130837794082</v>
      </c>
      <c r="V144">
        <f>IF(AND($N144-'Outil Cibles'!K$7&lt;=60,$N144-'Outil Cibles'!K$7&gt;=0), V$3, 0)</f>
        <v>520.02611366210544</v>
      </c>
      <c r="W144">
        <f>IF(AND($N144-'Outil Cibles'!L$7&lt;=60,$N144-'Outil Cibles'!L$7&gt;=0), W$3, 0)</f>
        <v>199.49441755440617</v>
      </c>
      <c r="X144">
        <f>IF(AND($N144-'Outil Cibles'!M$7&lt;=60,$N144-'Outil Cibles'!M$7&gt;=0), X$3, 0)</f>
        <v>99.128163673392294</v>
      </c>
    </row>
    <row r="145" spans="14:24" x14ac:dyDescent="0.3">
      <c r="N145">
        <v>2079</v>
      </c>
      <c r="O145">
        <f>IF(AND($N145-'Outil Cibles'!D$7&lt;=60,$N145-'Outil Cibles'!D$7&gt;=0), O$3, 0)</f>
        <v>1043.1637008618798</v>
      </c>
      <c r="P145">
        <f>IF(AND($N145-'Outil Cibles'!E$7&lt;=60,$N145-'Outil Cibles'!E$7&gt;=0), P$3, 0)</f>
        <v>2770.0820951112937</v>
      </c>
      <c r="Q145">
        <f>IF(AND($N145-'Outil Cibles'!F$7&lt;=60,$N145-'Outil Cibles'!F$7&gt;=0), Q$3, 0)</f>
        <v>1909.1625886556317</v>
      </c>
      <c r="R145">
        <f>IF(AND($N145-'Outil Cibles'!G$7&lt;=60,$N145-'Outil Cibles'!G$7&gt;=0), R$3, 0)</f>
        <v>1257.004461978674</v>
      </c>
      <c r="S145">
        <f>IF(AND($N145-'Outil Cibles'!H$7&lt;=60,$N145-'Outil Cibles'!H$7&gt;=0), S$3, 0)</f>
        <v>986.56148916388076</v>
      </c>
      <c r="T145">
        <f>IF(AND($N145-'Outil Cibles'!I$7&lt;=60,$N145-'Outil Cibles'!I$7&gt;=0), T$3, 0)</f>
        <v>830.62515767806633</v>
      </c>
      <c r="U145">
        <f>IF(AND($N145-'Outil Cibles'!J$7&lt;=60,$N145-'Outil Cibles'!J$7&gt;=0), U$3, 0)</f>
        <v>680.92130837794082</v>
      </c>
      <c r="V145">
        <f>IF(AND($N145-'Outil Cibles'!K$7&lt;=60,$N145-'Outil Cibles'!K$7&gt;=0), V$3, 0)</f>
        <v>520.02611366210544</v>
      </c>
      <c r="W145">
        <f>IF(AND($N145-'Outil Cibles'!L$7&lt;=60,$N145-'Outil Cibles'!L$7&gt;=0), W$3, 0)</f>
        <v>199.49441755440617</v>
      </c>
      <c r="X145">
        <f>IF(AND($N145-'Outil Cibles'!M$7&lt;=60,$N145-'Outil Cibles'!M$7&gt;=0), X$3, 0)</f>
        <v>99.128163673392294</v>
      </c>
    </row>
    <row r="146" spans="14:24" x14ac:dyDescent="0.3">
      <c r="N146" s="10">
        <v>2080</v>
      </c>
      <c r="O146">
        <f>IF(AND($N146-'Outil Cibles'!D$7&lt;=60,$N146-'Outil Cibles'!D$7&gt;=0), O$3, 0)</f>
        <v>1043.1637008618798</v>
      </c>
      <c r="P146">
        <f>IF(AND($N146-'Outil Cibles'!E$7&lt;=60,$N146-'Outil Cibles'!E$7&gt;=0), P$3, 0)</f>
        <v>2770.0820951112937</v>
      </c>
      <c r="Q146">
        <f>IF(AND($N146-'Outil Cibles'!F$7&lt;=60,$N146-'Outil Cibles'!F$7&gt;=0), Q$3, 0)</f>
        <v>1909.1625886556317</v>
      </c>
      <c r="R146">
        <f>IF(AND($N146-'Outil Cibles'!G$7&lt;=60,$N146-'Outil Cibles'!G$7&gt;=0), R$3, 0)</f>
        <v>1257.004461978674</v>
      </c>
      <c r="S146">
        <f>IF(AND($N146-'Outil Cibles'!H$7&lt;=60,$N146-'Outil Cibles'!H$7&gt;=0), S$3, 0)</f>
        <v>986.56148916388076</v>
      </c>
      <c r="T146">
        <f>IF(AND($N146-'Outil Cibles'!I$7&lt;=60,$N146-'Outil Cibles'!I$7&gt;=0), T$3, 0)</f>
        <v>830.62515767806633</v>
      </c>
      <c r="U146">
        <f>IF(AND($N146-'Outil Cibles'!J$7&lt;=60,$N146-'Outil Cibles'!J$7&gt;=0), U$3, 0)</f>
        <v>680.92130837794082</v>
      </c>
      <c r="V146">
        <f>IF(AND($N146-'Outil Cibles'!K$7&lt;=60,$N146-'Outil Cibles'!K$7&gt;=0), V$3, 0)</f>
        <v>520.02611366210544</v>
      </c>
      <c r="W146">
        <f>IF(AND($N146-'Outil Cibles'!L$7&lt;=60,$N146-'Outil Cibles'!L$7&gt;=0), W$3, 0)</f>
        <v>199.49441755440617</v>
      </c>
      <c r="X146">
        <f>IF(AND($N146-'Outil Cibles'!M$7&lt;=60,$N146-'Outil Cibles'!M$7&gt;=0), X$3, 0)</f>
        <v>99.128163673392294</v>
      </c>
    </row>
    <row r="147" spans="14:24" x14ac:dyDescent="0.3">
      <c r="N147" s="10">
        <v>2081</v>
      </c>
      <c r="O147">
        <f>IF(AND($N147-'Outil Cibles'!D$7&lt;=60,$N147-'Outil Cibles'!D$7&gt;=0), O$3, 0)</f>
        <v>1043.1637008618798</v>
      </c>
      <c r="P147">
        <f>IF(AND($N147-'Outil Cibles'!E$7&lt;=60,$N147-'Outil Cibles'!E$7&gt;=0), P$3, 0)</f>
        <v>2770.0820951112937</v>
      </c>
      <c r="Q147">
        <f>IF(AND($N147-'Outil Cibles'!F$7&lt;=60,$N147-'Outil Cibles'!F$7&gt;=0), Q$3, 0)</f>
        <v>1909.1625886556317</v>
      </c>
      <c r="R147">
        <f>IF(AND($N147-'Outil Cibles'!G$7&lt;=60,$N147-'Outil Cibles'!G$7&gt;=0), R$3, 0)</f>
        <v>1257.004461978674</v>
      </c>
      <c r="S147">
        <f>IF(AND($N147-'Outil Cibles'!H$7&lt;=60,$N147-'Outil Cibles'!H$7&gt;=0), S$3, 0)</f>
        <v>986.56148916388076</v>
      </c>
      <c r="T147">
        <f>IF(AND($N147-'Outil Cibles'!I$7&lt;=60,$N147-'Outil Cibles'!I$7&gt;=0), T$3, 0)</f>
        <v>830.62515767806633</v>
      </c>
      <c r="U147">
        <f>IF(AND($N147-'Outil Cibles'!J$7&lt;=60,$N147-'Outil Cibles'!J$7&gt;=0), U$3, 0)</f>
        <v>680.92130837794082</v>
      </c>
      <c r="V147">
        <f>IF(AND($N147-'Outil Cibles'!K$7&lt;=60,$N147-'Outil Cibles'!K$7&gt;=0), V$3, 0)</f>
        <v>520.02611366210544</v>
      </c>
      <c r="W147">
        <f>IF(AND($N147-'Outil Cibles'!L$7&lt;=60,$N147-'Outil Cibles'!L$7&gt;=0), W$3, 0)</f>
        <v>199.49441755440617</v>
      </c>
      <c r="X147">
        <f>IF(AND($N147-'Outil Cibles'!M$7&lt;=60,$N147-'Outil Cibles'!M$7&gt;=0), X$3, 0)</f>
        <v>99.128163673392294</v>
      </c>
    </row>
    <row r="148" spans="14:24" x14ac:dyDescent="0.3">
      <c r="N148">
        <v>2082</v>
      </c>
      <c r="O148">
        <f>IF(AND($N148-'Outil Cibles'!D$7&lt;=60,$N148-'Outil Cibles'!D$7&gt;=0), O$3, 0)</f>
        <v>1043.1637008618798</v>
      </c>
      <c r="P148">
        <f>IF(AND($N148-'Outil Cibles'!E$7&lt;=60,$N148-'Outil Cibles'!E$7&gt;=0), P$3, 0)</f>
        <v>2770.0820951112937</v>
      </c>
      <c r="Q148">
        <f>IF(AND($N148-'Outil Cibles'!F$7&lt;=60,$N148-'Outil Cibles'!F$7&gt;=0), Q$3, 0)</f>
        <v>1909.1625886556317</v>
      </c>
      <c r="R148">
        <f>IF(AND($N148-'Outil Cibles'!G$7&lt;=60,$N148-'Outil Cibles'!G$7&gt;=0), R$3, 0)</f>
        <v>1257.004461978674</v>
      </c>
      <c r="S148">
        <f>IF(AND($N148-'Outil Cibles'!H$7&lt;=60,$N148-'Outil Cibles'!H$7&gt;=0), S$3, 0)</f>
        <v>986.56148916388076</v>
      </c>
      <c r="T148">
        <f>IF(AND($N148-'Outil Cibles'!I$7&lt;=60,$N148-'Outil Cibles'!I$7&gt;=0), T$3, 0)</f>
        <v>830.62515767806633</v>
      </c>
      <c r="U148">
        <f>IF(AND($N148-'Outil Cibles'!J$7&lt;=60,$N148-'Outil Cibles'!J$7&gt;=0), U$3, 0)</f>
        <v>680.92130837794082</v>
      </c>
      <c r="V148">
        <f>IF(AND($N148-'Outil Cibles'!K$7&lt;=60,$N148-'Outil Cibles'!K$7&gt;=0), V$3, 0)</f>
        <v>520.02611366210544</v>
      </c>
      <c r="W148">
        <f>IF(AND($N148-'Outil Cibles'!L$7&lt;=60,$N148-'Outil Cibles'!L$7&gt;=0), W$3, 0)</f>
        <v>199.49441755440617</v>
      </c>
      <c r="X148">
        <f>IF(AND($N148-'Outil Cibles'!M$7&lt;=60,$N148-'Outil Cibles'!M$7&gt;=0), X$3, 0)</f>
        <v>99.128163673392294</v>
      </c>
    </row>
    <row r="149" spans="14:24" x14ac:dyDescent="0.3">
      <c r="N149">
        <v>2083</v>
      </c>
      <c r="O149">
        <f>IF(AND($N149-'Outil Cibles'!D$7&lt;=60,$N149-'Outil Cibles'!D$7&gt;=0), O$3, 0)</f>
        <v>1043.1637008618798</v>
      </c>
      <c r="P149">
        <f>IF(AND($N149-'Outil Cibles'!E$7&lt;=60,$N149-'Outil Cibles'!E$7&gt;=0), P$3, 0)</f>
        <v>2770.0820951112937</v>
      </c>
      <c r="Q149">
        <f>IF(AND($N149-'Outil Cibles'!F$7&lt;=60,$N149-'Outil Cibles'!F$7&gt;=0), Q$3, 0)</f>
        <v>1909.1625886556317</v>
      </c>
      <c r="R149">
        <f>IF(AND($N149-'Outil Cibles'!G$7&lt;=60,$N149-'Outil Cibles'!G$7&gt;=0), R$3, 0)</f>
        <v>1257.004461978674</v>
      </c>
      <c r="S149">
        <f>IF(AND($N149-'Outil Cibles'!H$7&lt;=60,$N149-'Outil Cibles'!H$7&gt;=0), S$3, 0)</f>
        <v>986.56148916388076</v>
      </c>
      <c r="T149">
        <f>IF(AND($N149-'Outil Cibles'!I$7&lt;=60,$N149-'Outil Cibles'!I$7&gt;=0), T$3, 0)</f>
        <v>830.62515767806633</v>
      </c>
      <c r="U149">
        <f>IF(AND($N149-'Outil Cibles'!J$7&lt;=60,$N149-'Outil Cibles'!J$7&gt;=0), U$3, 0)</f>
        <v>680.92130837794082</v>
      </c>
      <c r="V149">
        <f>IF(AND($N149-'Outil Cibles'!K$7&lt;=60,$N149-'Outil Cibles'!K$7&gt;=0), V$3, 0)</f>
        <v>520.02611366210544</v>
      </c>
      <c r="W149">
        <f>IF(AND($N149-'Outil Cibles'!L$7&lt;=60,$N149-'Outil Cibles'!L$7&gt;=0), W$3, 0)</f>
        <v>199.49441755440617</v>
      </c>
      <c r="X149">
        <f>IF(AND($N149-'Outil Cibles'!M$7&lt;=60,$N149-'Outil Cibles'!M$7&gt;=0), X$3, 0)</f>
        <v>99.128163673392294</v>
      </c>
    </row>
    <row r="150" spans="14:24" x14ac:dyDescent="0.3">
      <c r="N150">
        <v>2084</v>
      </c>
      <c r="O150">
        <f>IF(AND($N150-'Outil Cibles'!D$7&lt;=60,$N150-'Outil Cibles'!D$7&gt;=0), O$3, 0)</f>
        <v>1043.1637008618798</v>
      </c>
      <c r="P150">
        <f>IF(AND($N150-'Outil Cibles'!E$7&lt;=60,$N150-'Outil Cibles'!E$7&gt;=0), P$3, 0)</f>
        <v>2770.0820951112937</v>
      </c>
      <c r="Q150">
        <f>IF(AND($N150-'Outil Cibles'!F$7&lt;=60,$N150-'Outil Cibles'!F$7&gt;=0), Q$3, 0)</f>
        <v>1909.1625886556317</v>
      </c>
      <c r="R150">
        <f>IF(AND($N150-'Outil Cibles'!G$7&lt;=60,$N150-'Outil Cibles'!G$7&gt;=0), R$3, 0)</f>
        <v>1257.004461978674</v>
      </c>
      <c r="S150">
        <f>IF(AND($N150-'Outil Cibles'!H$7&lt;=60,$N150-'Outil Cibles'!H$7&gt;=0), S$3, 0)</f>
        <v>986.56148916388076</v>
      </c>
      <c r="T150">
        <f>IF(AND($N150-'Outil Cibles'!I$7&lt;=60,$N150-'Outil Cibles'!I$7&gt;=0), T$3, 0)</f>
        <v>830.62515767806633</v>
      </c>
      <c r="U150">
        <f>IF(AND($N150-'Outil Cibles'!J$7&lt;=60,$N150-'Outil Cibles'!J$7&gt;=0), U$3, 0)</f>
        <v>680.92130837794082</v>
      </c>
      <c r="V150">
        <f>IF(AND($N150-'Outil Cibles'!K$7&lt;=60,$N150-'Outil Cibles'!K$7&gt;=0), V$3, 0)</f>
        <v>520.02611366210544</v>
      </c>
      <c r="W150">
        <f>IF(AND($N150-'Outil Cibles'!L$7&lt;=60,$N150-'Outil Cibles'!L$7&gt;=0), W$3, 0)</f>
        <v>199.49441755440617</v>
      </c>
      <c r="X150">
        <f>IF(AND($N150-'Outil Cibles'!M$7&lt;=60,$N150-'Outil Cibles'!M$7&gt;=0), X$3, 0)</f>
        <v>99.128163673392294</v>
      </c>
    </row>
    <row r="151" spans="14:24" x14ac:dyDescent="0.3">
      <c r="N151">
        <v>2085</v>
      </c>
      <c r="O151">
        <f>IF(AND($N151-'Outil Cibles'!D$7&lt;=60,$N151-'Outil Cibles'!D$7&gt;=0), O$3, 0)</f>
        <v>0</v>
      </c>
      <c r="P151">
        <f>IF(AND($N151-'Outil Cibles'!E$7&lt;=60,$N151-'Outil Cibles'!E$7&gt;=0), P$3, 0)</f>
        <v>2770.0820951112937</v>
      </c>
      <c r="Q151">
        <f>IF(AND($N151-'Outil Cibles'!F$7&lt;=60,$N151-'Outil Cibles'!F$7&gt;=0), Q$3, 0)</f>
        <v>1909.1625886556317</v>
      </c>
      <c r="R151">
        <f>IF(AND($N151-'Outil Cibles'!G$7&lt;=60,$N151-'Outil Cibles'!G$7&gt;=0), R$3, 0)</f>
        <v>1257.004461978674</v>
      </c>
      <c r="S151">
        <f>IF(AND($N151-'Outil Cibles'!H$7&lt;=60,$N151-'Outil Cibles'!H$7&gt;=0), S$3, 0)</f>
        <v>986.56148916388076</v>
      </c>
      <c r="T151">
        <f>IF(AND($N151-'Outil Cibles'!I$7&lt;=60,$N151-'Outil Cibles'!I$7&gt;=0), T$3, 0)</f>
        <v>830.62515767806633</v>
      </c>
      <c r="U151">
        <f>IF(AND($N151-'Outil Cibles'!J$7&lt;=60,$N151-'Outil Cibles'!J$7&gt;=0), U$3, 0)</f>
        <v>680.92130837794082</v>
      </c>
      <c r="V151">
        <f>IF(AND($N151-'Outil Cibles'!K$7&lt;=60,$N151-'Outil Cibles'!K$7&gt;=0), V$3, 0)</f>
        <v>520.02611366210544</v>
      </c>
      <c r="W151">
        <f>IF(AND($N151-'Outil Cibles'!L$7&lt;=60,$N151-'Outil Cibles'!L$7&gt;=0), W$3, 0)</f>
        <v>199.49441755440617</v>
      </c>
      <c r="X151">
        <f>IF(AND($N151-'Outil Cibles'!M$7&lt;=60,$N151-'Outil Cibles'!M$7&gt;=0), X$3, 0)</f>
        <v>99.128163673392294</v>
      </c>
    </row>
    <row r="152" spans="14:24" x14ac:dyDescent="0.3">
      <c r="N152" s="10">
        <v>2086</v>
      </c>
      <c r="O152">
        <f>IF(AND($N152-'Outil Cibles'!D$7&lt;=60,$N152-'Outil Cibles'!D$7&gt;=0), O$3, 0)</f>
        <v>0</v>
      </c>
      <c r="P152">
        <f>IF(AND($N152-'Outil Cibles'!E$7&lt;=60,$N152-'Outil Cibles'!E$7&gt;=0), P$3, 0)</f>
        <v>2770.0820951112937</v>
      </c>
      <c r="Q152">
        <f>IF(AND($N152-'Outil Cibles'!F$7&lt;=60,$N152-'Outil Cibles'!F$7&gt;=0), Q$3, 0)</f>
        <v>1909.1625886556317</v>
      </c>
      <c r="R152">
        <f>IF(AND($N152-'Outil Cibles'!G$7&lt;=60,$N152-'Outil Cibles'!G$7&gt;=0), R$3, 0)</f>
        <v>1257.004461978674</v>
      </c>
      <c r="S152">
        <f>IF(AND($N152-'Outil Cibles'!H$7&lt;=60,$N152-'Outil Cibles'!H$7&gt;=0), S$3, 0)</f>
        <v>986.56148916388076</v>
      </c>
      <c r="T152">
        <f>IF(AND($N152-'Outil Cibles'!I$7&lt;=60,$N152-'Outil Cibles'!I$7&gt;=0), T$3, 0)</f>
        <v>830.62515767806633</v>
      </c>
      <c r="U152">
        <f>IF(AND($N152-'Outil Cibles'!J$7&lt;=60,$N152-'Outil Cibles'!J$7&gt;=0), U$3, 0)</f>
        <v>680.92130837794082</v>
      </c>
      <c r="V152">
        <f>IF(AND($N152-'Outil Cibles'!K$7&lt;=60,$N152-'Outil Cibles'!K$7&gt;=0), V$3, 0)</f>
        <v>520.02611366210544</v>
      </c>
      <c r="W152">
        <f>IF(AND($N152-'Outil Cibles'!L$7&lt;=60,$N152-'Outil Cibles'!L$7&gt;=0), W$3, 0)</f>
        <v>199.49441755440617</v>
      </c>
      <c r="X152">
        <f>IF(AND($N152-'Outil Cibles'!M$7&lt;=60,$N152-'Outil Cibles'!M$7&gt;=0), X$3, 0)</f>
        <v>99.128163673392294</v>
      </c>
    </row>
    <row r="153" spans="14:24" x14ac:dyDescent="0.3">
      <c r="N153" s="10">
        <v>2087</v>
      </c>
      <c r="O153">
        <f>IF(AND($N153-'Outil Cibles'!D$7&lt;=60,$N153-'Outil Cibles'!D$7&gt;=0), O$3, 0)</f>
        <v>0</v>
      </c>
      <c r="P153">
        <f>IF(AND($N153-'Outil Cibles'!E$7&lt;=60,$N153-'Outil Cibles'!E$7&gt;=0), P$3, 0)</f>
        <v>0</v>
      </c>
      <c r="Q153">
        <f>IF(AND($N153-'Outil Cibles'!F$7&lt;=60,$N153-'Outil Cibles'!F$7&gt;=0), Q$3, 0)</f>
        <v>1909.1625886556317</v>
      </c>
      <c r="R153">
        <f>IF(AND($N153-'Outil Cibles'!G$7&lt;=60,$N153-'Outil Cibles'!G$7&gt;=0), R$3, 0)</f>
        <v>1257.004461978674</v>
      </c>
      <c r="S153">
        <f>IF(AND($N153-'Outil Cibles'!H$7&lt;=60,$N153-'Outil Cibles'!H$7&gt;=0), S$3, 0)</f>
        <v>986.56148916388076</v>
      </c>
      <c r="T153">
        <f>IF(AND($N153-'Outil Cibles'!I$7&lt;=60,$N153-'Outil Cibles'!I$7&gt;=0), T$3, 0)</f>
        <v>830.62515767806633</v>
      </c>
      <c r="U153">
        <f>IF(AND($N153-'Outil Cibles'!J$7&lt;=60,$N153-'Outil Cibles'!J$7&gt;=0), U$3, 0)</f>
        <v>680.92130837794082</v>
      </c>
      <c r="V153">
        <f>IF(AND($N153-'Outil Cibles'!K$7&lt;=60,$N153-'Outil Cibles'!K$7&gt;=0), V$3, 0)</f>
        <v>520.02611366210544</v>
      </c>
      <c r="W153">
        <f>IF(AND($N153-'Outil Cibles'!L$7&lt;=60,$N153-'Outil Cibles'!L$7&gt;=0), W$3, 0)</f>
        <v>199.49441755440617</v>
      </c>
      <c r="X153">
        <f>IF(AND($N153-'Outil Cibles'!M$7&lt;=60,$N153-'Outil Cibles'!M$7&gt;=0), X$3, 0)</f>
        <v>99.128163673392294</v>
      </c>
    </row>
    <row r="154" spans="14:24" x14ac:dyDescent="0.3">
      <c r="N154">
        <v>2088</v>
      </c>
      <c r="O154">
        <f>IF(AND($N154-'Outil Cibles'!D$7&lt;=60,$N154-'Outil Cibles'!D$7&gt;=0), O$3, 0)</f>
        <v>0</v>
      </c>
      <c r="P154">
        <f>IF(AND($N154-'Outil Cibles'!E$7&lt;=60,$N154-'Outil Cibles'!E$7&gt;=0), P$3, 0)</f>
        <v>0</v>
      </c>
      <c r="Q154">
        <f>IF(AND($N154-'Outil Cibles'!F$7&lt;=60,$N154-'Outil Cibles'!F$7&gt;=0), Q$3, 0)</f>
        <v>1909.1625886556317</v>
      </c>
      <c r="R154">
        <f>IF(AND($N154-'Outil Cibles'!G$7&lt;=60,$N154-'Outil Cibles'!G$7&gt;=0), R$3, 0)</f>
        <v>1257.004461978674</v>
      </c>
      <c r="S154">
        <f>IF(AND($N154-'Outil Cibles'!H$7&lt;=60,$N154-'Outil Cibles'!H$7&gt;=0), S$3, 0)</f>
        <v>986.56148916388076</v>
      </c>
      <c r="T154">
        <f>IF(AND($N154-'Outil Cibles'!I$7&lt;=60,$N154-'Outil Cibles'!I$7&gt;=0), T$3, 0)</f>
        <v>830.62515767806633</v>
      </c>
      <c r="U154">
        <f>IF(AND($N154-'Outil Cibles'!J$7&lt;=60,$N154-'Outil Cibles'!J$7&gt;=0), U$3, 0)</f>
        <v>680.92130837794082</v>
      </c>
      <c r="V154">
        <f>IF(AND($N154-'Outil Cibles'!K$7&lt;=60,$N154-'Outil Cibles'!K$7&gt;=0), V$3, 0)</f>
        <v>520.02611366210544</v>
      </c>
      <c r="W154">
        <f>IF(AND($N154-'Outil Cibles'!L$7&lt;=60,$N154-'Outil Cibles'!L$7&gt;=0), W$3, 0)</f>
        <v>199.49441755440617</v>
      </c>
      <c r="X154">
        <f>IF(AND($N154-'Outil Cibles'!M$7&lt;=60,$N154-'Outil Cibles'!M$7&gt;=0), X$3, 0)</f>
        <v>99.128163673392294</v>
      </c>
    </row>
    <row r="155" spans="14:24" x14ac:dyDescent="0.3">
      <c r="N155">
        <v>2089</v>
      </c>
      <c r="O155">
        <f>IF(AND($N155-'Outil Cibles'!D$7&lt;=60,$N155-'Outil Cibles'!D$7&gt;=0), O$3, 0)</f>
        <v>0</v>
      </c>
      <c r="P155">
        <f>IF(AND($N155-'Outil Cibles'!E$7&lt;=60,$N155-'Outil Cibles'!E$7&gt;=0), P$3, 0)</f>
        <v>0</v>
      </c>
      <c r="Q155">
        <f>IF(AND($N155-'Outil Cibles'!F$7&lt;=60,$N155-'Outil Cibles'!F$7&gt;=0), Q$3, 0)</f>
        <v>1909.1625886556317</v>
      </c>
      <c r="R155">
        <f>IF(AND($N155-'Outil Cibles'!G$7&lt;=60,$N155-'Outil Cibles'!G$7&gt;=0), R$3, 0)</f>
        <v>1257.004461978674</v>
      </c>
      <c r="S155">
        <f>IF(AND($N155-'Outil Cibles'!H$7&lt;=60,$N155-'Outil Cibles'!H$7&gt;=0), S$3, 0)</f>
        <v>986.56148916388076</v>
      </c>
      <c r="T155">
        <f>IF(AND($N155-'Outil Cibles'!I$7&lt;=60,$N155-'Outil Cibles'!I$7&gt;=0), T$3, 0)</f>
        <v>830.62515767806633</v>
      </c>
      <c r="U155">
        <f>IF(AND($N155-'Outil Cibles'!J$7&lt;=60,$N155-'Outil Cibles'!J$7&gt;=0), U$3, 0)</f>
        <v>680.92130837794082</v>
      </c>
      <c r="V155">
        <f>IF(AND($N155-'Outil Cibles'!K$7&lt;=60,$N155-'Outil Cibles'!K$7&gt;=0), V$3, 0)</f>
        <v>520.02611366210544</v>
      </c>
      <c r="W155">
        <f>IF(AND($N155-'Outil Cibles'!L$7&lt;=60,$N155-'Outil Cibles'!L$7&gt;=0), W$3, 0)</f>
        <v>199.49441755440617</v>
      </c>
      <c r="X155">
        <f>IF(AND($N155-'Outil Cibles'!M$7&lt;=60,$N155-'Outil Cibles'!M$7&gt;=0), X$3, 0)</f>
        <v>99.128163673392294</v>
      </c>
    </row>
    <row r="156" spans="14:24" x14ac:dyDescent="0.3">
      <c r="N156">
        <v>2090</v>
      </c>
      <c r="O156">
        <f>IF(AND($N156-'Outil Cibles'!D$7&lt;=60,$N156-'Outil Cibles'!D$7&gt;=0), O$3, 0)</f>
        <v>0</v>
      </c>
      <c r="P156">
        <f>IF(AND($N156-'Outil Cibles'!E$7&lt;=60,$N156-'Outil Cibles'!E$7&gt;=0), P$3, 0)</f>
        <v>0</v>
      </c>
      <c r="Q156">
        <f>IF(AND($N156-'Outil Cibles'!F$7&lt;=60,$N156-'Outil Cibles'!F$7&gt;=0), Q$3, 0)</f>
        <v>1909.1625886556317</v>
      </c>
      <c r="R156">
        <f>IF(AND($N156-'Outil Cibles'!G$7&lt;=60,$N156-'Outil Cibles'!G$7&gt;=0), R$3, 0)</f>
        <v>1257.004461978674</v>
      </c>
      <c r="S156">
        <f>IF(AND($N156-'Outil Cibles'!H$7&lt;=60,$N156-'Outil Cibles'!H$7&gt;=0), S$3, 0)</f>
        <v>986.56148916388076</v>
      </c>
      <c r="T156">
        <f>IF(AND($N156-'Outil Cibles'!I$7&lt;=60,$N156-'Outil Cibles'!I$7&gt;=0), T$3, 0)</f>
        <v>830.62515767806633</v>
      </c>
      <c r="U156">
        <f>IF(AND($N156-'Outil Cibles'!J$7&lt;=60,$N156-'Outil Cibles'!J$7&gt;=0), U$3, 0)</f>
        <v>680.92130837794082</v>
      </c>
      <c r="V156">
        <f>IF(AND($N156-'Outil Cibles'!K$7&lt;=60,$N156-'Outil Cibles'!K$7&gt;=0), V$3, 0)</f>
        <v>520.02611366210544</v>
      </c>
      <c r="W156">
        <f>IF(AND($N156-'Outil Cibles'!L$7&lt;=60,$N156-'Outil Cibles'!L$7&gt;=0), W$3, 0)</f>
        <v>199.49441755440617</v>
      </c>
      <c r="X156">
        <f>IF(AND($N156-'Outil Cibles'!M$7&lt;=60,$N156-'Outil Cibles'!M$7&gt;=0), X$3, 0)</f>
        <v>99.128163673392294</v>
      </c>
    </row>
    <row r="157" spans="14:24" x14ac:dyDescent="0.3">
      <c r="N157">
        <v>2091</v>
      </c>
      <c r="O157">
        <f>IF(AND($N157-'Outil Cibles'!D$7&lt;=60,$N157-'Outil Cibles'!D$7&gt;=0), O$3, 0)</f>
        <v>0</v>
      </c>
      <c r="P157">
        <f>IF(AND($N157-'Outil Cibles'!E$7&lt;=60,$N157-'Outil Cibles'!E$7&gt;=0), P$3, 0)</f>
        <v>0</v>
      </c>
      <c r="Q157">
        <f>IF(AND($N157-'Outil Cibles'!F$7&lt;=60,$N157-'Outil Cibles'!F$7&gt;=0), Q$3, 0)</f>
        <v>0</v>
      </c>
      <c r="R157">
        <f>IF(AND($N157-'Outil Cibles'!G$7&lt;=60,$N157-'Outil Cibles'!G$7&gt;=0), R$3, 0)</f>
        <v>1257.004461978674</v>
      </c>
      <c r="S157">
        <f>IF(AND($N157-'Outil Cibles'!H$7&lt;=60,$N157-'Outil Cibles'!H$7&gt;=0), S$3, 0)</f>
        <v>986.56148916388076</v>
      </c>
      <c r="T157">
        <f>IF(AND($N157-'Outil Cibles'!I$7&lt;=60,$N157-'Outil Cibles'!I$7&gt;=0), T$3, 0)</f>
        <v>830.62515767806633</v>
      </c>
      <c r="U157">
        <f>IF(AND($N157-'Outil Cibles'!J$7&lt;=60,$N157-'Outil Cibles'!J$7&gt;=0), U$3, 0)</f>
        <v>680.92130837794082</v>
      </c>
      <c r="V157">
        <f>IF(AND($N157-'Outil Cibles'!K$7&lt;=60,$N157-'Outil Cibles'!K$7&gt;=0), V$3, 0)</f>
        <v>520.02611366210544</v>
      </c>
      <c r="W157">
        <f>IF(AND($N157-'Outil Cibles'!L$7&lt;=60,$N157-'Outil Cibles'!L$7&gt;=0), W$3, 0)</f>
        <v>199.49441755440617</v>
      </c>
      <c r="X157">
        <f>IF(AND($N157-'Outil Cibles'!M$7&lt;=60,$N157-'Outil Cibles'!M$7&gt;=0), X$3, 0)</f>
        <v>99.128163673392294</v>
      </c>
    </row>
    <row r="158" spans="14:24" x14ac:dyDescent="0.3">
      <c r="N158" s="10">
        <v>2092</v>
      </c>
      <c r="O158">
        <f>IF(AND($N158-'Outil Cibles'!D$7&lt;=60,$N158-'Outil Cibles'!D$7&gt;=0), O$3, 0)</f>
        <v>0</v>
      </c>
      <c r="P158">
        <f>IF(AND($N158-'Outil Cibles'!E$7&lt;=60,$N158-'Outil Cibles'!E$7&gt;=0), P$3, 0)</f>
        <v>0</v>
      </c>
      <c r="Q158">
        <f>IF(AND($N158-'Outil Cibles'!F$7&lt;=60,$N158-'Outil Cibles'!F$7&gt;=0), Q$3, 0)</f>
        <v>0</v>
      </c>
      <c r="R158">
        <f>IF(AND($N158-'Outil Cibles'!G$7&lt;=60,$N158-'Outil Cibles'!G$7&gt;=0), R$3, 0)</f>
        <v>1257.004461978674</v>
      </c>
      <c r="S158">
        <f>IF(AND($N158-'Outil Cibles'!H$7&lt;=60,$N158-'Outil Cibles'!H$7&gt;=0), S$3, 0)</f>
        <v>986.56148916388076</v>
      </c>
      <c r="T158">
        <f>IF(AND($N158-'Outil Cibles'!I$7&lt;=60,$N158-'Outil Cibles'!I$7&gt;=0), T$3, 0)</f>
        <v>830.62515767806633</v>
      </c>
      <c r="U158">
        <f>IF(AND($N158-'Outil Cibles'!J$7&lt;=60,$N158-'Outil Cibles'!J$7&gt;=0), U$3, 0)</f>
        <v>680.92130837794082</v>
      </c>
      <c r="V158">
        <f>IF(AND($N158-'Outil Cibles'!K$7&lt;=60,$N158-'Outil Cibles'!K$7&gt;=0), V$3, 0)</f>
        <v>520.02611366210544</v>
      </c>
      <c r="W158">
        <f>IF(AND($N158-'Outil Cibles'!L$7&lt;=60,$N158-'Outil Cibles'!L$7&gt;=0), W$3, 0)</f>
        <v>199.49441755440617</v>
      </c>
      <c r="X158">
        <f>IF(AND($N158-'Outil Cibles'!M$7&lt;=60,$N158-'Outil Cibles'!M$7&gt;=0), X$3, 0)</f>
        <v>99.128163673392294</v>
      </c>
    </row>
    <row r="159" spans="14:24" x14ac:dyDescent="0.3">
      <c r="N159" s="10">
        <v>2093</v>
      </c>
      <c r="O159">
        <f>IF(AND($N159-'Outil Cibles'!D$7&lt;=60,$N159-'Outil Cibles'!D$7&gt;=0), O$3, 0)</f>
        <v>0</v>
      </c>
      <c r="P159">
        <f>IF(AND($N159-'Outil Cibles'!E$7&lt;=60,$N159-'Outil Cibles'!E$7&gt;=0), P$3, 0)</f>
        <v>0</v>
      </c>
      <c r="Q159">
        <f>IF(AND($N159-'Outil Cibles'!F$7&lt;=60,$N159-'Outil Cibles'!F$7&gt;=0), Q$3, 0)</f>
        <v>0</v>
      </c>
      <c r="R159">
        <f>IF(AND($N159-'Outil Cibles'!G$7&lt;=60,$N159-'Outil Cibles'!G$7&gt;=0), R$3, 0)</f>
        <v>1257.004461978674</v>
      </c>
      <c r="S159">
        <f>IF(AND($N159-'Outil Cibles'!H$7&lt;=60,$N159-'Outil Cibles'!H$7&gt;=0), S$3, 0)</f>
        <v>986.56148916388076</v>
      </c>
      <c r="T159">
        <f>IF(AND($N159-'Outil Cibles'!I$7&lt;=60,$N159-'Outil Cibles'!I$7&gt;=0), T$3, 0)</f>
        <v>830.62515767806633</v>
      </c>
      <c r="U159">
        <f>IF(AND($N159-'Outil Cibles'!J$7&lt;=60,$N159-'Outil Cibles'!J$7&gt;=0), U$3, 0)</f>
        <v>680.92130837794082</v>
      </c>
      <c r="V159">
        <f>IF(AND($N159-'Outil Cibles'!K$7&lt;=60,$N159-'Outil Cibles'!K$7&gt;=0), V$3, 0)</f>
        <v>520.02611366210544</v>
      </c>
      <c r="W159">
        <f>IF(AND($N159-'Outil Cibles'!L$7&lt;=60,$N159-'Outil Cibles'!L$7&gt;=0), W$3, 0)</f>
        <v>199.49441755440617</v>
      </c>
      <c r="X159">
        <f>IF(AND($N159-'Outil Cibles'!M$7&lt;=60,$N159-'Outil Cibles'!M$7&gt;=0), X$3, 0)</f>
        <v>99.128163673392294</v>
      </c>
    </row>
    <row r="160" spans="14:24" x14ac:dyDescent="0.3">
      <c r="N160">
        <v>2094</v>
      </c>
      <c r="O160">
        <f>IF(AND($N160-'Outil Cibles'!D$7&lt;=60,$N160-'Outil Cibles'!D$7&gt;=0), O$3, 0)</f>
        <v>0</v>
      </c>
      <c r="P160">
        <f>IF(AND($N160-'Outil Cibles'!E$7&lt;=60,$N160-'Outil Cibles'!E$7&gt;=0), P$3, 0)</f>
        <v>0</v>
      </c>
      <c r="Q160">
        <f>IF(AND($N160-'Outil Cibles'!F$7&lt;=60,$N160-'Outil Cibles'!F$7&gt;=0), Q$3, 0)</f>
        <v>0</v>
      </c>
      <c r="R160">
        <f>IF(AND($N160-'Outil Cibles'!G$7&lt;=60,$N160-'Outil Cibles'!G$7&gt;=0), R$3, 0)</f>
        <v>1257.004461978674</v>
      </c>
      <c r="S160">
        <f>IF(AND($N160-'Outil Cibles'!H$7&lt;=60,$N160-'Outil Cibles'!H$7&gt;=0), S$3, 0)</f>
        <v>986.56148916388076</v>
      </c>
      <c r="T160">
        <f>IF(AND($N160-'Outil Cibles'!I$7&lt;=60,$N160-'Outil Cibles'!I$7&gt;=0), T$3, 0)</f>
        <v>830.62515767806633</v>
      </c>
      <c r="U160">
        <f>IF(AND($N160-'Outil Cibles'!J$7&lt;=60,$N160-'Outil Cibles'!J$7&gt;=0), U$3, 0)</f>
        <v>680.92130837794082</v>
      </c>
      <c r="V160">
        <f>IF(AND($N160-'Outil Cibles'!K$7&lt;=60,$N160-'Outil Cibles'!K$7&gt;=0), V$3, 0)</f>
        <v>520.02611366210544</v>
      </c>
      <c r="W160">
        <f>IF(AND($N160-'Outil Cibles'!L$7&lt;=60,$N160-'Outil Cibles'!L$7&gt;=0), W$3, 0)</f>
        <v>199.49441755440617</v>
      </c>
      <c r="X160">
        <f>IF(AND($N160-'Outil Cibles'!M$7&lt;=60,$N160-'Outil Cibles'!M$7&gt;=0), X$3, 0)</f>
        <v>99.128163673392294</v>
      </c>
    </row>
    <row r="161" spans="14:24" x14ac:dyDescent="0.3">
      <c r="N161">
        <v>2095</v>
      </c>
      <c r="O161">
        <f>IF(AND($N161-'Outil Cibles'!D$7&lt;=60,$N161-'Outil Cibles'!D$7&gt;=0), O$3, 0)</f>
        <v>0</v>
      </c>
      <c r="P161">
        <f>IF(AND($N161-'Outil Cibles'!E$7&lt;=60,$N161-'Outil Cibles'!E$7&gt;=0), P$3, 0)</f>
        <v>0</v>
      </c>
      <c r="Q161">
        <f>IF(AND($N161-'Outil Cibles'!F$7&lt;=60,$N161-'Outil Cibles'!F$7&gt;=0), Q$3, 0)</f>
        <v>0</v>
      </c>
      <c r="R161">
        <f>IF(AND($N161-'Outil Cibles'!G$7&lt;=60,$N161-'Outil Cibles'!G$7&gt;=0), R$3, 0)</f>
        <v>1257.004461978674</v>
      </c>
      <c r="S161">
        <f>IF(AND($N161-'Outil Cibles'!H$7&lt;=60,$N161-'Outil Cibles'!H$7&gt;=0), S$3, 0)</f>
        <v>986.56148916388076</v>
      </c>
      <c r="T161">
        <f>IF(AND($N161-'Outil Cibles'!I$7&lt;=60,$N161-'Outil Cibles'!I$7&gt;=0), T$3, 0)</f>
        <v>830.62515767806633</v>
      </c>
      <c r="U161">
        <f>IF(AND($N161-'Outil Cibles'!J$7&lt;=60,$N161-'Outil Cibles'!J$7&gt;=0), U$3, 0)</f>
        <v>680.92130837794082</v>
      </c>
      <c r="V161">
        <f>IF(AND($N161-'Outil Cibles'!K$7&lt;=60,$N161-'Outil Cibles'!K$7&gt;=0), V$3, 0)</f>
        <v>520.02611366210544</v>
      </c>
      <c r="W161">
        <f>IF(AND($N161-'Outil Cibles'!L$7&lt;=60,$N161-'Outil Cibles'!L$7&gt;=0), W$3, 0)</f>
        <v>199.49441755440617</v>
      </c>
      <c r="X161">
        <f>IF(AND($N161-'Outil Cibles'!M$7&lt;=60,$N161-'Outil Cibles'!M$7&gt;=0), X$3, 0)</f>
        <v>99.128163673392294</v>
      </c>
    </row>
    <row r="162" spans="14:24" x14ac:dyDescent="0.3">
      <c r="N162">
        <v>2096</v>
      </c>
      <c r="O162">
        <f>IF(AND($N162-'Outil Cibles'!D$7&lt;=60,$N162-'Outil Cibles'!D$7&gt;=0), O$3, 0)</f>
        <v>0</v>
      </c>
      <c r="P162">
        <f>IF(AND($N162-'Outil Cibles'!E$7&lt;=60,$N162-'Outil Cibles'!E$7&gt;=0), P$3, 0)</f>
        <v>0</v>
      </c>
      <c r="Q162">
        <f>IF(AND($N162-'Outil Cibles'!F$7&lt;=60,$N162-'Outil Cibles'!F$7&gt;=0), Q$3, 0)</f>
        <v>0</v>
      </c>
      <c r="R162">
        <f>IF(AND($N162-'Outil Cibles'!G$7&lt;=60,$N162-'Outil Cibles'!G$7&gt;=0), R$3, 0)</f>
        <v>0</v>
      </c>
      <c r="S162">
        <f>IF(AND($N162-'Outil Cibles'!H$7&lt;=60,$N162-'Outil Cibles'!H$7&gt;=0), S$3, 0)</f>
        <v>986.56148916388076</v>
      </c>
      <c r="T162">
        <f>IF(AND($N162-'Outil Cibles'!I$7&lt;=60,$N162-'Outil Cibles'!I$7&gt;=0), T$3, 0)</f>
        <v>830.62515767806633</v>
      </c>
      <c r="U162">
        <f>IF(AND($N162-'Outil Cibles'!J$7&lt;=60,$N162-'Outil Cibles'!J$7&gt;=0), U$3, 0)</f>
        <v>680.92130837794082</v>
      </c>
      <c r="V162">
        <f>IF(AND($N162-'Outil Cibles'!K$7&lt;=60,$N162-'Outil Cibles'!K$7&gt;=0), V$3, 0)</f>
        <v>520.02611366210544</v>
      </c>
      <c r="W162">
        <f>IF(AND($N162-'Outil Cibles'!L$7&lt;=60,$N162-'Outil Cibles'!L$7&gt;=0), W$3, 0)</f>
        <v>199.49441755440617</v>
      </c>
      <c r="X162">
        <f>IF(AND($N162-'Outil Cibles'!M$7&lt;=60,$N162-'Outil Cibles'!M$7&gt;=0), X$3, 0)</f>
        <v>99.128163673392294</v>
      </c>
    </row>
    <row r="163" spans="14:24" x14ac:dyDescent="0.3">
      <c r="N163">
        <v>2097</v>
      </c>
      <c r="O163">
        <f>IF(AND($N163-'Outil Cibles'!D$7&lt;=60,$N163-'Outil Cibles'!D$7&gt;=0), O$3, 0)</f>
        <v>0</v>
      </c>
      <c r="P163">
        <f>IF(AND($N163-'Outil Cibles'!E$7&lt;=60,$N163-'Outil Cibles'!E$7&gt;=0), P$3, 0)</f>
        <v>0</v>
      </c>
      <c r="Q163">
        <f>IF(AND($N163-'Outil Cibles'!F$7&lt;=60,$N163-'Outil Cibles'!F$7&gt;=0), Q$3, 0)</f>
        <v>0</v>
      </c>
      <c r="R163">
        <f>IF(AND($N163-'Outil Cibles'!G$7&lt;=60,$N163-'Outil Cibles'!G$7&gt;=0), R$3, 0)</f>
        <v>0</v>
      </c>
      <c r="S163">
        <f>IF(AND($N163-'Outil Cibles'!H$7&lt;=60,$N163-'Outil Cibles'!H$7&gt;=0), S$3, 0)</f>
        <v>986.56148916388076</v>
      </c>
      <c r="T163">
        <f>IF(AND($N163-'Outil Cibles'!I$7&lt;=60,$N163-'Outil Cibles'!I$7&gt;=0), T$3, 0)</f>
        <v>830.62515767806633</v>
      </c>
      <c r="U163">
        <f>IF(AND($N163-'Outil Cibles'!J$7&lt;=60,$N163-'Outil Cibles'!J$7&gt;=0), U$3, 0)</f>
        <v>680.92130837794082</v>
      </c>
      <c r="V163">
        <f>IF(AND($N163-'Outil Cibles'!K$7&lt;=60,$N163-'Outil Cibles'!K$7&gt;=0), V$3, 0)</f>
        <v>520.02611366210544</v>
      </c>
      <c r="W163">
        <f>IF(AND($N163-'Outil Cibles'!L$7&lt;=60,$N163-'Outil Cibles'!L$7&gt;=0), W$3, 0)</f>
        <v>199.49441755440617</v>
      </c>
      <c r="X163">
        <f>IF(AND($N163-'Outil Cibles'!M$7&lt;=60,$N163-'Outil Cibles'!M$7&gt;=0), X$3, 0)</f>
        <v>99.128163673392294</v>
      </c>
    </row>
    <row r="164" spans="14:24" x14ac:dyDescent="0.3">
      <c r="N164" s="10">
        <v>2098</v>
      </c>
      <c r="O164">
        <f>IF(AND($N164-'Outil Cibles'!D$7&lt;=60,$N164-'Outil Cibles'!D$7&gt;=0), O$3, 0)</f>
        <v>0</v>
      </c>
      <c r="P164">
        <f>IF(AND($N164-'Outil Cibles'!E$7&lt;=60,$N164-'Outil Cibles'!E$7&gt;=0), P$3, 0)</f>
        <v>0</v>
      </c>
      <c r="Q164">
        <f>IF(AND($N164-'Outil Cibles'!F$7&lt;=60,$N164-'Outil Cibles'!F$7&gt;=0), Q$3, 0)</f>
        <v>0</v>
      </c>
      <c r="R164">
        <f>IF(AND($N164-'Outil Cibles'!G$7&lt;=60,$N164-'Outil Cibles'!G$7&gt;=0), R$3, 0)</f>
        <v>0</v>
      </c>
      <c r="S164">
        <f>IF(AND($N164-'Outil Cibles'!H$7&lt;=60,$N164-'Outil Cibles'!H$7&gt;=0), S$3, 0)</f>
        <v>986.56148916388076</v>
      </c>
      <c r="T164">
        <f>IF(AND($N164-'Outil Cibles'!I$7&lt;=60,$N164-'Outil Cibles'!I$7&gt;=0), T$3, 0)</f>
        <v>830.62515767806633</v>
      </c>
      <c r="U164">
        <f>IF(AND($N164-'Outil Cibles'!J$7&lt;=60,$N164-'Outil Cibles'!J$7&gt;=0), U$3, 0)</f>
        <v>680.92130837794082</v>
      </c>
      <c r="V164">
        <f>IF(AND($N164-'Outil Cibles'!K$7&lt;=60,$N164-'Outil Cibles'!K$7&gt;=0), V$3, 0)</f>
        <v>520.02611366210544</v>
      </c>
      <c r="W164">
        <f>IF(AND($N164-'Outil Cibles'!L$7&lt;=60,$N164-'Outil Cibles'!L$7&gt;=0), W$3, 0)</f>
        <v>199.49441755440617</v>
      </c>
      <c r="X164">
        <f>IF(AND($N164-'Outil Cibles'!M$7&lt;=60,$N164-'Outil Cibles'!M$7&gt;=0), X$3, 0)</f>
        <v>99.128163673392294</v>
      </c>
    </row>
    <row r="165" spans="14:24" x14ac:dyDescent="0.3">
      <c r="N165" s="10">
        <v>2099</v>
      </c>
      <c r="O165">
        <f>IF(AND($N165-'Outil Cibles'!D$7&lt;=60,$N165-'Outil Cibles'!D$7&gt;=0), O$3, 0)</f>
        <v>0</v>
      </c>
      <c r="P165">
        <f>IF(AND($N165-'Outil Cibles'!E$7&lt;=60,$N165-'Outil Cibles'!E$7&gt;=0), P$3, 0)</f>
        <v>0</v>
      </c>
      <c r="Q165">
        <f>IF(AND($N165-'Outil Cibles'!F$7&lt;=60,$N165-'Outil Cibles'!F$7&gt;=0), Q$3, 0)</f>
        <v>0</v>
      </c>
      <c r="R165">
        <f>IF(AND($N165-'Outil Cibles'!G$7&lt;=60,$N165-'Outil Cibles'!G$7&gt;=0), R$3, 0)</f>
        <v>0</v>
      </c>
      <c r="S165">
        <f>IF(AND($N165-'Outil Cibles'!H$7&lt;=60,$N165-'Outil Cibles'!H$7&gt;=0), S$3, 0)</f>
        <v>0</v>
      </c>
      <c r="T165">
        <f>IF(AND($N165-'Outil Cibles'!I$7&lt;=60,$N165-'Outil Cibles'!I$7&gt;=0), T$3, 0)</f>
        <v>830.62515767806633</v>
      </c>
      <c r="U165">
        <f>IF(AND($N165-'Outil Cibles'!J$7&lt;=60,$N165-'Outil Cibles'!J$7&gt;=0), U$3, 0)</f>
        <v>680.92130837794082</v>
      </c>
      <c r="V165">
        <f>IF(AND($N165-'Outil Cibles'!K$7&lt;=60,$N165-'Outil Cibles'!K$7&gt;=0), V$3, 0)</f>
        <v>520.02611366210544</v>
      </c>
      <c r="W165">
        <f>IF(AND($N165-'Outil Cibles'!L$7&lt;=60,$N165-'Outil Cibles'!L$7&gt;=0), W$3, 0)</f>
        <v>199.49441755440617</v>
      </c>
      <c r="X165">
        <f>IF(AND($N165-'Outil Cibles'!M$7&lt;=60,$N165-'Outil Cibles'!M$7&gt;=0), X$3, 0)</f>
        <v>99.128163673392294</v>
      </c>
    </row>
    <row r="166" spans="14:24" x14ac:dyDescent="0.3">
      <c r="N166">
        <v>2100</v>
      </c>
      <c r="O166">
        <f>IF(AND($N166-'Outil Cibles'!D$7&lt;=60,$N166-'Outil Cibles'!D$7&gt;=0), O$3, 0)</f>
        <v>0</v>
      </c>
      <c r="P166">
        <f>IF(AND($N166-'Outil Cibles'!E$7&lt;=60,$N166-'Outil Cibles'!E$7&gt;=0), P$3, 0)</f>
        <v>0</v>
      </c>
      <c r="Q166">
        <f>IF(AND($N166-'Outil Cibles'!F$7&lt;=60,$N166-'Outil Cibles'!F$7&gt;=0), Q$3, 0)</f>
        <v>0</v>
      </c>
      <c r="R166">
        <f>IF(AND($N166-'Outil Cibles'!G$7&lt;=60,$N166-'Outil Cibles'!G$7&gt;=0), R$3, 0)</f>
        <v>0</v>
      </c>
      <c r="S166">
        <f>IF(AND($N166-'Outil Cibles'!H$7&lt;=60,$N166-'Outil Cibles'!H$7&gt;=0), S$3, 0)</f>
        <v>0</v>
      </c>
      <c r="T166">
        <f>IF(AND($N166-'Outil Cibles'!I$7&lt;=60,$N166-'Outil Cibles'!I$7&gt;=0), T$3, 0)</f>
        <v>830.62515767806633</v>
      </c>
      <c r="U166">
        <f>IF(AND($N166-'Outil Cibles'!J$7&lt;=60,$N166-'Outil Cibles'!J$7&gt;=0), U$3, 0)</f>
        <v>680.92130837794082</v>
      </c>
      <c r="V166">
        <f>IF(AND($N166-'Outil Cibles'!K$7&lt;=60,$N166-'Outil Cibles'!K$7&gt;=0), V$3, 0)</f>
        <v>520.02611366210544</v>
      </c>
      <c r="W166">
        <f>IF(AND($N166-'Outil Cibles'!L$7&lt;=60,$N166-'Outil Cibles'!L$7&gt;=0), W$3, 0)</f>
        <v>199.49441755440617</v>
      </c>
      <c r="X166">
        <f>IF(AND($N166-'Outil Cibles'!M$7&lt;=60,$N166-'Outil Cibles'!M$7&gt;=0), X$3, 0)</f>
        <v>99.128163673392294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F7F96-6E66-46E2-866A-8F176B49972B}">
  <dimension ref="A1:Y32"/>
  <sheetViews>
    <sheetView topLeftCell="A19" workbookViewId="0">
      <selection activeCell="C4" sqref="C4:K32"/>
    </sheetView>
  </sheetViews>
  <sheetFormatPr baseColWidth="10" defaultColWidth="11.44140625" defaultRowHeight="14.4" x14ac:dyDescent="0.3"/>
  <sheetData>
    <row r="1" spans="1:25" x14ac:dyDescent="0.3">
      <c r="A1" t="s">
        <v>37</v>
      </c>
      <c r="B1" t="s">
        <v>49</v>
      </c>
      <c r="N1" t="s">
        <v>50</v>
      </c>
    </row>
    <row r="2" spans="1:25" x14ac:dyDescent="0.3">
      <c r="B2">
        <v>1</v>
      </c>
      <c r="C2">
        <v>2</v>
      </c>
      <c r="D2">
        <v>3</v>
      </c>
      <c r="E2">
        <v>4</v>
      </c>
      <c r="F2">
        <v>5</v>
      </c>
      <c r="G2">
        <v>6</v>
      </c>
      <c r="H2">
        <v>7</v>
      </c>
      <c r="I2">
        <v>8</v>
      </c>
      <c r="J2">
        <v>9</v>
      </c>
      <c r="K2">
        <v>10</v>
      </c>
      <c r="L2" t="s">
        <v>39</v>
      </c>
      <c r="O2">
        <v>1</v>
      </c>
      <c r="P2">
        <v>2</v>
      </c>
      <c r="Q2">
        <v>3</v>
      </c>
      <c r="R2">
        <v>4</v>
      </c>
      <c r="S2">
        <v>5</v>
      </c>
      <c r="T2">
        <v>6</v>
      </c>
      <c r="U2">
        <v>7</v>
      </c>
      <c r="V2">
        <v>8</v>
      </c>
      <c r="W2">
        <v>9</v>
      </c>
      <c r="X2">
        <v>10</v>
      </c>
      <c r="Y2" t="s">
        <v>39</v>
      </c>
    </row>
    <row r="3" spans="1:25" x14ac:dyDescent="0.3">
      <c r="A3" t="s">
        <v>40</v>
      </c>
      <c r="B3" t="s">
        <v>51</v>
      </c>
      <c r="N3" t="s">
        <v>40</v>
      </c>
      <c r="O3" t="s">
        <v>51</v>
      </c>
    </row>
    <row r="4" spans="1:25" x14ac:dyDescent="0.3">
      <c r="A4">
        <v>2022</v>
      </c>
      <c r="B4" s="23">
        <f>IF(AND($A4-'Outil Cibles'!Q$7&lt;=60,$A4-'Outil Cibles'!Q$7&gt;=0),IF('Outil Cibles'!Q$5='Outil Cibles'!$B$41, IF('Outil Cibles'!Q$6='Outil Cibles'!$E$41, VLOOKUP('Background graphEXPL_1.5'!$A4, '1.5°C'!$B$39:$AG$67, 26,FALSE), VLOOKUP('Background graphEXPL_1.5'!$A4, '1.5°C'!$B$39:$AG$67, 27,FALSE)), IF('Outil Cibles'!Q$6='Outil Cibles'!$E$41, VLOOKUP('Background graphEXPL_1.5'!$A4, '1.5°C'!$B$39:$AG$67, 31,FALSE), VLOOKUP('Background graphEXPL_1.5'!$A4, '1.5°C'!$B$39:$AG$67, 32,FALSE))), 0)</f>
        <v>0</v>
      </c>
      <c r="C4" s="23">
        <f>IF(AND($A4-'Outil Cibles'!R$7&lt;=60,$A4-'Outil Cibles'!R$7&gt;=0),IF('Outil Cibles'!R$5='Outil Cibles'!$B$41, IF('Outil Cibles'!R$6='Outil Cibles'!$E$41, VLOOKUP('Background graphEXPL_1.5'!$A4, '1.5°C'!$B$39:$AG$67, 26,FALSE), VLOOKUP('Background graphEXPL_1.5'!$A4, '1.5°C'!$B$39:$AG$67, 27,FALSE)), IF('Outil Cibles'!R$6='Outil Cibles'!$E$41, VLOOKUP('Background graphEXPL_1.5'!$A4, '1.5°C'!$B$39:$AG$67, 31,FALSE), VLOOKUP('Background graphEXPL_1.5'!$A4, '1.5°C'!$B$39:$AG$67, 32,FALSE))), 0)</f>
        <v>0</v>
      </c>
      <c r="D4" s="23">
        <f>IF(AND($A4-'Outil Cibles'!S$7&lt;=60,$A4-'Outil Cibles'!S$7&gt;=0),IF('Outil Cibles'!S$5='Outil Cibles'!$B$41, IF('Outil Cibles'!S$6='Outil Cibles'!$E$41, VLOOKUP('Background graphEXPL_1.5'!$A4, '1.5°C'!$B$39:$AG$67, 26,FALSE), VLOOKUP('Background graphEXPL_1.5'!$A4, '1.5°C'!$B$39:$AG$67, 27,FALSE)), IF('Outil Cibles'!S$6='Outil Cibles'!$E$41, VLOOKUP('Background graphEXPL_1.5'!$A4, '1.5°C'!$B$39:$AG$67, 31,FALSE), VLOOKUP('Background graphEXPL_1.5'!$A4, '1.5°C'!$B$39:$AG$67, 32,FALSE))), 0)</f>
        <v>0</v>
      </c>
      <c r="E4" s="23">
        <f>IF(AND($A4-'Outil Cibles'!T$7&lt;=60,$A4-'Outil Cibles'!T$7&gt;=0),IF('Outil Cibles'!T$5='Outil Cibles'!$B$41, IF('Outil Cibles'!T$6='Outil Cibles'!$E$41, VLOOKUP('Background graphEXPL_1.5'!$A4, '1.5°C'!$B$39:$AG$67, 26,FALSE), VLOOKUP('Background graphEXPL_1.5'!$A4, '1.5°C'!$B$39:$AG$67, 27,FALSE)), IF('Outil Cibles'!T$6='Outil Cibles'!$E$41, VLOOKUP('Background graphEXPL_1.5'!$A4, '1.5°C'!$B$39:$AG$67, 31,FALSE), VLOOKUP('Background graphEXPL_1.5'!$A4, '1.5°C'!$B$39:$AG$67, 32,FALSE))), 0)</f>
        <v>0</v>
      </c>
      <c r="F4" s="23">
        <f>IF(AND($A4-'Outil Cibles'!U$7&lt;=60,$A4-'Outil Cibles'!U$7&gt;=0),IF('Outil Cibles'!U$5='Outil Cibles'!$B$41, IF('Outil Cibles'!U$6='Outil Cibles'!$E$41, VLOOKUP('Background graphEXPL_1.5'!$A4, '1.5°C'!$B$39:$AG$67, 26,FALSE), VLOOKUP('Background graphEXPL_1.5'!$A4, '1.5°C'!$B$39:$AG$67, 27,FALSE)), IF('Outil Cibles'!U$6='Outil Cibles'!$E$41, VLOOKUP('Background graphEXPL_1.5'!$A4, '1.5°C'!$B$39:$AG$67, 31,FALSE), VLOOKUP('Background graphEXPL_1.5'!$A4, '1.5°C'!$B$39:$AG$67, 32,FALSE))), 0)</f>
        <v>0</v>
      </c>
      <c r="G4" s="23">
        <f>IF(AND($A4-'Outil Cibles'!V$7&lt;=60,$A4-'Outil Cibles'!V$7&gt;=0),IF('Outil Cibles'!V$5='Outil Cibles'!$B$41, IF('Outil Cibles'!V$6='Outil Cibles'!$E$41, VLOOKUP('Background graphEXPL_1.5'!$A4, '1.5°C'!$B$39:$AG$67, 26,FALSE), VLOOKUP('Background graphEXPL_1.5'!$A4, '1.5°C'!$B$39:$AG$67, 27,FALSE)), IF('Outil Cibles'!V$6='Outil Cibles'!$E$41, VLOOKUP('Background graphEXPL_1.5'!$A4, '1.5°C'!$B$39:$AG$67, 31,FALSE), VLOOKUP('Background graphEXPL_1.5'!$A4, '1.5°C'!$B$39:$AG$67, 32,FALSE))), 0)</f>
        <v>0</v>
      </c>
      <c r="H4" s="23">
        <f>IF(AND($A4-'Outil Cibles'!W$7&lt;=60,$A4-'Outil Cibles'!W$7&gt;=0),IF('Outil Cibles'!W$5='Outil Cibles'!$B$41, IF('Outil Cibles'!W$6='Outil Cibles'!$E$41, VLOOKUP('Background graphEXPL_1.5'!$A4, '1.5°C'!$B$39:$AG$67, 26,FALSE), VLOOKUP('Background graphEXPL_1.5'!$A4, '1.5°C'!$B$39:$AG$67, 27,FALSE)), IF('Outil Cibles'!W$6='Outil Cibles'!$E$41, VLOOKUP('Background graphEXPL_1.5'!$A4, '1.5°C'!$B$39:$AG$67, 31,FALSE), VLOOKUP('Background graphEXPL_1.5'!$A4, '1.5°C'!$B$39:$AG$67, 32,FALSE))), 0)</f>
        <v>0</v>
      </c>
      <c r="I4" s="23">
        <f>IF(AND($A4-'Outil Cibles'!X$7&lt;=60,$A4-'Outil Cibles'!X$7&gt;=0),IF('Outil Cibles'!X$5='Outil Cibles'!$B$41, IF('Outil Cibles'!X$6='Outil Cibles'!$E$41, VLOOKUP('Background graphEXPL_1.5'!$A4, '1.5°C'!$B$39:$AG$67, 26,FALSE), VLOOKUP('Background graphEXPL_1.5'!$A4, '1.5°C'!$B$39:$AG$67, 27,FALSE)), IF('Outil Cibles'!X$6='Outil Cibles'!$E$41, VLOOKUP('Background graphEXPL_1.5'!$A4, '1.5°C'!$B$39:$AG$67, 31,FALSE), VLOOKUP('Background graphEXPL_1.5'!$A4, '1.5°C'!$B$39:$AG$67, 32,FALSE))), 0)</f>
        <v>0</v>
      </c>
      <c r="J4" s="23">
        <f>IF(AND($A4-'Outil Cibles'!Y$7&lt;=60,$A4-'Outil Cibles'!Y$7&gt;=0),IF('Outil Cibles'!Y$5='Outil Cibles'!$B$41, IF('Outil Cibles'!Y$6='Outil Cibles'!$E$41, VLOOKUP('Background graphEXPL_1.5'!$A4, '1.5°C'!$B$39:$AG$67, 26,FALSE), VLOOKUP('Background graphEXPL_1.5'!$A4, '1.5°C'!$B$39:$AG$67, 27,FALSE)), IF('Outil Cibles'!Y$6='Outil Cibles'!$E$41, VLOOKUP('Background graphEXPL_1.5'!$A4, '1.5°C'!$B$39:$AG$67, 31,FALSE), VLOOKUP('Background graphEXPL_1.5'!$A4, '1.5°C'!$B$39:$AG$67, 32,FALSE))), 0)</f>
        <v>0</v>
      </c>
      <c r="K4" s="23">
        <f>IF(AND($A4-'Outil Cibles'!Z$7&lt;=60,$A4-'Outil Cibles'!Z$7&gt;=0),IF('Outil Cibles'!Z$5='Outil Cibles'!$B$41, IF('Outil Cibles'!Z$6='Outil Cibles'!$E$41, VLOOKUP('Background graphEXPL_1.5'!$A4, '1.5°C'!$B$39:$AG$67, 26,FALSE), VLOOKUP('Background graphEXPL_1.5'!$A4, '1.5°C'!$B$39:$AG$67, 27,FALSE)), IF('Outil Cibles'!Z$6='Outil Cibles'!$E$41, VLOOKUP('Background graphEXPL_1.5'!$A4, '1.5°C'!$B$39:$AG$67, 31,FALSE), VLOOKUP('Background graphEXPL_1.5'!$A4, '1.5°C'!$B$39:$AG$67, 32,FALSE))), 0)</f>
        <v>0</v>
      </c>
      <c r="L4" s="23">
        <f>SUM(B4:K4)</f>
        <v>0</v>
      </c>
      <c r="N4">
        <v>2022</v>
      </c>
      <c r="O4">
        <f>B4*'Outil Cibles'!Q$8</f>
        <v>0</v>
      </c>
      <c r="P4">
        <f>C4*'Outil Cibles'!R$8</f>
        <v>0</v>
      </c>
      <c r="Q4">
        <f>D4*'Outil Cibles'!S$8</f>
        <v>0</v>
      </c>
      <c r="R4">
        <f>E4*'Outil Cibles'!T$8</f>
        <v>0</v>
      </c>
      <c r="S4">
        <f>F4*'Outil Cibles'!U$8</f>
        <v>0</v>
      </c>
      <c r="T4">
        <f>G4*'Outil Cibles'!V$8</f>
        <v>0</v>
      </c>
      <c r="U4">
        <f>H4*'Outil Cibles'!W$8</f>
        <v>0</v>
      </c>
      <c r="V4">
        <f>I4*'Outil Cibles'!X$8</f>
        <v>0</v>
      </c>
      <c r="W4">
        <f>J4*'Outil Cibles'!Y$8</f>
        <v>0</v>
      </c>
      <c r="X4">
        <f>K4*'Outil Cibles'!Z$8</f>
        <v>0</v>
      </c>
      <c r="Y4">
        <f>SUM(O4:X4)</f>
        <v>0</v>
      </c>
    </row>
    <row r="5" spans="1:25" x14ac:dyDescent="0.3">
      <c r="A5">
        <v>2023</v>
      </c>
      <c r="B5" s="23">
        <f>IF(AND($A5-'Outil Cibles'!Q$7&lt;=60,$A5-'Outil Cibles'!Q$7&gt;=0),IF('Outil Cibles'!Q$5='Outil Cibles'!$B$41, IF('Outil Cibles'!Q$6='Outil Cibles'!$E$41, VLOOKUP('Background graphEXPL_1.5'!$A5, '1.5°C'!$B$39:$AG$67, 26,FALSE), VLOOKUP('Background graphEXPL_1.5'!$A5, '1.5°C'!$B$39:$AG$67, 27,FALSE)), IF('Outil Cibles'!Q$6='Outil Cibles'!$E$41, VLOOKUP('Background graphEXPL_1.5'!$A5, '1.5°C'!$B$39:$AG$67, 31,FALSE), VLOOKUP('Background graphEXPL_1.5'!$A5, '1.5°C'!$B$39:$AG$67, 32,FALSE))), 0)</f>
        <v>0</v>
      </c>
      <c r="C5" s="23">
        <f>IF(AND($A5-'Outil Cibles'!R$7&lt;=60,$A5-'Outil Cibles'!R$7&gt;=0),IF('Outil Cibles'!R$5='Outil Cibles'!$B$41, IF('Outil Cibles'!R$6='Outil Cibles'!$E$41, VLOOKUP('Background graphEXPL_1.5'!$A5, '1.5°C'!$B$39:$AG$67, 26,FALSE), VLOOKUP('Background graphEXPL_1.5'!$A5, '1.5°C'!$B$39:$AG$67, 27,FALSE)), IF('Outil Cibles'!R$6='Outil Cibles'!$E$41, VLOOKUP('Background graphEXPL_1.5'!$A5, '1.5°C'!$B$39:$AG$67, 31,FALSE), VLOOKUP('Background graphEXPL_1.5'!$A5, '1.5°C'!$B$39:$AG$67, 32,FALSE))), 0)</f>
        <v>0</v>
      </c>
      <c r="D5" s="23">
        <f>IF(AND($A5-'Outil Cibles'!S$7&lt;=60,$A5-'Outil Cibles'!S$7&gt;=0),IF('Outil Cibles'!S$5='Outil Cibles'!$B$41, IF('Outil Cibles'!S$6='Outil Cibles'!$E$41, VLOOKUP('Background graphEXPL_1.5'!$A5, '1.5°C'!$B$39:$AG$67, 26,FALSE), VLOOKUP('Background graphEXPL_1.5'!$A5, '1.5°C'!$B$39:$AG$67, 27,FALSE)), IF('Outil Cibles'!S$6='Outil Cibles'!$E$41, VLOOKUP('Background graphEXPL_1.5'!$A5, '1.5°C'!$B$39:$AG$67, 31,FALSE), VLOOKUP('Background graphEXPL_1.5'!$A5, '1.5°C'!$B$39:$AG$67, 32,FALSE))), 0)</f>
        <v>0</v>
      </c>
      <c r="E5" s="23">
        <f>IF(AND($A5-'Outil Cibles'!T$7&lt;=60,$A5-'Outil Cibles'!T$7&gt;=0),IF('Outil Cibles'!T$5='Outil Cibles'!$B$41, IF('Outil Cibles'!T$6='Outil Cibles'!$E$41, VLOOKUP('Background graphEXPL_1.5'!$A5, '1.5°C'!$B$39:$AG$67, 26,FALSE), VLOOKUP('Background graphEXPL_1.5'!$A5, '1.5°C'!$B$39:$AG$67, 27,FALSE)), IF('Outil Cibles'!T$6='Outil Cibles'!$E$41, VLOOKUP('Background graphEXPL_1.5'!$A5, '1.5°C'!$B$39:$AG$67, 31,FALSE), VLOOKUP('Background graphEXPL_1.5'!$A5, '1.5°C'!$B$39:$AG$67, 32,FALSE))), 0)</f>
        <v>0</v>
      </c>
      <c r="F5" s="23">
        <f>IF(AND($A5-'Outil Cibles'!U$7&lt;=60,$A5-'Outil Cibles'!U$7&gt;=0),IF('Outil Cibles'!U$5='Outil Cibles'!$B$41, IF('Outil Cibles'!U$6='Outil Cibles'!$E$41, VLOOKUP('Background graphEXPL_1.5'!$A5, '1.5°C'!$B$39:$AG$67, 26,FALSE), VLOOKUP('Background graphEXPL_1.5'!$A5, '1.5°C'!$B$39:$AG$67, 27,FALSE)), IF('Outil Cibles'!U$6='Outil Cibles'!$E$41, VLOOKUP('Background graphEXPL_1.5'!$A5, '1.5°C'!$B$39:$AG$67, 31,FALSE), VLOOKUP('Background graphEXPL_1.5'!$A5, '1.5°C'!$B$39:$AG$67, 32,FALSE))), 0)</f>
        <v>0</v>
      </c>
      <c r="G5" s="23">
        <f>IF(AND($A5-'Outil Cibles'!V$7&lt;=60,$A5-'Outil Cibles'!V$7&gt;=0),IF('Outil Cibles'!V$5='Outil Cibles'!$B$41, IF('Outil Cibles'!V$6='Outil Cibles'!$E$41, VLOOKUP('Background graphEXPL_1.5'!$A5, '1.5°C'!$B$39:$AG$67, 26,FALSE), VLOOKUP('Background graphEXPL_1.5'!$A5, '1.5°C'!$B$39:$AG$67, 27,FALSE)), IF('Outil Cibles'!V$6='Outil Cibles'!$E$41, VLOOKUP('Background graphEXPL_1.5'!$A5, '1.5°C'!$B$39:$AG$67, 31,FALSE), VLOOKUP('Background graphEXPL_1.5'!$A5, '1.5°C'!$B$39:$AG$67, 32,FALSE))), 0)</f>
        <v>0</v>
      </c>
      <c r="H5" s="23">
        <f>IF(AND($A5-'Outil Cibles'!W$7&lt;=60,$A5-'Outil Cibles'!W$7&gt;=0),IF('Outil Cibles'!W$5='Outil Cibles'!$B$41, IF('Outil Cibles'!W$6='Outil Cibles'!$E$41, VLOOKUP('Background graphEXPL_1.5'!$A5, '1.5°C'!$B$39:$AG$67, 26,FALSE), VLOOKUP('Background graphEXPL_1.5'!$A5, '1.5°C'!$B$39:$AG$67, 27,FALSE)), IF('Outil Cibles'!W$6='Outil Cibles'!$E$41, VLOOKUP('Background graphEXPL_1.5'!$A5, '1.5°C'!$B$39:$AG$67, 31,FALSE), VLOOKUP('Background graphEXPL_1.5'!$A5, '1.5°C'!$B$39:$AG$67, 32,FALSE))), 0)</f>
        <v>0</v>
      </c>
      <c r="I5" s="23">
        <f>IF(AND($A5-'Outil Cibles'!X$7&lt;=60,$A5-'Outil Cibles'!X$7&gt;=0),IF('Outil Cibles'!X$5='Outil Cibles'!$B$41, IF('Outil Cibles'!X$6='Outil Cibles'!$E$41, VLOOKUP('Background graphEXPL_1.5'!$A5, '1.5°C'!$B$39:$AG$67, 26,FALSE), VLOOKUP('Background graphEXPL_1.5'!$A5, '1.5°C'!$B$39:$AG$67, 27,FALSE)), IF('Outil Cibles'!X$6='Outil Cibles'!$E$41, VLOOKUP('Background graphEXPL_1.5'!$A5, '1.5°C'!$B$39:$AG$67, 31,FALSE), VLOOKUP('Background graphEXPL_1.5'!$A5, '1.5°C'!$B$39:$AG$67, 32,FALSE))), 0)</f>
        <v>0</v>
      </c>
      <c r="J5" s="23">
        <f>IF(AND($A5-'Outil Cibles'!Y$7&lt;=60,$A5-'Outil Cibles'!Y$7&gt;=0),IF('Outil Cibles'!Y$5='Outil Cibles'!$B$41, IF('Outil Cibles'!Y$6='Outil Cibles'!$E$41, VLOOKUP('Background graphEXPL_1.5'!$A5, '1.5°C'!$B$39:$AG$67, 26,FALSE), VLOOKUP('Background graphEXPL_1.5'!$A5, '1.5°C'!$B$39:$AG$67, 27,FALSE)), IF('Outil Cibles'!Y$6='Outil Cibles'!$E$41, VLOOKUP('Background graphEXPL_1.5'!$A5, '1.5°C'!$B$39:$AG$67, 31,FALSE), VLOOKUP('Background graphEXPL_1.5'!$A5, '1.5°C'!$B$39:$AG$67, 32,FALSE))), 0)</f>
        <v>0</v>
      </c>
      <c r="K5" s="23">
        <f>IF(AND($A5-'Outil Cibles'!Z$7&lt;=60,$A5-'Outil Cibles'!Z$7&gt;=0),IF('Outil Cibles'!Z$5='Outil Cibles'!$B$41, IF('Outil Cibles'!Z$6='Outil Cibles'!$E$41, VLOOKUP('Background graphEXPL_1.5'!$A5, '1.5°C'!$B$39:$AG$67, 26,FALSE), VLOOKUP('Background graphEXPL_1.5'!$A5, '1.5°C'!$B$39:$AG$67, 27,FALSE)), IF('Outil Cibles'!Z$6='Outil Cibles'!$E$41, VLOOKUP('Background graphEXPL_1.5'!$A5, '1.5°C'!$B$39:$AG$67, 31,FALSE), VLOOKUP('Background graphEXPL_1.5'!$A5, '1.5°C'!$B$39:$AG$67, 32,FALSE))), 0)</f>
        <v>0</v>
      </c>
      <c r="L5" s="23">
        <f t="shared" ref="L5:L32" si="0">SUM(B5:K5)</f>
        <v>0</v>
      </c>
      <c r="N5">
        <v>2023</v>
      </c>
      <c r="O5">
        <f>B5*'Outil Cibles'!Q$8</f>
        <v>0</v>
      </c>
      <c r="P5">
        <f>C5*'Outil Cibles'!R$8</f>
        <v>0</v>
      </c>
      <c r="Q5">
        <f>D5*'Outil Cibles'!S$8</f>
        <v>0</v>
      </c>
      <c r="R5">
        <f>E5*'Outil Cibles'!T$8</f>
        <v>0</v>
      </c>
      <c r="S5">
        <f>F5*'Outil Cibles'!U$8</f>
        <v>0</v>
      </c>
      <c r="T5">
        <f>G5*'Outil Cibles'!V$8</f>
        <v>0</v>
      </c>
      <c r="U5">
        <f>H5*'Outil Cibles'!W$8</f>
        <v>0</v>
      </c>
      <c r="V5">
        <f>I5*'Outil Cibles'!X$8</f>
        <v>0</v>
      </c>
      <c r="W5">
        <f>J5*'Outil Cibles'!Y$8</f>
        <v>0</v>
      </c>
      <c r="X5">
        <f>K5*'Outil Cibles'!Z$8</f>
        <v>0</v>
      </c>
      <c r="Y5">
        <f t="shared" ref="Y5:Y32" si="1">SUM(O5:X5)</f>
        <v>0</v>
      </c>
    </row>
    <row r="6" spans="1:25" x14ac:dyDescent="0.3">
      <c r="A6">
        <v>2024</v>
      </c>
      <c r="B6" s="23">
        <f>IF(AND($A6-'Outil Cibles'!Q$7&lt;=60,$A6-'Outil Cibles'!Q$7&gt;=0),IF('Outil Cibles'!Q$5='Outil Cibles'!$B$41, IF('Outil Cibles'!Q$6='Outil Cibles'!$E$41, VLOOKUP('Background graphEXPL_1.5'!$A6, '1.5°C'!$B$39:$AG$67, 26,FALSE), VLOOKUP('Background graphEXPL_1.5'!$A6, '1.5°C'!$B$39:$AG$67, 27,FALSE)), IF('Outil Cibles'!Q$6='Outil Cibles'!$E$41, VLOOKUP('Background graphEXPL_1.5'!$A6, '1.5°C'!$B$39:$AG$67, 31,FALSE), VLOOKUP('Background graphEXPL_1.5'!$A6, '1.5°C'!$B$39:$AG$67, 32,FALSE))), 0)</f>
        <v>2.483496517754249</v>
      </c>
      <c r="C6" s="23">
        <f>IF(AND($A6-'Outil Cibles'!R$7&lt;=60,$A6-'Outil Cibles'!R$7&gt;=0),IF('Outil Cibles'!R$5='Outil Cibles'!$B$41, IF('Outil Cibles'!R$6='Outil Cibles'!$E$41, VLOOKUP('Background graphEXPL_1.5'!$A6, '1.5°C'!$B$39:$AG$67, 26,FALSE), VLOOKUP('Background graphEXPL_1.5'!$A6, '1.5°C'!$B$39:$AG$67, 27,FALSE)), IF('Outil Cibles'!R$6='Outil Cibles'!$E$41, VLOOKUP('Background graphEXPL_1.5'!$A6, '1.5°C'!$B$39:$AG$67, 31,FALSE), VLOOKUP('Background graphEXPL_1.5'!$A6, '1.5°C'!$B$39:$AG$67, 32,FALSE))), 0)</f>
        <v>0</v>
      </c>
      <c r="D6" s="23">
        <f>IF(AND($A6-'Outil Cibles'!S$7&lt;=60,$A6-'Outil Cibles'!S$7&gt;=0),IF('Outil Cibles'!S$5='Outil Cibles'!$B$41, IF('Outil Cibles'!S$6='Outil Cibles'!$E$41, VLOOKUP('Background graphEXPL_1.5'!$A6, '1.5°C'!$B$39:$AG$67, 26,FALSE), VLOOKUP('Background graphEXPL_1.5'!$A6, '1.5°C'!$B$39:$AG$67, 27,FALSE)), IF('Outil Cibles'!S$6='Outil Cibles'!$E$41, VLOOKUP('Background graphEXPL_1.5'!$A6, '1.5°C'!$B$39:$AG$67, 31,FALSE), VLOOKUP('Background graphEXPL_1.5'!$A6, '1.5°C'!$B$39:$AG$67, 32,FALSE))), 0)</f>
        <v>0</v>
      </c>
      <c r="E6" s="23">
        <f>IF(AND($A6-'Outil Cibles'!T$7&lt;=60,$A6-'Outil Cibles'!T$7&gt;=0),IF('Outil Cibles'!T$5='Outil Cibles'!$B$41, IF('Outil Cibles'!T$6='Outil Cibles'!$E$41, VLOOKUP('Background graphEXPL_1.5'!$A6, '1.5°C'!$B$39:$AG$67, 26,FALSE), VLOOKUP('Background graphEXPL_1.5'!$A6, '1.5°C'!$B$39:$AG$67, 27,FALSE)), IF('Outil Cibles'!T$6='Outil Cibles'!$E$41, VLOOKUP('Background graphEXPL_1.5'!$A6, '1.5°C'!$B$39:$AG$67, 31,FALSE), VLOOKUP('Background graphEXPL_1.5'!$A6, '1.5°C'!$B$39:$AG$67, 32,FALSE))), 0)</f>
        <v>0</v>
      </c>
      <c r="F6" s="23">
        <f>IF(AND($A6-'Outil Cibles'!U$7&lt;=60,$A6-'Outil Cibles'!U$7&gt;=0),IF('Outil Cibles'!U$5='Outil Cibles'!$B$41, IF('Outil Cibles'!U$6='Outil Cibles'!$E$41, VLOOKUP('Background graphEXPL_1.5'!$A6, '1.5°C'!$B$39:$AG$67, 26,FALSE), VLOOKUP('Background graphEXPL_1.5'!$A6, '1.5°C'!$B$39:$AG$67, 27,FALSE)), IF('Outil Cibles'!U$6='Outil Cibles'!$E$41, VLOOKUP('Background graphEXPL_1.5'!$A6, '1.5°C'!$B$39:$AG$67, 31,FALSE), VLOOKUP('Background graphEXPL_1.5'!$A6, '1.5°C'!$B$39:$AG$67, 32,FALSE))), 0)</f>
        <v>0</v>
      </c>
      <c r="G6" s="23">
        <f>IF(AND($A6-'Outil Cibles'!V$7&lt;=60,$A6-'Outil Cibles'!V$7&gt;=0),IF('Outil Cibles'!V$5='Outil Cibles'!$B$41, IF('Outil Cibles'!V$6='Outil Cibles'!$E$41, VLOOKUP('Background graphEXPL_1.5'!$A6, '1.5°C'!$B$39:$AG$67, 26,FALSE), VLOOKUP('Background graphEXPL_1.5'!$A6, '1.5°C'!$B$39:$AG$67, 27,FALSE)), IF('Outil Cibles'!V$6='Outil Cibles'!$E$41, VLOOKUP('Background graphEXPL_1.5'!$A6, '1.5°C'!$B$39:$AG$67, 31,FALSE), VLOOKUP('Background graphEXPL_1.5'!$A6, '1.5°C'!$B$39:$AG$67, 32,FALSE))), 0)</f>
        <v>0</v>
      </c>
      <c r="H6" s="23">
        <f>IF(AND($A6-'Outil Cibles'!W$7&lt;=60,$A6-'Outil Cibles'!W$7&gt;=0),IF('Outil Cibles'!W$5='Outil Cibles'!$B$41, IF('Outil Cibles'!W$6='Outil Cibles'!$E$41, VLOOKUP('Background graphEXPL_1.5'!$A6, '1.5°C'!$B$39:$AG$67, 26,FALSE), VLOOKUP('Background graphEXPL_1.5'!$A6, '1.5°C'!$B$39:$AG$67, 27,FALSE)), IF('Outil Cibles'!W$6='Outil Cibles'!$E$41, VLOOKUP('Background graphEXPL_1.5'!$A6, '1.5°C'!$B$39:$AG$67, 31,FALSE), VLOOKUP('Background graphEXPL_1.5'!$A6, '1.5°C'!$B$39:$AG$67, 32,FALSE))), 0)</f>
        <v>0</v>
      </c>
      <c r="I6" s="23">
        <f>IF(AND($A6-'Outil Cibles'!X$7&lt;=60,$A6-'Outil Cibles'!X$7&gt;=0),IF('Outil Cibles'!X$5='Outil Cibles'!$B$41, IF('Outil Cibles'!X$6='Outil Cibles'!$E$41, VLOOKUP('Background graphEXPL_1.5'!$A6, '1.5°C'!$B$39:$AG$67, 26,FALSE), VLOOKUP('Background graphEXPL_1.5'!$A6, '1.5°C'!$B$39:$AG$67, 27,FALSE)), IF('Outil Cibles'!X$6='Outil Cibles'!$E$41, VLOOKUP('Background graphEXPL_1.5'!$A6, '1.5°C'!$B$39:$AG$67, 31,FALSE), VLOOKUP('Background graphEXPL_1.5'!$A6, '1.5°C'!$B$39:$AG$67, 32,FALSE))), 0)</f>
        <v>0</v>
      </c>
      <c r="J6" s="23">
        <f>IF(AND($A6-'Outil Cibles'!Y$7&lt;=60,$A6-'Outil Cibles'!Y$7&gt;=0),IF('Outil Cibles'!Y$5='Outil Cibles'!$B$41, IF('Outil Cibles'!Y$6='Outil Cibles'!$E$41, VLOOKUP('Background graphEXPL_1.5'!$A6, '1.5°C'!$B$39:$AG$67, 26,FALSE), VLOOKUP('Background graphEXPL_1.5'!$A6, '1.5°C'!$B$39:$AG$67, 27,FALSE)), IF('Outil Cibles'!Y$6='Outil Cibles'!$E$41, VLOOKUP('Background graphEXPL_1.5'!$A6, '1.5°C'!$B$39:$AG$67, 31,FALSE), VLOOKUP('Background graphEXPL_1.5'!$A6, '1.5°C'!$B$39:$AG$67, 32,FALSE))), 0)</f>
        <v>0</v>
      </c>
      <c r="K6" s="23">
        <f>IF(AND($A6-'Outil Cibles'!Z$7&lt;=60,$A6-'Outil Cibles'!Z$7&gt;=0),IF('Outil Cibles'!Z$5='Outil Cibles'!$B$41, IF('Outil Cibles'!Z$6='Outil Cibles'!$E$41, VLOOKUP('Background graphEXPL_1.5'!$A6, '1.5°C'!$B$39:$AG$67, 26,FALSE), VLOOKUP('Background graphEXPL_1.5'!$A6, '1.5°C'!$B$39:$AG$67, 27,FALSE)), IF('Outil Cibles'!Z$6='Outil Cibles'!$E$41, VLOOKUP('Background graphEXPL_1.5'!$A6, '1.5°C'!$B$39:$AG$67, 31,FALSE), VLOOKUP('Background graphEXPL_1.5'!$A6, '1.5°C'!$B$39:$AG$67, 32,FALSE))), 0)</f>
        <v>0</v>
      </c>
      <c r="L6" s="23">
        <f t="shared" si="0"/>
        <v>2.483496517754249</v>
      </c>
      <c r="N6">
        <v>2024</v>
      </c>
      <c r="O6">
        <f>B6*'Outil Cibles'!Q$8</f>
        <v>2483.496517754249</v>
      </c>
      <c r="P6">
        <f>C6*'Outil Cibles'!R$8</f>
        <v>0</v>
      </c>
      <c r="Q6">
        <f>D6*'Outil Cibles'!S$8</f>
        <v>0</v>
      </c>
      <c r="R6">
        <f>E6*'Outil Cibles'!T$8</f>
        <v>0</v>
      </c>
      <c r="S6">
        <f>F6*'Outil Cibles'!U$8</f>
        <v>0</v>
      </c>
      <c r="T6">
        <f>G6*'Outil Cibles'!V$8</f>
        <v>0</v>
      </c>
      <c r="U6">
        <f>H6*'Outil Cibles'!W$8</f>
        <v>0</v>
      </c>
      <c r="V6">
        <f>I6*'Outil Cibles'!X$8</f>
        <v>0</v>
      </c>
      <c r="W6">
        <f>J6*'Outil Cibles'!Y$8</f>
        <v>0</v>
      </c>
      <c r="X6">
        <f>K6*'Outil Cibles'!Z$8</f>
        <v>0</v>
      </c>
      <c r="Y6">
        <f t="shared" si="1"/>
        <v>2483.496517754249</v>
      </c>
    </row>
    <row r="7" spans="1:25" x14ac:dyDescent="0.3">
      <c r="A7" s="10">
        <v>2025</v>
      </c>
      <c r="B7" s="23">
        <f>IF(AND($A7-'Outil Cibles'!Q$7&lt;=60,$A7-'Outil Cibles'!Q$7&gt;=0),IF('Outil Cibles'!Q$5='Outil Cibles'!$B$41, IF('Outil Cibles'!Q$6='Outil Cibles'!$E$41, VLOOKUP('Background graphEXPL_1.5'!$A7, '1.5°C'!$B$39:$AG$67, 26,FALSE), VLOOKUP('Background graphEXPL_1.5'!$A7, '1.5°C'!$B$39:$AG$67, 27,FALSE)), IF('Outil Cibles'!Q$6='Outil Cibles'!$E$41, VLOOKUP('Background graphEXPL_1.5'!$A7, '1.5°C'!$B$39:$AG$67, 31,FALSE), VLOOKUP('Background graphEXPL_1.5'!$A7, '1.5°C'!$B$39:$AG$67, 32,FALSE))), 0)</f>
        <v>2.2486211844489672</v>
      </c>
      <c r="C7" s="23">
        <f>IF(AND($A7-'Outil Cibles'!R$7&lt;=60,$A7-'Outil Cibles'!R$7&gt;=0),IF('Outil Cibles'!R$5='Outil Cibles'!$B$41, IF('Outil Cibles'!R$6='Outil Cibles'!$E$41, VLOOKUP('Background graphEXPL_1.5'!$A7, '1.5°C'!$B$39:$AG$67, 26,FALSE), VLOOKUP('Background graphEXPL_1.5'!$A7, '1.5°C'!$B$39:$AG$67, 27,FALSE)), IF('Outil Cibles'!R$6='Outil Cibles'!$E$41, VLOOKUP('Background graphEXPL_1.5'!$A7, '1.5°C'!$B$39:$AG$67, 31,FALSE), VLOOKUP('Background graphEXPL_1.5'!$A7, '1.5°C'!$B$39:$AG$67, 32,FALSE))), 0)</f>
        <v>0</v>
      </c>
      <c r="D7" s="23">
        <f>IF(AND($A7-'Outil Cibles'!S$7&lt;=60,$A7-'Outil Cibles'!S$7&gt;=0),IF('Outil Cibles'!S$5='Outil Cibles'!$B$41, IF('Outil Cibles'!S$6='Outil Cibles'!$E$41, VLOOKUP('Background graphEXPL_1.5'!$A7, '1.5°C'!$B$39:$AG$67, 26,FALSE), VLOOKUP('Background graphEXPL_1.5'!$A7, '1.5°C'!$B$39:$AG$67, 27,FALSE)), IF('Outil Cibles'!S$6='Outil Cibles'!$E$41, VLOOKUP('Background graphEXPL_1.5'!$A7, '1.5°C'!$B$39:$AG$67, 31,FALSE), VLOOKUP('Background graphEXPL_1.5'!$A7, '1.5°C'!$B$39:$AG$67, 32,FALSE))), 0)</f>
        <v>0</v>
      </c>
      <c r="E7" s="23">
        <f>IF(AND($A7-'Outil Cibles'!T$7&lt;=60,$A7-'Outil Cibles'!T$7&gt;=0),IF('Outil Cibles'!T$5='Outil Cibles'!$B$41, IF('Outil Cibles'!T$6='Outil Cibles'!$E$41, VLOOKUP('Background graphEXPL_1.5'!$A7, '1.5°C'!$B$39:$AG$67, 26,FALSE), VLOOKUP('Background graphEXPL_1.5'!$A7, '1.5°C'!$B$39:$AG$67, 27,FALSE)), IF('Outil Cibles'!T$6='Outil Cibles'!$E$41, VLOOKUP('Background graphEXPL_1.5'!$A7, '1.5°C'!$B$39:$AG$67, 31,FALSE), VLOOKUP('Background graphEXPL_1.5'!$A7, '1.5°C'!$B$39:$AG$67, 32,FALSE))), 0)</f>
        <v>0</v>
      </c>
      <c r="F7" s="23">
        <f>IF(AND($A7-'Outil Cibles'!U$7&lt;=60,$A7-'Outil Cibles'!U$7&gt;=0),IF('Outil Cibles'!U$5='Outil Cibles'!$B$41, IF('Outil Cibles'!U$6='Outil Cibles'!$E$41, VLOOKUP('Background graphEXPL_1.5'!$A7, '1.5°C'!$B$39:$AG$67, 26,FALSE), VLOOKUP('Background graphEXPL_1.5'!$A7, '1.5°C'!$B$39:$AG$67, 27,FALSE)), IF('Outil Cibles'!U$6='Outil Cibles'!$E$41, VLOOKUP('Background graphEXPL_1.5'!$A7, '1.5°C'!$B$39:$AG$67, 31,FALSE), VLOOKUP('Background graphEXPL_1.5'!$A7, '1.5°C'!$B$39:$AG$67, 32,FALSE))), 0)</f>
        <v>0</v>
      </c>
      <c r="G7" s="23">
        <f>IF(AND($A7-'Outil Cibles'!V$7&lt;=60,$A7-'Outil Cibles'!V$7&gt;=0),IF('Outil Cibles'!V$5='Outil Cibles'!$B$41, IF('Outil Cibles'!V$6='Outil Cibles'!$E$41, VLOOKUP('Background graphEXPL_1.5'!$A7, '1.5°C'!$B$39:$AG$67, 26,FALSE), VLOOKUP('Background graphEXPL_1.5'!$A7, '1.5°C'!$B$39:$AG$67, 27,FALSE)), IF('Outil Cibles'!V$6='Outil Cibles'!$E$41, VLOOKUP('Background graphEXPL_1.5'!$A7, '1.5°C'!$B$39:$AG$67, 31,FALSE), VLOOKUP('Background graphEXPL_1.5'!$A7, '1.5°C'!$B$39:$AG$67, 32,FALSE))), 0)</f>
        <v>0</v>
      </c>
      <c r="H7" s="23">
        <f>IF(AND($A7-'Outil Cibles'!W$7&lt;=60,$A7-'Outil Cibles'!W$7&gt;=0),IF('Outil Cibles'!W$5='Outil Cibles'!$B$41, IF('Outil Cibles'!W$6='Outil Cibles'!$E$41, VLOOKUP('Background graphEXPL_1.5'!$A7, '1.5°C'!$B$39:$AG$67, 26,FALSE), VLOOKUP('Background graphEXPL_1.5'!$A7, '1.5°C'!$B$39:$AG$67, 27,FALSE)), IF('Outil Cibles'!W$6='Outil Cibles'!$E$41, VLOOKUP('Background graphEXPL_1.5'!$A7, '1.5°C'!$B$39:$AG$67, 31,FALSE), VLOOKUP('Background graphEXPL_1.5'!$A7, '1.5°C'!$B$39:$AG$67, 32,FALSE))), 0)</f>
        <v>0</v>
      </c>
      <c r="I7" s="23">
        <f>IF(AND($A7-'Outil Cibles'!X$7&lt;=60,$A7-'Outil Cibles'!X$7&gt;=0),IF('Outil Cibles'!X$5='Outil Cibles'!$B$41, IF('Outil Cibles'!X$6='Outil Cibles'!$E$41, VLOOKUP('Background graphEXPL_1.5'!$A7, '1.5°C'!$B$39:$AG$67, 26,FALSE), VLOOKUP('Background graphEXPL_1.5'!$A7, '1.5°C'!$B$39:$AG$67, 27,FALSE)), IF('Outil Cibles'!X$6='Outil Cibles'!$E$41, VLOOKUP('Background graphEXPL_1.5'!$A7, '1.5°C'!$B$39:$AG$67, 31,FALSE), VLOOKUP('Background graphEXPL_1.5'!$A7, '1.5°C'!$B$39:$AG$67, 32,FALSE))), 0)</f>
        <v>0</v>
      </c>
      <c r="J7" s="23">
        <f>IF(AND($A7-'Outil Cibles'!Y$7&lt;=60,$A7-'Outil Cibles'!Y$7&gt;=0),IF('Outil Cibles'!Y$5='Outil Cibles'!$B$41, IF('Outil Cibles'!Y$6='Outil Cibles'!$E$41, VLOOKUP('Background graphEXPL_1.5'!$A7, '1.5°C'!$B$39:$AG$67, 26,FALSE), VLOOKUP('Background graphEXPL_1.5'!$A7, '1.5°C'!$B$39:$AG$67, 27,FALSE)), IF('Outil Cibles'!Y$6='Outil Cibles'!$E$41, VLOOKUP('Background graphEXPL_1.5'!$A7, '1.5°C'!$B$39:$AG$67, 31,FALSE), VLOOKUP('Background graphEXPL_1.5'!$A7, '1.5°C'!$B$39:$AG$67, 32,FALSE))), 0)</f>
        <v>0</v>
      </c>
      <c r="K7" s="23">
        <f>IF(AND($A7-'Outil Cibles'!Z$7&lt;=60,$A7-'Outil Cibles'!Z$7&gt;=0),IF('Outil Cibles'!Z$5='Outil Cibles'!$B$41, IF('Outil Cibles'!Z$6='Outil Cibles'!$E$41, VLOOKUP('Background graphEXPL_1.5'!$A7, '1.5°C'!$B$39:$AG$67, 26,FALSE), VLOOKUP('Background graphEXPL_1.5'!$A7, '1.5°C'!$B$39:$AG$67, 27,FALSE)), IF('Outil Cibles'!Z$6='Outil Cibles'!$E$41, VLOOKUP('Background graphEXPL_1.5'!$A7, '1.5°C'!$B$39:$AG$67, 31,FALSE), VLOOKUP('Background graphEXPL_1.5'!$A7, '1.5°C'!$B$39:$AG$67, 32,FALSE))), 0)</f>
        <v>0</v>
      </c>
      <c r="L7" s="23">
        <f t="shared" si="0"/>
        <v>2.2486211844489672</v>
      </c>
      <c r="N7" s="10">
        <v>2025</v>
      </c>
      <c r="O7">
        <f>B7*'Outil Cibles'!Q$8</f>
        <v>2248.6211844489671</v>
      </c>
      <c r="P7">
        <f>C7*'Outil Cibles'!R$8</f>
        <v>0</v>
      </c>
      <c r="Q7">
        <f>D7*'Outil Cibles'!S$8</f>
        <v>0</v>
      </c>
      <c r="R7">
        <f>E7*'Outil Cibles'!T$8</f>
        <v>0</v>
      </c>
      <c r="S7">
        <f>F7*'Outil Cibles'!U$8</f>
        <v>0</v>
      </c>
      <c r="T7">
        <f>G7*'Outil Cibles'!V$8</f>
        <v>0</v>
      </c>
      <c r="U7">
        <f>H7*'Outil Cibles'!W$8</f>
        <v>0</v>
      </c>
      <c r="V7">
        <f>I7*'Outil Cibles'!X$8</f>
        <v>0</v>
      </c>
      <c r="W7">
        <f>J7*'Outil Cibles'!Y$8</f>
        <v>0</v>
      </c>
      <c r="X7">
        <f>K7*'Outil Cibles'!Z$8</f>
        <v>0</v>
      </c>
      <c r="Y7">
        <f t="shared" si="1"/>
        <v>2248.6211844489671</v>
      </c>
    </row>
    <row r="8" spans="1:25" x14ac:dyDescent="0.3">
      <c r="A8">
        <v>2026</v>
      </c>
      <c r="B8" s="23">
        <f>IF(AND($A8-'Outil Cibles'!Q$7&lt;=60,$A8-'Outil Cibles'!Q$7&gt;=0),IF('Outil Cibles'!Q$5='Outil Cibles'!$B$41, IF('Outil Cibles'!Q$6='Outil Cibles'!$E$41, VLOOKUP('Background graphEXPL_1.5'!$A8, '1.5°C'!$B$39:$AG$67, 26,FALSE), VLOOKUP('Background graphEXPL_1.5'!$A8, '1.5°C'!$B$39:$AG$67, 27,FALSE)), IF('Outil Cibles'!Q$6='Outil Cibles'!$E$41, VLOOKUP('Background graphEXPL_1.5'!$A8, '1.5°C'!$B$39:$AG$67, 31,FALSE), VLOOKUP('Background graphEXPL_1.5'!$A8, '1.5°C'!$B$39:$AG$67, 32,FALSE))), 0)</f>
        <v>2.0167812428809189</v>
      </c>
      <c r="C8" s="23">
        <f>IF(AND($A8-'Outil Cibles'!R$7&lt;=60,$A8-'Outil Cibles'!R$7&gt;=0),IF('Outil Cibles'!R$5='Outil Cibles'!$B$41, IF('Outil Cibles'!R$6='Outil Cibles'!$E$41, VLOOKUP('Background graphEXPL_1.5'!$A8, '1.5°C'!$B$39:$AG$67, 26,FALSE), VLOOKUP('Background graphEXPL_1.5'!$A8, '1.5°C'!$B$39:$AG$67, 27,FALSE)), IF('Outil Cibles'!R$6='Outil Cibles'!$E$41, VLOOKUP('Background graphEXPL_1.5'!$A8, '1.5°C'!$B$39:$AG$67, 31,FALSE), VLOOKUP('Background graphEXPL_1.5'!$A8, '1.5°C'!$B$39:$AG$67, 32,FALSE))), 0)</f>
        <v>5.9828289322124677</v>
      </c>
      <c r="D8" s="23">
        <f>IF(AND($A8-'Outil Cibles'!S$7&lt;=60,$A8-'Outil Cibles'!S$7&gt;=0),IF('Outil Cibles'!S$5='Outil Cibles'!$B$41, IF('Outil Cibles'!S$6='Outil Cibles'!$E$41, VLOOKUP('Background graphEXPL_1.5'!$A8, '1.5°C'!$B$39:$AG$67, 26,FALSE), VLOOKUP('Background graphEXPL_1.5'!$A8, '1.5°C'!$B$39:$AG$67, 27,FALSE)), IF('Outil Cibles'!S$6='Outil Cibles'!$E$41, VLOOKUP('Background graphEXPL_1.5'!$A8, '1.5°C'!$B$39:$AG$67, 31,FALSE), VLOOKUP('Background graphEXPL_1.5'!$A8, '1.5°C'!$B$39:$AG$67, 32,FALSE))), 0)</f>
        <v>0</v>
      </c>
      <c r="E8" s="23">
        <f>IF(AND($A8-'Outil Cibles'!T$7&lt;=60,$A8-'Outil Cibles'!T$7&gt;=0),IF('Outil Cibles'!T$5='Outil Cibles'!$B$41, IF('Outil Cibles'!T$6='Outil Cibles'!$E$41, VLOOKUP('Background graphEXPL_1.5'!$A8, '1.5°C'!$B$39:$AG$67, 26,FALSE), VLOOKUP('Background graphEXPL_1.5'!$A8, '1.5°C'!$B$39:$AG$67, 27,FALSE)), IF('Outil Cibles'!T$6='Outil Cibles'!$E$41, VLOOKUP('Background graphEXPL_1.5'!$A8, '1.5°C'!$B$39:$AG$67, 31,FALSE), VLOOKUP('Background graphEXPL_1.5'!$A8, '1.5°C'!$B$39:$AG$67, 32,FALSE))), 0)</f>
        <v>0</v>
      </c>
      <c r="F8" s="23">
        <f>IF(AND($A8-'Outil Cibles'!U$7&lt;=60,$A8-'Outil Cibles'!U$7&gt;=0),IF('Outil Cibles'!U$5='Outil Cibles'!$B$41, IF('Outil Cibles'!U$6='Outil Cibles'!$E$41, VLOOKUP('Background graphEXPL_1.5'!$A8, '1.5°C'!$B$39:$AG$67, 26,FALSE), VLOOKUP('Background graphEXPL_1.5'!$A8, '1.5°C'!$B$39:$AG$67, 27,FALSE)), IF('Outil Cibles'!U$6='Outil Cibles'!$E$41, VLOOKUP('Background graphEXPL_1.5'!$A8, '1.5°C'!$B$39:$AG$67, 31,FALSE), VLOOKUP('Background graphEXPL_1.5'!$A8, '1.5°C'!$B$39:$AG$67, 32,FALSE))), 0)</f>
        <v>0</v>
      </c>
      <c r="G8" s="23">
        <f>IF(AND($A8-'Outil Cibles'!V$7&lt;=60,$A8-'Outil Cibles'!V$7&gt;=0),IF('Outil Cibles'!V$5='Outil Cibles'!$B$41, IF('Outil Cibles'!V$6='Outil Cibles'!$E$41, VLOOKUP('Background graphEXPL_1.5'!$A8, '1.5°C'!$B$39:$AG$67, 26,FALSE), VLOOKUP('Background graphEXPL_1.5'!$A8, '1.5°C'!$B$39:$AG$67, 27,FALSE)), IF('Outil Cibles'!V$6='Outil Cibles'!$E$41, VLOOKUP('Background graphEXPL_1.5'!$A8, '1.5°C'!$B$39:$AG$67, 31,FALSE), VLOOKUP('Background graphEXPL_1.5'!$A8, '1.5°C'!$B$39:$AG$67, 32,FALSE))), 0)</f>
        <v>0</v>
      </c>
      <c r="H8" s="23">
        <f>IF(AND($A8-'Outil Cibles'!W$7&lt;=60,$A8-'Outil Cibles'!W$7&gt;=0),IF('Outil Cibles'!W$5='Outil Cibles'!$B$41, IF('Outil Cibles'!W$6='Outil Cibles'!$E$41, VLOOKUP('Background graphEXPL_1.5'!$A8, '1.5°C'!$B$39:$AG$67, 26,FALSE), VLOOKUP('Background graphEXPL_1.5'!$A8, '1.5°C'!$B$39:$AG$67, 27,FALSE)), IF('Outil Cibles'!W$6='Outil Cibles'!$E$41, VLOOKUP('Background graphEXPL_1.5'!$A8, '1.5°C'!$B$39:$AG$67, 31,FALSE), VLOOKUP('Background graphEXPL_1.5'!$A8, '1.5°C'!$B$39:$AG$67, 32,FALSE))), 0)</f>
        <v>0</v>
      </c>
      <c r="I8" s="23">
        <f>IF(AND($A8-'Outil Cibles'!X$7&lt;=60,$A8-'Outil Cibles'!X$7&gt;=0),IF('Outil Cibles'!X$5='Outil Cibles'!$B$41, IF('Outil Cibles'!X$6='Outil Cibles'!$E$41, VLOOKUP('Background graphEXPL_1.5'!$A8, '1.5°C'!$B$39:$AG$67, 26,FALSE), VLOOKUP('Background graphEXPL_1.5'!$A8, '1.5°C'!$B$39:$AG$67, 27,FALSE)), IF('Outil Cibles'!X$6='Outil Cibles'!$E$41, VLOOKUP('Background graphEXPL_1.5'!$A8, '1.5°C'!$B$39:$AG$67, 31,FALSE), VLOOKUP('Background graphEXPL_1.5'!$A8, '1.5°C'!$B$39:$AG$67, 32,FALSE))), 0)</f>
        <v>0</v>
      </c>
      <c r="J8" s="23">
        <f>IF(AND($A8-'Outil Cibles'!Y$7&lt;=60,$A8-'Outil Cibles'!Y$7&gt;=0),IF('Outil Cibles'!Y$5='Outil Cibles'!$B$41, IF('Outil Cibles'!Y$6='Outil Cibles'!$E$41, VLOOKUP('Background graphEXPL_1.5'!$A8, '1.5°C'!$B$39:$AG$67, 26,FALSE), VLOOKUP('Background graphEXPL_1.5'!$A8, '1.5°C'!$B$39:$AG$67, 27,FALSE)), IF('Outil Cibles'!Y$6='Outil Cibles'!$E$41, VLOOKUP('Background graphEXPL_1.5'!$A8, '1.5°C'!$B$39:$AG$67, 31,FALSE), VLOOKUP('Background graphEXPL_1.5'!$A8, '1.5°C'!$B$39:$AG$67, 32,FALSE))), 0)</f>
        <v>0</v>
      </c>
      <c r="K8" s="23">
        <f>IF(AND($A8-'Outil Cibles'!Z$7&lt;=60,$A8-'Outil Cibles'!Z$7&gt;=0),IF('Outil Cibles'!Z$5='Outil Cibles'!$B$41, IF('Outil Cibles'!Z$6='Outil Cibles'!$E$41, VLOOKUP('Background graphEXPL_1.5'!$A8, '1.5°C'!$B$39:$AG$67, 26,FALSE), VLOOKUP('Background graphEXPL_1.5'!$A8, '1.5°C'!$B$39:$AG$67, 27,FALSE)), IF('Outil Cibles'!Z$6='Outil Cibles'!$E$41, VLOOKUP('Background graphEXPL_1.5'!$A8, '1.5°C'!$B$39:$AG$67, 31,FALSE), VLOOKUP('Background graphEXPL_1.5'!$A8, '1.5°C'!$B$39:$AG$67, 32,FALSE))), 0)</f>
        <v>0</v>
      </c>
      <c r="L8" s="23">
        <f t="shared" si="0"/>
        <v>7.9996101750933866</v>
      </c>
      <c r="N8">
        <v>2026</v>
      </c>
      <c r="O8">
        <f>B8*'Outil Cibles'!Q$8</f>
        <v>2016.7812428809189</v>
      </c>
      <c r="P8">
        <f>C8*'Outil Cibles'!R$8</f>
        <v>5982.8289322124674</v>
      </c>
      <c r="Q8">
        <f>D8*'Outil Cibles'!S$8</f>
        <v>0</v>
      </c>
      <c r="R8">
        <f>E8*'Outil Cibles'!T$8</f>
        <v>0</v>
      </c>
      <c r="S8">
        <f>F8*'Outil Cibles'!U$8</f>
        <v>0</v>
      </c>
      <c r="T8">
        <f>G8*'Outil Cibles'!V$8</f>
        <v>0</v>
      </c>
      <c r="U8">
        <f>H8*'Outil Cibles'!W$8</f>
        <v>0</v>
      </c>
      <c r="V8">
        <f>I8*'Outil Cibles'!X$8</f>
        <v>0</v>
      </c>
      <c r="W8">
        <f>J8*'Outil Cibles'!Y$8</f>
        <v>0</v>
      </c>
      <c r="X8">
        <f>K8*'Outil Cibles'!Z$8</f>
        <v>0</v>
      </c>
      <c r="Y8">
        <f t="shared" si="1"/>
        <v>7999.6101750933867</v>
      </c>
    </row>
    <row r="9" spans="1:25" x14ac:dyDescent="0.3">
      <c r="A9">
        <v>2027</v>
      </c>
      <c r="B9" s="23">
        <f>IF(AND($A9-'Outil Cibles'!Q$7&lt;=60,$A9-'Outil Cibles'!Q$7&gt;=0),IF('Outil Cibles'!Q$5='Outil Cibles'!$B$41, IF('Outil Cibles'!Q$6='Outil Cibles'!$E$41, VLOOKUP('Background graphEXPL_1.5'!$A9, '1.5°C'!$B$39:$AG$67, 26,FALSE), VLOOKUP('Background graphEXPL_1.5'!$A9, '1.5°C'!$B$39:$AG$67, 27,FALSE)), IF('Outil Cibles'!Q$6='Outil Cibles'!$E$41, VLOOKUP('Background graphEXPL_1.5'!$A9, '1.5°C'!$B$39:$AG$67, 31,FALSE), VLOOKUP('Background graphEXPL_1.5'!$A9, '1.5°C'!$B$39:$AG$67, 32,FALSE))), 0)</f>
        <v>1.7879182293782001</v>
      </c>
      <c r="C9" s="23">
        <f>IF(AND($A9-'Outil Cibles'!R$7&lt;=60,$A9-'Outil Cibles'!R$7&gt;=0),IF('Outil Cibles'!R$5='Outil Cibles'!$B$41, IF('Outil Cibles'!R$6='Outil Cibles'!$E$41, VLOOKUP('Background graphEXPL_1.5'!$A9, '1.5°C'!$B$39:$AG$67, 26,FALSE), VLOOKUP('Background graphEXPL_1.5'!$A9, '1.5°C'!$B$39:$AG$67, 27,FALSE)), IF('Outil Cibles'!R$6='Outil Cibles'!$E$41, VLOOKUP('Background graphEXPL_1.5'!$A9, '1.5°C'!$B$39:$AG$67, 31,FALSE), VLOOKUP('Background graphEXPL_1.5'!$A9, '1.5°C'!$B$39:$AG$67, 32,FALSE))), 0)</f>
        <v>5.3147307030004418</v>
      </c>
      <c r="D9" s="23">
        <f>IF(AND($A9-'Outil Cibles'!S$7&lt;=60,$A9-'Outil Cibles'!S$7&gt;=0),IF('Outil Cibles'!S$5='Outil Cibles'!$B$41, IF('Outil Cibles'!S$6='Outil Cibles'!$E$41, VLOOKUP('Background graphEXPL_1.5'!$A9, '1.5°C'!$B$39:$AG$67, 26,FALSE), VLOOKUP('Background graphEXPL_1.5'!$A9, '1.5°C'!$B$39:$AG$67, 27,FALSE)), IF('Outil Cibles'!S$6='Outil Cibles'!$E$41, VLOOKUP('Background graphEXPL_1.5'!$A9, '1.5°C'!$B$39:$AG$67, 31,FALSE), VLOOKUP('Background graphEXPL_1.5'!$A9, '1.5°C'!$B$39:$AG$67, 32,FALSE))), 0)</f>
        <v>0</v>
      </c>
      <c r="E9" s="23">
        <f>IF(AND($A9-'Outil Cibles'!T$7&lt;=60,$A9-'Outil Cibles'!T$7&gt;=0),IF('Outil Cibles'!T$5='Outil Cibles'!$B$41, IF('Outil Cibles'!T$6='Outil Cibles'!$E$41, VLOOKUP('Background graphEXPL_1.5'!$A9, '1.5°C'!$B$39:$AG$67, 26,FALSE), VLOOKUP('Background graphEXPL_1.5'!$A9, '1.5°C'!$B$39:$AG$67, 27,FALSE)), IF('Outil Cibles'!T$6='Outil Cibles'!$E$41, VLOOKUP('Background graphEXPL_1.5'!$A9, '1.5°C'!$B$39:$AG$67, 31,FALSE), VLOOKUP('Background graphEXPL_1.5'!$A9, '1.5°C'!$B$39:$AG$67, 32,FALSE))), 0)</f>
        <v>0</v>
      </c>
      <c r="F9" s="23">
        <f>IF(AND($A9-'Outil Cibles'!U$7&lt;=60,$A9-'Outil Cibles'!U$7&gt;=0),IF('Outil Cibles'!U$5='Outil Cibles'!$B$41, IF('Outil Cibles'!U$6='Outil Cibles'!$E$41, VLOOKUP('Background graphEXPL_1.5'!$A9, '1.5°C'!$B$39:$AG$67, 26,FALSE), VLOOKUP('Background graphEXPL_1.5'!$A9, '1.5°C'!$B$39:$AG$67, 27,FALSE)), IF('Outil Cibles'!U$6='Outil Cibles'!$E$41, VLOOKUP('Background graphEXPL_1.5'!$A9, '1.5°C'!$B$39:$AG$67, 31,FALSE), VLOOKUP('Background graphEXPL_1.5'!$A9, '1.5°C'!$B$39:$AG$67, 32,FALSE))), 0)</f>
        <v>0</v>
      </c>
      <c r="G9" s="23">
        <f>IF(AND($A9-'Outil Cibles'!V$7&lt;=60,$A9-'Outil Cibles'!V$7&gt;=0),IF('Outil Cibles'!V$5='Outil Cibles'!$B$41, IF('Outil Cibles'!V$6='Outil Cibles'!$E$41, VLOOKUP('Background graphEXPL_1.5'!$A9, '1.5°C'!$B$39:$AG$67, 26,FALSE), VLOOKUP('Background graphEXPL_1.5'!$A9, '1.5°C'!$B$39:$AG$67, 27,FALSE)), IF('Outil Cibles'!V$6='Outil Cibles'!$E$41, VLOOKUP('Background graphEXPL_1.5'!$A9, '1.5°C'!$B$39:$AG$67, 31,FALSE), VLOOKUP('Background graphEXPL_1.5'!$A9, '1.5°C'!$B$39:$AG$67, 32,FALSE))), 0)</f>
        <v>0</v>
      </c>
      <c r="H9" s="23">
        <f>IF(AND($A9-'Outil Cibles'!W$7&lt;=60,$A9-'Outil Cibles'!W$7&gt;=0),IF('Outil Cibles'!W$5='Outil Cibles'!$B$41, IF('Outil Cibles'!W$6='Outil Cibles'!$E$41, VLOOKUP('Background graphEXPL_1.5'!$A9, '1.5°C'!$B$39:$AG$67, 26,FALSE), VLOOKUP('Background graphEXPL_1.5'!$A9, '1.5°C'!$B$39:$AG$67, 27,FALSE)), IF('Outil Cibles'!W$6='Outil Cibles'!$E$41, VLOOKUP('Background graphEXPL_1.5'!$A9, '1.5°C'!$B$39:$AG$67, 31,FALSE), VLOOKUP('Background graphEXPL_1.5'!$A9, '1.5°C'!$B$39:$AG$67, 32,FALSE))), 0)</f>
        <v>0</v>
      </c>
      <c r="I9" s="23">
        <f>IF(AND($A9-'Outil Cibles'!X$7&lt;=60,$A9-'Outil Cibles'!X$7&gt;=0),IF('Outil Cibles'!X$5='Outil Cibles'!$B$41, IF('Outil Cibles'!X$6='Outil Cibles'!$E$41, VLOOKUP('Background graphEXPL_1.5'!$A9, '1.5°C'!$B$39:$AG$67, 26,FALSE), VLOOKUP('Background graphEXPL_1.5'!$A9, '1.5°C'!$B$39:$AG$67, 27,FALSE)), IF('Outil Cibles'!X$6='Outil Cibles'!$E$41, VLOOKUP('Background graphEXPL_1.5'!$A9, '1.5°C'!$B$39:$AG$67, 31,FALSE), VLOOKUP('Background graphEXPL_1.5'!$A9, '1.5°C'!$B$39:$AG$67, 32,FALSE))), 0)</f>
        <v>0</v>
      </c>
      <c r="J9" s="23">
        <f>IF(AND($A9-'Outil Cibles'!Y$7&lt;=60,$A9-'Outil Cibles'!Y$7&gt;=0),IF('Outil Cibles'!Y$5='Outil Cibles'!$B$41, IF('Outil Cibles'!Y$6='Outil Cibles'!$E$41, VLOOKUP('Background graphEXPL_1.5'!$A9, '1.5°C'!$B$39:$AG$67, 26,FALSE), VLOOKUP('Background graphEXPL_1.5'!$A9, '1.5°C'!$B$39:$AG$67, 27,FALSE)), IF('Outil Cibles'!Y$6='Outil Cibles'!$E$41, VLOOKUP('Background graphEXPL_1.5'!$A9, '1.5°C'!$B$39:$AG$67, 31,FALSE), VLOOKUP('Background graphEXPL_1.5'!$A9, '1.5°C'!$B$39:$AG$67, 32,FALSE))), 0)</f>
        <v>0</v>
      </c>
      <c r="K9" s="23">
        <f>IF(AND($A9-'Outil Cibles'!Z$7&lt;=60,$A9-'Outil Cibles'!Z$7&gt;=0),IF('Outil Cibles'!Z$5='Outil Cibles'!$B$41, IF('Outil Cibles'!Z$6='Outil Cibles'!$E$41, VLOOKUP('Background graphEXPL_1.5'!$A9, '1.5°C'!$B$39:$AG$67, 26,FALSE), VLOOKUP('Background graphEXPL_1.5'!$A9, '1.5°C'!$B$39:$AG$67, 27,FALSE)), IF('Outil Cibles'!Z$6='Outil Cibles'!$E$41, VLOOKUP('Background graphEXPL_1.5'!$A9, '1.5°C'!$B$39:$AG$67, 31,FALSE), VLOOKUP('Background graphEXPL_1.5'!$A9, '1.5°C'!$B$39:$AG$67, 32,FALSE))), 0)</f>
        <v>0</v>
      </c>
      <c r="L9" s="23">
        <f t="shared" si="0"/>
        <v>7.1026489323786421</v>
      </c>
      <c r="N9">
        <v>2027</v>
      </c>
      <c r="O9">
        <f>B9*'Outil Cibles'!Q$8</f>
        <v>1787.9182293782001</v>
      </c>
      <c r="P9">
        <f>C9*'Outil Cibles'!R$8</f>
        <v>5314.7307030004422</v>
      </c>
      <c r="Q9">
        <f>D9*'Outil Cibles'!S$8</f>
        <v>0</v>
      </c>
      <c r="R9">
        <f>E9*'Outil Cibles'!T$8</f>
        <v>0</v>
      </c>
      <c r="S9">
        <f>F9*'Outil Cibles'!U$8</f>
        <v>0</v>
      </c>
      <c r="T9">
        <f>G9*'Outil Cibles'!V$8</f>
        <v>0</v>
      </c>
      <c r="U9">
        <f>H9*'Outil Cibles'!W$8</f>
        <v>0</v>
      </c>
      <c r="V9">
        <f>I9*'Outil Cibles'!X$8</f>
        <v>0</v>
      </c>
      <c r="W9">
        <f>J9*'Outil Cibles'!Y$8</f>
        <v>0</v>
      </c>
      <c r="X9">
        <f>K9*'Outil Cibles'!Z$8</f>
        <v>0</v>
      </c>
      <c r="Y9">
        <f t="shared" si="1"/>
        <v>7102.6489323786427</v>
      </c>
    </row>
    <row r="10" spans="1:25" x14ac:dyDescent="0.3">
      <c r="A10">
        <v>2028</v>
      </c>
      <c r="B10" s="23">
        <f>IF(AND($A10-'Outil Cibles'!Q$7&lt;=60,$A10-'Outil Cibles'!Q$7&gt;=0),IF('Outil Cibles'!Q$5='Outil Cibles'!$B$41, IF('Outil Cibles'!Q$6='Outil Cibles'!$E$41, VLOOKUP('Background graphEXPL_1.5'!$A10, '1.5°C'!$B$39:$AG$67, 26,FALSE), VLOOKUP('Background graphEXPL_1.5'!$A10, '1.5°C'!$B$39:$AG$67, 27,FALSE)), IF('Outil Cibles'!Q$6='Outil Cibles'!$E$41, VLOOKUP('Background graphEXPL_1.5'!$A10, '1.5°C'!$B$39:$AG$67, 31,FALSE), VLOOKUP('Background graphEXPL_1.5'!$A10, '1.5°C'!$B$39:$AG$67, 32,FALSE))), 0)</f>
        <v>1.5619751720902344</v>
      </c>
      <c r="C10" s="23">
        <f>IF(AND($A10-'Outil Cibles'!R$7&lt;=60,$A10-'Outil Cibles'!R$7&gt;=0),IF('Outil Cibles'!R$5='Outil Cibles'!$B$41, IF('Outil Cibles'!R$6='Outil Cibles'!$E$41, VLOOKUP('Background graphEXPL_1.5'!$A10, '1.5°C'!$B$39:$AG$67, 26,FALSE), VLOOKUP('Background graphEXPL_1.5'!$A10, '1.5°C'!$B$39:$AG$67, 27,FALSE)), IF('Outil Cibles'!R$6='Outil Cibles'!$E$41, VLOOKUP('Background graphEXPL_1.5'!$A10, '1.5°C'!$B$39:$AG$67, 31,FALSE), VLOOKUP('Background graphEXPL_1.5'!$A10, '1.5°C'!$B$39:$AG$67, 32,FALSE))), 0)</f>
        <v>4.6523405230200892</v>
      </c>
      <c r="D10" s="23">
        <f>IF(AND($A10-'Outil Cibles'!S$7&lt;=60,$A10-'Outil Cibles'!S$7&gt;=0),IF('Outil Cibles'!S$5='Outil Cibles'!$B$41, IF('Outil Cibles'!S$6='Outil Cibles'!$E$41, VLOOKUP('Background graphEXPL_1.5'!$A10, '1.5°C'!$B$39:$AG$67, 26,FALSE), VLOOKUP('Background graphEXPL_1.5'!$A10, '1.5°C'!$B$39:$AG$67, 27,FALSE)), IF('Outil Cibles'!S$6='Outil Cibles'!$E$41, VLOOKUP('Background graphEXPL_1.5'!$A10, '1.5°C'!$B$39:$AG$67, 31,FALSE), VLOOKUP('Background graphEXPL_1.5'!$A10, '1.5°C'!$B$39:$AG$67, 32,FALSE))), 0)</f>
        <v>0</v>
      </c>
      <c r="E10" s="23">
        <f>IF(AND($A10-'Outil Cibles'!T$7&lt;=60,$A10-'Outil Cibles'!T$7&gt;=0),IF('Outil Cibles'!T$5='Outil Cibles'!$B$41, IF('Outil Cibles'!T$6='Outil Cibles'!$E$41, VLOOKUP('Background graphEXPL_1.5'!$A10, '1.5°C'!$B$39:$AG$67, 26,FALSE), VLOOKUP('Background graphEXPL_1.5'!$A10, '1.5°C'!$B$39:$AG$67, 27,FALSE)), IF('Outil Cibles'!T$6='Outil Cibles'!$E$41, VLOOKUP('Background graphEXPL_1.5'!$A10, '1.5°C'!$B$39:$AG$67, 31,FALSE), VLOOKUP('Background graphEXPL_1.5'!$A10, '1.5°C'!$B$39:$AG$67, 32,FALSE))), 0)</f>
        <v>0</v>
      </c>
      <c r="F10" s="23">
        <f>IF(AND($A10-'Outil Cibles'!U$7&lt;=60,$A10-'Outil Cibles'!U$7&gt;=0),IF('Outil Cibles'!U$5='Outil Cibles'!$B$41, IF('Outil Cibles'!U$6='Outil Cibles'!$E$41, VLOOKUP('Background graphEXPL_1.5'!$A10, '1.5°C'!$B$39:$AG$67, 26,FALSE), VLOOKUP('Background graphEXPL_1.5'!$A10, '1.5°C'!$B$39:$AG$67, 27,FALSE)), IF('Outil Cibles'!U$6='Outil Cibles'!$E$41, VLOOKUP('Background graphEXPL_1.5'!$A10, '1.5°C'!$B$39:$AG$67, 31,FALSE), VLOOKUP('Background graphEXPL_1.5'!$A10, '1.5°C'!$B$39:$AG$67, 32,FALSE))), 0)</f>
        <v>0</v>
      </c>
      <c r="G10" s="23">
        <f>IF(AND($A10-'Outil Cibles'!V$7&lt;=60,$A10-'Outil Cibles'!V$7&gt;=0),IF('Outil Cibles'!V$5='Outil Cibles'!$B$41, IF('Outil Cibles'!V$6='Outil Cibles'!$E$41, VLOOKUP('Background graphEXPL_1.5'!$A10, '1.5°C'!$B$39:$AG$67, 26,FALSE), VLOOKUP('Background graphEXPL_1.5'!$A10, '1.5°C'!$B$39:$AG$67, 27,FALSE)), IF('Outil Cibles'!V$6='Outil Cibles'!$E$41, VLOOKUP('Background graphEXPL_1.5'!$A10, '1.5°C'!$B$39:$AG$67, 31,FALSE), VLOOKUP('Background graphEXPL_1.5'!$A10, '1.5°C'!$B$39:$AG$67, 32,FALSE))), 0)</f>
        <v>0</v>
      </c>
      <c r="H10" s="23">
        <f>IF(AND($A10-'Outil Cibles'!W$7&lt;=60,$A10-'Outil Cibles'!W$7&gt;=0),IF('Outil Cibles'!W$5='Outil Cibles'!$B$41, IF('Outil Cibles'!W$6='Outil Cibles'!$E$41, VLOOKUP('Background graphEXPL_1.5'!$A10, '1.5°C'!$B$39:$AG$67, 26,FALSE), VLOOKUP('Background graphEXPL_1.5'!$A10, '1.5°C'!$B$39:$AG$67, 27,FALSE)), IF('Outil Cibles'!W$6='Outil Cibles'!$E$41, VLOOKUP('Background graphEXPL_1.5'!$A10, '1.5°C'!$B$39:$AG$67, 31,FALSE), VLOOKUP('Background graphEXPL_1.5'!$A10, '1.5°C'!$B$39:$AG$67, 32,FALSE))), 0)</f>
        <v>0</v>
      </c>
      <c r="I10" s="23">
        <f>IF(AND($A10-'Outil Cibles'!X$7&lt;=60,$A10-'Outil Cibles'!X$7&gt;=0),IF('Outil Cibles'!X$5='Outil Cibles'!$B$41, IF('Outil Cibles'!X$6='Outil Cibles'!$E$41, VLOOKUP('Background graphEXPL_1.5'!$A10, '1.5°C'!$B$39:$AG$67, 26,FALSE), VLOOKUP('Background graphEXPL_1.5'!$A10, '1.5°C'!$B$39:$AG$67, 27,FALSE)), IF('Outil Cibles'!X$6='Outil Cibles'!$E$41, VLOOKUP('Background graphEXPL_1.5'!$A10, '1.5°C'!$B$39:$AG$67, 31,FALSE), VLOOKUP('Background graphEXPL_1.5'!$A10, '1.5°C'!$B$39:$AG$67, 32,FALSE))), 0)</f>
        <v>0</v>
      </c>
      <c r="J10" s="23">
        <f>IF(AND($A10-'Outil Cibles'!Y$7&lt;=60,$A10-'Outil Cibles'!Y$7&gt;=0),IF('Outil Cibles'!Y$5='Outil Cibles'!$B$41, IF('Outil Cibles'!Y$6='Outil Cibles'!$E$41, VLOOKUP('Background graphEXPL_1.5'!$A10, '1.5°C'!$B$39:$AG$67, 26,FALSE), VLOOKUP('Background graphEXPL_1.5'!$A10, '1.5°C'!$B$39:$AG$67, 27,FALSE)), IF('Outil Cibles'!Y$6='Outil Cibles'!$E$41, VLOOKUP('Background graphEXPL_1.5'!$A10, '1.5°C'!$B$39:$AG$67, 31,FALSE), VLOOKUP('Background graphEXPL_1.5'!$A10, '1.5°C'!$B$39:$AG$67, 32,FALSE))), 0)</f>
        <v>0</v>
      </c>
      <c r="K10" s="23">
        <f>IF(AND($A10-'Outil Cibles'!Z$7&lt;=60,$A10-'Outil Cibles'!Z$7&gt;=0),IF('Outil Cibles'!Z$5='Outil Cibles'!$B$41, IF('Outil Cibles'!Z$6='Outil Cibles'!$E$41, VLOOKUP('Background graphEXPL_1.5'!$A10, '1.5°C'!$B$39:$AG$67, 26,FALSE), VLOOKUP('Background graphEXPL_1.5'!$A10, '1.5°C'!$B$39:$AG$67, 27,FALSE)), IF('Outil Cibles'!Z$6='Outil Cibles'!$E$41, VLOOKUP('Background graphEXPL_1.5'!$A10, '1.5°C'!$B$39:$AG$67, 31,FALSE), VLOOKUP('Background graphEXPL_1.5'!$A10, '1.5°C'!$B$39:$AG$67, 32,FALSE))), 0)</f>
        <v>0</v>
      </c>
      <c r="L10" s="23">
        <f t="shared" si="0"/>
        <v>6.214315695110324</v>
      </c>
      <c r="N10">
        <v>2028</v>
      </c>
      <c r="O10">
        <f>B10*'Outil Cibles'!Q$8</f>
        <v>1561.9751720902343</v>
      </c>
      <c r="P10">
        <f>C10*'Outil Cibles'!R$8</f>
        <v>4652.3405230200888</v>
      </c>
      <c r="Q10">
        <f>D10*'Outil Cibles'!S$8</f>
        <v>0</v>
      </c>
      <c r="R10">
        <f>E10*'Outil Cibles'!T$8</f>
        <v>0</v>
      </c>
      <c r="S10">
        <f>F10*'Outil Cibles'!U$8</f>
        <v>0</v>
      </c>
      <c r="T10">
        <f>G10*'Outil Cibles'!V$8</f>
        <v>0</v>
      </c>
      <c r="U10">
        <f>H10*'Outil Cibles'!W$8</f>
        <v>0</v>
      </c>
      <c r="V10">
        <f>I10*'Outil Cibles'!X$8</f>
        <v>0</v>
      </c>
      <c r="W10">
        <f>J10*'Outil Cibles'!Y$8</f>
        <v>0</v>
      </c>
      <c r="X10">
        <f>K10*'Outil Cibles'!Z$8</f>
        <v>0</v>
      </c>
      <c r="Y10">
        <f t="shared" si="1"/>
        <v>6214.3156951103228</v>
      </c>
    </row>
    <row r="11" spans="1:25" x14ac:dyDescent="0.3">
      <c r="A11">
        <v>2029</v>
      </c>
      <c r="B11" s="23">
        <f>IF(AND($A11-'Outil Cibles'!Q$7&lt;=60,$A11-'Outil Cibles'!Q$7&gt;=0),IF('Outil Cibles'!Q$5='Outil Cibles'!$B$41, IF('Outil Cibles'!Q$6='Outil Cibles'!$E$41, VLOOKUP('Background graphEXPL_1.5'!$A11, '1.5°C'!$B$39:$AG$67, 26,FALSE), VLOOKUP('Background graphEXPL_1.5'!$A11, '1.5°C'!$B$39:$AG$67, 27,FALSE)), IF('Outil Cibles'!Q$6='Outil Cibles'!$E$41, VLOOKUP('Background graphEXPL_1.5'!$A11, '1.5°C'!$B$39:$AG$67, 31,FALSE), VLOOKUP('Background graphEXPL_1.5'!$A11, '1.5°C'!$B$39:$AG$67, 32,FALSE))), 0)</f>
        <v>1.338896543705768</v>
      </c>
      <c r="C11" s="23">
        <f>IF(AND($A11-'Outil Cibles'!R$7&lt;=60,$A11-'Outil Cibles'!R$7&gt;=0),IF('Outil Cibles'!R$5='Outil Cibles'!$B$41, IF('Outil Cibles'!R$6='Outil Cibles'!$E$41, VLOOKUP('Background graphEXPL_1.5'!$A11, '1.5°C'!$B$39:$AG$67, 26,FALSE), VLOOKUP('Background graphEXPL_1.5'!$A11, '1.5°C'!$B$39:$AG$67, 27,FALSE)), IF('Outil Cibles'!R$6='Outil Cibles'!$E$41, VLOOKUP('Background graphEXPL_1.5'!$A11, '1.5°C'!$B$39:$AG$67, 31,FALSE), VLOOKUP('Background graphEXPL_1.5'!$A11, '1.5°C'!$B$39:$AG$67, 32,FALSE))), 0)</f>
        <v>3.9956404686622333</v>
      </c>
      <c r="D11" s="23">
        <f>IF(AND($A11-'Outil Cibles'!S$7&lt;=60,$A11-'Outil Cibles'!S$7&gt;=0),IF('Outil Cibles'!S$5='Outil Cibles'!$B$41, IF('Outil Cibles'!S$6='Outil Cibles'!$E$41, VLOOKUP('Background graphEXPL_1.5'!$A11, '1.5°C'!$B$39:$AG$67, 26,FALSE), VLOOKUP('Background graphEXPL_1.5'!$A11, '1.5°C'!$B$39:$AG$67, 27,FALSE)), IF('Outil Cibles'!S$6='Outil Cibles'!$E$41, VLOOKUP('Background graphEXPL_1.5'!$A11, '1.5°C'!$B$39:$AG$67, 31,FALSE), VLOOKUP('Background graphEXPL_1.5'!$A11, '1.5°C'!$B$39:$AG$67, 32,FALSE))), 0)</f>
        <v>0</v>
      </c>
      <c r="E11" s="23">
        <f>IF(AND($A11-'Outil Cibles'!T$7&lt;=60,$A11-'Outil Cibles'!T$7&gt;=0),IF('Outil Cibles'!T$5='Outil Cibles'!$B$41, IF('Outil Cibles'!T$6='Outil Cibles'!$E$41, VLOOKUP('Background graphEXPL_1.5'!$A11, '1.5°C'!$B$39:$AG$67, 26,FALSE), VLOOKUP('Background graphEXPL_1.5'!$A11, '1.5°C'!$B$39:$AG$67, 27,FALSE)), IF('Outil Cibles'!T$6='Outil Cibles'!$E$41, VLOOKUP('Background graphEXPL_1.5'!$A11, '1.5°C'!$B$39:$AG$67, 31,FALSE), VLOOKUP('Background graphEXPL_1.5'!$A11, '1.5°C'!$B$39:$AG$67, 32,FALSE))), 0)</f>
        <v>0</v>
      </c>
      <c r="F11" s="23">
        <f>IF(AND($A11-'Outil Cibles'!U$7&lt;=60,$A11-'Outil Cibles'!U$7&gt;=0),IF('Outil Cibles'!U$5='Outil Cibles'!$B$41, IF('Outil Cibles'!U$6='Outil Cibles'!$E$41, VLOOKUP('Background graphEXPL_1.5'!$A11, '1.5°C'!$B$39:$AG$67, 26,FALSE), VLOOKUP('Background graphEXPL_1.5'!$A11, '1.5°C'!$B$39:$AG$67, 27,FALSE)), IF('Outil Cibles'!U$6='Outil Cibles'!$E$41, VLOOKUP('Background graphEXPL_1.5'!$A11, '1.5°C'!$B$39:$AG$67, 31,FALSE), VLOOKUP('Background graphEXPL_1.5'!$A11, '1.5°C'!$B$39:$AG$67, 32,FALSE))), 0)</f>
        <v>0</v>
      </c>
      <c r="G11" s="23">
        <f>IF(AND($A11-'Outil Cibles'!V$7&lt;=60,$A11-'Outil Cibles'!V$7&gt;=0),IF('Outil Cibles'!V$5='Outil Cibles'!$B$41, IF('Outil Cibles'!V$6='Outil Cibles'!$E$41, VLOOKUP('Background graphEXPL_1.5'!$A11, '1.5°C'!$B$39:$AG$67, 26,FALSE), VLOOKUP('Background graphEXPL_1.5'!$A11, '1.5°C'!$B$39:$AG$67, 27,FALSE)), IF('Outil Cibles'!V$6='Outil Cibles'!$E$41, VLOOKUP('Background graphEXPL_1.5'!$A11, '1.5°C'!$B$39:$AG$67, 31,FALSE), VLOOKUP('Background graphEXPL_1.5'!$A11, '1.5°C'!$B$39:$AG$67, 32,FALSE))), 0)</f>
        <v>0</v>
      </c>
      <c r="H11" s="23">
        <f>IF(AND($A11-'Outil Cibles'!W$7&lt;=60,$A11-'Outil Cibles'!W$7&gt;=0),IF('Outil Cibles'!W$5='Outil Cibles'!$B$41, IF('Outil Cibles'!W$6='Outil Cibles'!$E$41, VLOOKUP('Background graphEXPL_1.5'!$A11, '1.5°C'!$B$39:$AG$67, 26,FALSE), VLOOKUP('Background graphEXPL_1.5'!$A11, '1.5°C'!$B$39:$AG$67, 27,FALSE)), IF('Outil Cibles'!W$6='Outil Cibles'!$E$41, VLOOKUP('Background graphEXPL_1.5'!$A11, '1.5°C'!$B$39:$AG$67, 31,FALSE), VLOOKUP('Background graphEXPL_1.5'!$A11, '1.5°C'!$B$39:$AG$67, 32,FALSE))), 0)</f>
        <v>0</v>
      </c>
      <c r="I11" s="23">
        <f>IF(AND($A11-'Outil Cibles'!X$7&lt;=60,$A11-'Outil Cibles'!X$7&gt;=0),IF('Outil Cibles'!X$5='Outil Cibles'!$B$41, IF('Outil Cibles'!X$6='Outil Cibles'!$E$41, VLOOKUP('Background graphEXPL_1.5'!$A11, '1.5°C'!$B$39:$AG$67, 26,FALSE), VLOOKUP('Background graphEXPL_1.5'!$A11, '1.5°C'!$B$39:$AG$67, 27,FALSE)), IF('Outil Cibles'!X$6='Outil Cibles'!$E$41, VLOOKUP('Background graphEXPL_1.5'!$A11, '1.5°C'!$B$39:$AG$67, 31,FALSE), VLOOKUP('Background graphEXPL_1.5'!$A11, '1.5°C'!$B$39:$AG$67, 32,FALSE))), 0)</f>
        <v>0</v>
      </c>
      <c r="J11" s="23">
        <f>IF(AND($A11-'Outil Cibles'!Y$7&lt;=60,$A11-'Outil Cibles'!Y$7&gt;=0),IF('Outil Cibles'!Y$5='Outil Cibles'!$B$41, IF('Outil Cibles'!Y$6='Outil Cibles'!$E$41, VLOOKUP('Background graphEXPL_1.5'!$A11, '1.5°C'!$B$39:$AG$67, 26,FALSE), VLOOKUP('Background graphEXPL_1.5'!$A11, '1.5°C'!$B$39:$AG$67, 27,FALSE)), IF('Outil Cibles'!Y$6='Outil Cibles'!$E$41, VLOOKUP('Background graphEXPL_1.5'!$A11, '1.5°C'!$B$39:$AG$67, 31,FALSE), VLOOKUP('Background graphEXPL_1.5'!$A11, '1.5°C'!$B$39:$AG$67, 32,FALSE))), 0)</f>
        <v>0</v>
      </c>
      <c r="K11" s="23">
        <f>IF(AND($A11-'Outil Cibles'!Z$7&lt;=60,$A11-'Outil Cibles'!Z$7&gt;=0),IF('Outil Cibles'!Z$5='Outil Cibles'!$B$41, IF('Outil Cibles'!Z$6='Outil Cibles'!$E$41, VLOOKUP('Background graphEXPL_1.5'!$A11, '1.5°C'!$B$39:$AG$67, 26,FALSE), VLOOKUP('Background graphEXPL_1.5'!$A11, '1.5°C'!$B$39:$AG$67, 27,FALSE)), IF('Outil Cibles'!Z$6='Outil Cibles'!$E$41, VLOOKUP('Background graphEXPL_1.5'!$A11, '1.5°C'!$B$39:$AG$67, 31,FALSE), VLOOKUP('Background graphEXPL_1.5'!$A11, '1.5°C'!$B$39:$AG$67, 32,FALSE))), 0)</f>
        <v>0</v>
      </c>
      <c r="L11" s="23">
        <f t="shared" si="0"/>
        <v>5.3345370123680009</v>
      </c>
      <c r="N11">
        <v>2029</v>
      </c>
      <c r="O11">
        <f>B11*'Outil Cibles'!Q$8</f>
        <v>1338.896543705768</v>
      </c>
      <c r="P11">
        <f>C11*'Outil Cibles'!R$8</f>
        <v>3995.6404686622332</v>
      </c>
      <c r="Q11">
        <f>D11*'Outil Cibles'!S$8</f>
        <v>0</v>
      </c>
      <c r="R11">
        <f>E11*'Outil Cibles'!T$8</f>
        <v>0</v>
      </c>
      <c r="S11">
        <f>F11*'Outil Cibles'!U$8</f>
        <v>0</v>
      </c>
      <c r="T11">
        <f>G11*'Outil Cibles'!V$8</f>
        <v>0</v>
      </c>
      <c r="U11">
        <f>H11*'Outil Cibles'!W$8</f>
        <v>0</v>
      </c>
      <c r="V11">
        <f>I11*'Outil Cibles'!X$8</f>
        <v>0</v>
      </c>
      <c r="W11">
        <f>J11*'Outil Cibles'!Y$8</f>
        <v>0</v>
      </c>
      <c r="X11">
        <f>K11*'Outil Cibles'!Z$8</f>
        <v>0</v>
      </c>
      <c r="Y11">
        <f t="shared" si="1"/>
        <v>5334.5370123680013</v>
      </c>
    </row>
    <row r="12" spans="1:25" x14ac:dyDescent="0.3">
      <c r="A12" s="10">
        <v>2030</v>
      </c>
      <c r="B12" s="23">
        <f>IF(AND($A12-'Outil Cibles'!Q$7&lt;=60,$A12-'Outil Cibles'!Q$7&gt;=0),IF('Outil Cibles'!Q$5='Outil Cibles'!$B$41, IF('Outil Cibles'!Q$6='Outil Cibles'!$E$41, VLOOKUP('Background graphEXPL_1.5'!$A12, '1.5°C'!$B$39:$AG$67, 26,FALSE), VLOOKUP('Background graphEXPL_1.5'!$A12, '1.5°C'!$B$39:$AG$67, 27,FALSE)), IF('Outil Cibles'!Q$6='Outil Cibles'!$E$41, VLOOKUP('Background graphEXPL_1.5'!$A12, '1.5°C'!$B$39:$AG$67, 31,FALSE), VLOOKUP('Background graphEXPL_1.5'!$A12, '1.5°C'!$B$39:$AG$67, 32,FALSE))), 0)</f>
        <v>1.1186282159578136</v>
      </c>
      <c r="C12" s="23">
        <f>IF(AND($A12-'Outil Cibles'!R$7&lt;=60,$A12-'Outil Cibles'!R$7&gt;=0),IF('Outil Cibles'!R$5='Outil Cibles'!$B$41, IF('Outil Cibles'!R$6='Outil Cibles'!$E$41, VLOOKUP('Background graphEXPL_1.5'!$A12, '1.5°C'!$B$39:$AG$67, 26,FALSE), VLOOKUP('Background graphEXPL_1.5'!$A12, '1.5°C'!$B$39:$AG$67, 27,FALSE)), IF('Outil Cibles'!R$6='Outil Cibles'!$E$41, VLOOKUP('Background graphEXPL_1.5'!$A12, '1.5°C'!$B$39:$AG$67, 31,FALSE), VLOOKUP('Background graphEXPL_1.5'!$A12, '1.5°C'!$B$39:$AG$67, 32,FALSE))), 0)</f>
        <v>3.3446119532636991</v>
      </c>
      <c r="D12" s="23">
        <f>IF(AND($A12-'Outil Cibles'!S$7&lt;=60,$A12-'Outil Cibles'!S$7&gt;=0),IF('Outil Cibles'!S$5='Outil Cibles'!$B$41, IF('Outil Cibles'!S$6='Outil Cibles'!$E$41, VLOOKUP('Background graphEXPL_1.5'!$A12, '1.5°C'!$B$39:$AG$67, 26,FALSE), VLOOKUP('Background graphEXPL_1.5'!$A12, '1.5°C'!$B$39:$AG$67, 27,FALSE)), IF('Outil Cibles'!S$6='Outil Cibles'!$E$41, VLOOKUP('Background graphEXPL_1.5'!$A12, '1.5°C'!$B$39:$AG$67, 31,FALSE), VLOOKUP('Background graphEXPL_1.5'!$A12, '1.5°C'!$B$39:$AG$67, 32,FALSE))), 0)</f>
        <v>3.3446119532636991</v>
      </c>
      <c r="E12" s="23">
        <f>IF(AND($A12-'Outil Cibles'!T$7&lt;=60,$A12-'Outil Cibles'!T$7&gt;=0),IF('Outil Cibles'!T$5='Outil Cibles'!$B$41, IF('Outil Cibles'!T$6='Outil Cibles'!$E$41, VLOOKUP('Background graphEXPL_1.5'!$A12, '1.5°C'!$B$39:$AG$67, 26,FALSE), VLOOKUP('Background graphEXPL_1.5'!$A12, '1.5°C'!$B$39:$AG$67, 27,FALSE)), IF('Outil Cibles'!T$6='Outil Cibles'!$E$41, VLOOKUP('Background graphEXPL_1.5'!$A12, '1.5°C'!$B$39:$AG$67, 31,FALSE), VLOOKUP('Background graphEXPL_1.5'!$A12, '1.5°C'!$B$39:$AG$67, 32,FALSE))), 0)</f>
        <v>0</v>
      </c>
      <c r="F12" s="23">
        <f>IF(AND($A12-'Outil Cibles'!U$7&lt;=60,$A12-'Outil Cibles'!U$7&gt;=0),IF('Outil Cibles'!U$5='Outil Cibles'!$B$41, IF('Outil Cibles'!U$6='Outil Cibles'!$E$41, VLOOKUP('Background graphEXPL_1.5'!$A12, '1.5°C'!$B$39:$AG$67, 26,FALSE), VLOOKUP('Background graphEXPL_1.5'!$A12, '1.5°C'!$B$39:$AG$67, 27,FALSE)), IF('Outil Cibles'!U$6='Outil Cibles'!$E$41, VLOOKUP('Background graphEXPL_1.5'!$A12, '1.5°C'!$B$39:$AG$67, 31,FALSE), VLOOKUP('Background graphEXPL_1.5'!$A12, '1.5°C'!$B$39:$AG$67, 32,FALSE))), 0)</f>
        <v>0</v>
      </c>
      <c r="G12" s="23">
        <f>IF(AND($A12-'Outil Cibles'!V$7&lt;=60,$A12-'Outil Cibles'!V$7&gt;=0),IF('Outil Cibles'!V$5='Outil Cibles'!$B$41, IF('Outil Cibles'!V$6='Outil Cibles'!$E$41, VLOOKUP('Background graphEXPL_1.5'!$A12, '1.5°C'!$B$39:$AG$67, 26,FALSE), VLOOKUP('Background graphEXPL_1.5'!$A12, '1.5°C'!$B$39:$AG$67, 27,FALSE)), IF('Outil Cibles'!V$6='Outil Cibles'!$E$41, VLOOKUP('Background graphEXPL_1.5'!$A12, '1.5°C'!$B$39:$AG$67, 31,FALSE), VLOOKUP('Background graphEXPL_1.5'!$A12, '1.5°C'!$B$39:$AG$67, 32,FALSE))), 0)</f>
        <v>0</v>
      </c>
      <c r="H12" s="23">
        <f>IF(AND($A12-'Outil Cibles'!W$7&lt;=60,$A12-'Outil Cibles'!W$7&gt;=0),IF('Outil Cibles'!W$5='Outil Cibles'!$B$41, IF('Outil Cibles'!W$6='Outil Cibles'!$E$41, VLOOKUP('Background graphEXPL_1.5'!$A12, '1.5°C'!$B$39:$AG$67, 26,FALSE), VLOOKUP('Background graphEXPL_1.5'!$A12, '1.5°C'!$B$39:$AG$67, 27,FALSE)), IF('Outil Cibles'!W$6='Outil Cibles'!$E$41, VLOOKUP('Background graphEXPL_1.5'!$A12, '1.5°C'!$B$39:$AG$67, 31,FALSE), VLOOKUP('Background graphEXPL_1.5'!$A12, '1.5°C'!$B$39:$AG$67, 32,FALSE))), 0)</f>
        <v>0</v>
      </c>
      <c r="I12" s="23">
        <f>IF(AND($A12-'Outil Cibles'!X$7&lt;=60,$A12-'Outil Cibles'!X$7&gt;=0),IF('Outil Cibles'!X$5='Outil Cibles'!$B$41, IF('Outil Cibles'!X$6='Outil Cibles'!$E$41, VLOOKUP('Background graphEXPL_1.5'!$A12, '1.5°C'!$B$39:$AG$67, 26,FALSE), VLOOKUP('Background graphEXPL_1.5'!$A12, '1.5°C'!$B$39:$AG$67, 27,FALSE)), IF('Outil Cibles'!X$6='Outil Cibles'!$E$41, VLOOKUP('Background graphEXPL_1.5'!$A12, '1.5°C'!$B$39:$AG$67, 31,FALSE), VLOOKUP('Background graphEXPL_1.5'!$A12, '1.5°C'!$B$39:$AG$67, 32,FALSE))), 0)</f>
        <v>0</v>
      </c>
      <c r="J12" s="23">
        <f>IF(AND($A12-'Outil Cibles'!Y$7&lt;=60,$A12-'Outil Cibles'!Y$7&gt;=0),IF('Outil Cibles'!Y$5='Outil Cibles'!$B$41, IF('Outil Cibles'!Y$6='Outil Cibles'!$E$41, VLOOKUP('Background graphEXPL_1.5'!$A12, '1.5°C'!$B$39:$AG$67, 26,FALSE), VLOOKUP('Background graphEXPL_1.5'!$A12, '1.5°C'!$B$39:$AG$67, 27,FALSE)), IF('Outil Cibles'!Y$6='Outil Cibles'!$E$41, VLOOKUP('Background graphEXPL_1.5'!$A12, '1.5°C'!$B$39:$AG$67, 31,FALSE), VLOOKUP('Background graphEXPL_1.5'!$A12, '1.5°C'!$B$39:$AG$67, 32,FALSE))), 0)</f>
        <v>0</v>
      </c>
      <c r="K12" s="23">
        <f>IF(AND($A12-'Outil Cibles'!Z$7&lt;=60,$A12-'Outil Cibles'!Z$7&gt;=0),IF('Outil Cibles'!Z$5='Outil Cibles'!$B$41, IF('Outil Cibles'!Z$6='Outil Cibles'!$E$41, VLOOKUP('Background graphEXPL_1.5'!$A12, '1.5°C'!$B$39:$AG$67, 26,FALSE), VLOOKUP('Background graphEXPL_1.5'!$A12, '1.5°C'!$B$39:$AG$67, 27,FALSE)), IF('Outil Cibles'!Z$6='Outil Cibles'!$E$41, VLOOKUP('Background graphEXPL_1.5'!$A12, '1.5°C'!$B$39:$AG$67, 31,FALSE), VLOOKUP('Background graphEXPL_1.5'!$A12, '1.5°C'!$B$39:$AG$67, 32,FALSE))), 0)</f>
        <v>0</v>
      </c>
      <c r="L12" s="23">
        <f t="shared" si="0"/>
        <v>7.8078521224852118</v>
      </c>
      <c r="N12" s="10">
        <v>2030</v>
      </c>
      <c r="O12">
        <f>B12*'Outil Cibles'!Q$8</f>
        <v>1118.6282159578136</v>
      </c>
      <c r="P12">
        <f>C12*'Outil Cibles'!R$8</f>
        <v>3344.611953263699</v>
      </c>
      <c r="Q12">
        <f>D12*'Outil Cibles'!S$8</f>
        <v>3344.611953263699</v>
      </c>
      <c r="R12">
        <f>E12*'Outil Cibles'!T$8</f>
        <v>0</v>
      </c>
      <c r="S12">
        <f>F12*'Outil Cibles'!U$8</f>
        <v>0</v>
      </c>
      <c r="T12">
        <f>G12*'Outil Cibles'!V$8</f>
        <v>0</v>
      </c>
      <c r="U12">
        <f>H12*'Outil Cibles'!W$8</f>
        <v>0</v>
      </c>
      <c r="V12">
        <f>I12*'Outil Cibles'!X$8</f>
        <v>0</v>
      </c>
      <c r="W12">
        <f>J12*'Outil Cibles'!Y$8</f>
        <v>0</v>
      </c>
      <c r="X12">
        <f>K12*'Outil Cibles'!Z$8</f>
        <v>0</v>
      </c>
      <c r="Y12">
        <f t="shared" si="1"/>
        <v>7807.852122485212</v>
      </c>
    </row>
    <row r="13" spans="1:25" x14ac:dyDescent="0.3">
      <c r="A13">
        <v>2031</v>
      </c>
      <c r="B13" s="23">
        <f>IF(AND($A13-'Outil Cibles'!Q$7&lt;=60,$A13-'Outil Cibles'!Q$7&gt;=0),IF('Outil Cibles'!Q$5='Outil Cibles'!$B$41, IF('Outil Cibles'!Q$6='Outil Cibles'!$E$41, VLOOKUP('Background graphEXPL_1.5'!$A13, '1.5°C'!$B$39:$AG$67, 26,FALSE), VLOOKUP('Background graphEXPL_1.5'!$A13, '1.5°C'!$B$39:$AG$67, 27,FALSE)), IF('Outil Cibles'!Q$6='Outil Cibles'!$E$41, VLOOKUP('Background graphEXPL_1.5'!$A13, '1.5°C'!$B$39:$AG$67, 31,FALSE), VLOOKUP('Background graphEXPL_1.5'!$A13, '1.5°C'!$B$39:$AG$67, 32,FALSE))), 0)</f>
        <v>0.90111741583724947</v>
      </c>
      <c r="C13" s="23">
        <f>IF(AND($A13-'Outil Cibles'!R$7&lt;=60,$A13-'Outil Cibles'!R$7&gt;=0),IF('Outil Cibles'!R$5='Outil Cibles'!$B$41, IF('Outil Cibles'!R$6='Outil Cibles'!$E$41, VLOOKUP('Background graphEXPL_1.5'!$A13, '1.5°C'!$B$39:$AG$67, 26,FALSE), VLOOKUP('Background graphEXPL_1.5'!$A13, '1.5°C'!$B$39:$AG$67, 27,FALSE)), IF('Outil Cibles'!R$6='Outil Cibles'!$E$41, VLOOKUP('Background graphEXPL_1.5'!$A13, '1.5°C'!$B$39:$AG$67, 31,FALSE), VLOOKUP('Background graphEXPL_1.5'!$A13, '1.5°C'!$B$39:$AG$67, 32,FALSE))), 0)</f>
        <v>2.6992357468944879</v>
      </c>
      <c r="D13" s="23">
        <f>IF(AND($A13-'Outil Cibles'!S$7&lt;=60,$A13-'Outil Cibles'!S$7&gt;=0),IF('Outil Cibles'!S$5='Outil Cibles'!$B$41, IF('Outil Cibles'!S$6='Outil Cibles'!$E$41, VLOOKUP('Background graphEXPL_1.5'!$A13, '1.5°C'!$B$39:$AG$67, 26,FALSE), VLOOKUP('Background graphEXPL_1.5'!$A13, '1.5°C'!$B$39:$AG$67, 27,FALSE)), IF('Outil Cibles'!S$6='Outil Cibles'!$E$41, VLOOKUP('Background graphEXPL_1.5'!$A13, '1.5°C'!$B$39:$AG$67, 31,FALSE), VLOOKUP('Background graphEXPL_1.5'!$A13, '1.5°C'!$B$39:$AG$67, 32,FALSE))), 0)</f>
        <v>2.6992357468944879</v>
      </c>
      <c r="E13" s="23">
        <f>IF(AND($A13-'Outil Cibles'!T$7&lt;=60,$A13-'Outil Cibles'!T$7&gt;=0),IF('Outil Cibles'!T$5='Outil Cibles'!$B$41, IF('Outil Cibles'!T$6='Outil Cibles'!$E$41, VLOOKUP('Background graphEXPL_1.5'!$A13, '1.5°C'!$B$39:$AG$67, 26,FALSE), VLOOKUP('Background graphEXPL_1.5'!$A13, '1.5°C'!$B$39:$AG$67, 27,FALSE)), IF('Outil Cibles'!T$6='Outil Cibles'!$E$41, VLOOKUP('Background graphEXPL_1.5'!$A13, '1.5°C'!$B$39:$AG$67, 31,FALSE), VLOOKUP('Background graphEXPL_1.5'!$A13, '1.5°C'!$B$39:$AG$67, 32,FALSE))), 0)</f>
        <v>0</v>
      </c>
      <c r="F13" s="23">
        <f>IF(AND($A13-'Outil Cibles'!U$7&lt;=60,$A13-'Outil Cibles'!U$7&gt;=0),IF('Outil Cibles'!U$5='Outil Cibles'!$B$41, IF('Outil Cibles'!U$6='Outil Cibles'!$E$41, VLOOKUP('Background graphEXPL_1.5'!$A13, '1.5°C'!$B$39:$AG$67, 26,FALSE), VLOOKUP('Background graphEXPL_1.5'!$A13, '1.5°C'!$B$39:$AG$67, 27,FALSE)), IF('Outil Cibles'!U$6='Outil Cibles'!$E$41, VLOOKUP('Background graphEXPL_1.5'!$A13, '1.5°C'!$B$39:$AG$67, 31,FALSE), VLOOKUP('Background graphEXPL_1.5'!$A13, '1.5°C'!$B$39:$AG$67, 32,FALSE))), 0)</f>
        <v>0</v>
      </c>
      <c r="G13" s="23">
        <f>IF(AND($A13-'Outil Cibles'!V$7&lt;=60,$A13-'Outil Cibles'!V$7&gt;=0),IF('Outil Cibles'!V$5='Outil Cibles'!$B$41, IF('Outil Cibles'!V$6='Outil Cibles'!$E$41, VLOOKUP('Background graphEXPL_1.5'!$A13, '1.5°C'!$B$39:$AG$67, 26,FALSE), VLOOKUP('Background graphEXPL_1.5'!$A13, '1.5°C'!$B$39:$AG$67, 27,FALSE)), IF('Outil Cibles'!V$6='Outil Cibles'!$E$41, VLOOKUP('Background graphEXPL_1.5'!$A13, '1.5°C'!$B$39:$AG$67, 31,FALSE), VLOOKUP('Background graphEXPL_1.5'!$A13, '1.5°C'!$B$39:$AG$67, 32,FALSE))), 0)</f>
        <v>0</v>
      </c>
      <c r="H13" s="23">
        <f>IF(AND($A13-'Outil Cibles'!W$7&lt;=60,$A13-'Outil Cibles'!W$7&gt;=0),IF('Outil Cibles'!W$5='Outil Cibles'!$B$41, IF('Outil Cibles'!W$6='Outil Cibles'!$E$41, VLOOKUP('Background graphEXPL_1.5'!$A13, '1.5°C'!$B$39:$AG$67, 26,FALSE), VLOOKUP('Background graphEXPL_1.5'!$A13, '1.5°C'!$B$39:$AG$67, 27,FALSE)), IF('Outil Cibles'!W$6='Outil Cibles'!$E$41, VLOOKUP('Background graphEXPL_1.5'!$A13, '1.5°C'!$B$39:$AG$67, 31,FALSE), VLOOKUP('Background graphEXPL_1.5'!$A13, '1.5°C'!$B$39:$AG$67, 32,FALSE))), 0)</f>
        <v>0</v>
      </c>
      <c r="I13" s="23">
        <f>IF(AND($A13-'Outil Cibles'!X$7&lt;=60,$A13-'Outil Cibles'!X$7&gt;=0),IF('Outil Cibles'!X$5='Outil Cibles'!$B$41, IF('Outil Cibles'!X$6='Outil Cibles'!$E$41, VLOOKUP('Background graphEXPL_1.5'!$A13, '1.5°C'!$B$39:$AG$67, 26,FALSE), VLOOKUP('Background graphEXPL_1.5'!$A13, '1.5°C'!$B$39:$AG$67, 27,FALSE)), IF('Outil Cibles'!X$6='Outil Cibles'!$E$41, VLOOKUP('Background graphEXPL_1.5'!$A13, '1.5°C'!$B$39:$AG$67, 31,FALSE), VLOOKUP('Background graphEXPL_1.5'!$A13, '1.5°C'!$B$39:$AG$67, 32,FALSE))), 0)</f>
        <v>0</v>
      </c>
      <c r="J13" s="23">
        <f>IF(AND($A13-'Outil Cibles'!Y$7&lt;=60,$A13-'Outil Cibles'!Y$7&gt;=0),IF('Outil Cibles'!Y$5='Outil Cibles'!$B$41, IF('Outil Cibles'!Y$6='Outil Cibles'!$E$41, VLOOKUP('Background graphEXPL_1.5'!$A13, '1.5°C'!$B$39:$AG$67, 26,FALSE), VLOOKUP('Background graphEXPL_1.5'!$A13, '1.5°C'!$B$39:$AG$67, 27,FALSE)), IF('Outil Cibles'!Y$6='Outil Cibles'!$E$41, VLOOKUP('Background graphEXPL_1.5'!$A13, '1.5°C'!$B$39:$AG$67, 31,FALSE), VLOOKUP('Background graphEXPL_1.5'!$A13, '1.5°C'!$B$39:$AG$67, 32,FALSE))), 0)</f>
        <v>0</v>
      </c>
      <c r="K13" s="23">
        <f>IF(AND($A13-'Outil Cibles'!Z$7&lt;=60,$A13-'Outil Cibles'!Z$7&gt;=0),IF('Outil Cibles'!Z$5='Outil Cibles'!$B$41, IF('Outil Cibles'!Z$6='Outil Cibles'!$E$41, VLOOKUP('Background graphEXPL_1.5'!$A13, '1.5°C'!$B$39:$AG$67, 26,FALSE), VLOOKUP('Background graphEXPL_1.5'!$A13, '1.5°C'!$B$39:$AG$67, 27,FALSE)), IF('Outil Cibles'!Z$6='Outil Cibles'!$E$41, VLOOKUP('Background graphEXPL_1.5'!$A13, '1.5°C'!$B$39:$AG$67, 31,FALSE), VLOOKUP('Background graphEXPL_1.5'!$A13, '1.5°C'!$B$39:$AG$67, 32,FALSE))), 0)</f>
        <v>0</v>
      </c>
      <c r="L13" s="23">
        <f t="shared" si="0"/>
        <v>6.299588909626225</v>
      </c>
      <c r="N13">
        <v>2031</v>
      </c>
      <c r="O13">
        <f>B13*'Outil Cibles'!Q$8</f>
        <v>901.1174158372495</v>
      </c>
      <c r="P13">
        <f>C13*'Outil Cibles'!R$8</f>
        <v>2699.2357468944879</v>
      </c>
      <c r="Q13">
        <f>D13*'Outil Cibles'!S$8</f>
        <v>2699.2357468944879</v>
      </c>
      <c r="R13">
        <f>E13*'Outil Cibles'!T$8</f>
        <v>0</v>
      </c>
      <c r="S13">
        <f>F13*'Outil Cibles'!U$8</f>
        <v>0</v>
      </c>
      <c r="T13">
        <f>G13*'Outil Cibles'!V$8</f>
        <v>0</v>
      </c>
      <c r="U13">
        <f>H13*'Outil Cibles'!W$8</f>
        <v>0</v>
      </c>
      <c r="V13">
        <f>I13*'Outil Cibles'!X$8</f>
        <v>0</v>
      </c>
      <c r="W13">
        <f>J13*'Outil Cibles'!Y$8</f>
        <v>0</v>
      </c>
      <c r="X13">
        <f>K13*'Outil Cibles'!Z$8</f>
        <v>0</v>
      </c>
      <c r="Y13">
        <f t="shared" si="1"/>
        <v>6299.5889096262254</v>
      </c>
    </row>
    <row r="14" spans="1:25" x14ac:dyDescent="0.3">
      <c r="A14">
        <v>2032</v>
      </c>
      <c r="B14" s="23">
        <f>IF(AND($A14-'Outil Cibles'!Q$7&lt;=60,$A14-'Outil Cibles'!Q$7&gt;=0),IF('Outil Cibles'!Q$5='Outil Cibles'!$B$41, IF('Outil Cibles'!Q$6='Outil Cibles'!$E$41, VLOOKUP('Background graphEXPL_1.5'!$A14, '1.5°C'!$B$39:$AG$67, 26,FALSE), VLOOKUP('Background graphEXPL_1.5'!$A14, '1.5°C'!$B$39:$AG$67, 27,FALSE)), IF('Outil Cibles'!Q$6='Outil Cibles'!$E$41, VLOOKUP('Background graphEXPL_1.5'!$A14, '1.5°C'!$B$39:$AG$67, 31,FALSE), VLOOKUP('Background graphEXPL_1.5'!$A14, '1.5°C'!$B$39:$AG$67, 32,FALSE))), 0)</f>
        <v>0.68631268344066154</v>
      </c>
      <c r="C14" s="23">
        <f>IF(AND($A14-'Outil Cibles'!R$7&lt;=60,$A14-'Outil Cibles'!R$7&gt;=0),IF('Outil Cibles'!R$5='Outil Cibles'!$B$41, IF('Outil Cibles'!R$6='Outil Cibles'!$E$41, VLOOKUP('Background graphEXPL_1.5'!$A14, '1.5°C'!$B$39:$AG$67, 26,FALSE), VLOOKUP('Background graphEXPL_1.5'!$A14, '1.5°C'!$B$39:$AG$67, 27,FALSE)), IF('Outil Cibles'!R$6='Outil Cibles'!$E$41, VLOOKUP('Background graphEXPL_1.5'!$A14, '1.5°C'!$B$39:$AG$67, 31,FALSE), VLOOKUP('Background graphEXPL_1.5'!$A14, '1.5°C'!$B$39:$AG$67, 32,FALSE))), 0)</f>
        <v>2.0594919959002191</v>
      </c>
      <c r="D14" s="23">
        <f>IF(AND($A14-'Outil Cibles'!S$7&lt;=60,$A14-'Outil Cibles'!S$7&gt;=0),IF('Outil Cibles'!S$5='Outil Cibles'!$B$41, IF('Outil Cibles'!S$6='Outil Cibles'!$E$41, VLOOKUP('Background graphEXPL_1.5'!$A14, '1.5°C'!$B$39:$AG$67, 26,FALSE), VLOOKUP('Background graphEXPL_1.5'!$A14, '1.5°C'!$B$39:$AG$67, 27,FALSE)), IF('Outil Cibles'!S$6='Outil Cibles'!$E$41, VLOOKUP('Background graphEXPL_1.5'!$A14, '1.5°C'!$B$39:$AG$67, 31,FALSE), VLOOKUP('Background graphEXPL_1.5'!$A14, '1.5°C'!$B$39:$AG$67, 32,FALSE))), 0)</f>
        <v>2.0594919959002191</v>
      </c>
      <c r="E14" s="23">
        <f>IF(AND($A14-'Outil Cibles'!T$7&lt;=60,$A14-'Outil Cibles'!T$7&gt;=0),IF('Outil Cibles'!T$5='Outil Cibles'!$B$41, IF('Outil Cibles'!T$6='Outil Cibles'!$E$41, VLOOKUP('Background graphEXPL_1.5'!$A14, '1.5°C'!$B$39:$AG$67, 26,FALSE), VLOOKUP('Background graphEXPL_1.5'!$A14, '1.5°C'!$B$39:$AG$67, 27,FALSE)), IF('Outil Cibles'!T$6='Outil Cibles'!$E$41, VLOOKUP('Background graphEXPL_1.5'!$A14, '1.5°C'!$B$39:$AG$67, 31,FALSE), VLOOKUP('Background graphEXPL_1.5'!$A14, '1.5°C'!$B$39:$AG$67, 32,FALSE))), 0)</f>
        <v>0</v>
      </c>
      <c r="F14" s="23">
        <f>IF(AND($A14-'Outil Cibles'!U$7&lt;=60,$A14-'Outil Cibles'!U$7&gt;=0),IF('Outil Cibles'!U$5='Outil Cibles'!$B$41, IF('Outil Cibles'!U$6='Outil Cibles'!$E$41, VLOOKUP('Background graphEXPL_1.5'!$A14, '1.5°C'!$B$39:$AG$67, 26,FALSE), VLOOKUP('Background graphEXPL_1.5'!$A14, '1.5°C'!$B$39:$AG$67, 27,FALSE)), IF('Outil Cibles'!U$6='Outil Cibles'!$E$41, VLOOKUP('Background graphEXPL_1.5'!$A14, '1.5°C'!$B$39:$AG$67, 31,FALSE), VLOOKUP('Background graphEXPL_1.5'!$A14, '1.5°C'!$B$39:$AG$67, 32,FALSE))), 0)</f>
        <v>0</v>
      </c>
      <c r="G14" s="23">
        <f>IF(AND($A14-'Outil Cibles'!V$7&lt;=60,$A14-'Outil Cibles'!V$7&gt;=0),IF('Outil Cibles'!V$5='Outil Cibles'!$B$41, IF('Outil Cibles'!V$6='Outil Cibles'!$E$41, VLOOKUP('Background graphEXPL_1.5'!$A14, '1.5°C'!$B$39:$AG$67, 26,FALSE), VLOOKUP('Background graphEXPL_1.5'!$A14, '1.5°C'!$B$39:$AG$67, 27,FALSE)), IF('Outil Cibles'!V$6='Outil Cibles'!$E$41, VLOOKUP('Background graphEXPL_1.5'!$A14, '1.5°C'!$B$39:$AG$67, 31,FALSE), VLOOKUP('Background graphEXPL_1.5'!$A14, '1.5°C'!$B$39:$AG$67, 32,FALSE))), 0)</f>
        <v>0</v>
      </c>
      <c r="H14" s="23">
        <f>IF(AND($A14-'Outil Cibles'!W$7&lt;=60,$A14-'Outil Cibles'!W$7&gt;=0),IF('Outil Cibles'!W$5='Outil Cibles'!$B$41, IF('Outil Cibles'!W$6='Outil Cibles'!$E$41, VLOOKUP('Background graphEXPL_1.5'!$A14, '1.5°C'!$B$39:$AG$67, 26,FALSE), VLOOKUP('Background graphEXPL_1.5'!$A14, '1.5°C'!$B$39:$AG$67, 27,FALSE)), IF('Outil Cibles'!W$6='Outil Cibles'!$E$41, VLOOKUP('Background graphEXPL_1.5'!$A14, '1.5°C'!$B$39:$AG$67, 31,FALSE), VLOOKUP('Background graphEXPL_1.5'!$A14, '1.5°C'!$B$39:$AG$67, 32,FALSE))), 0)</f>
        <v>0</v>
      </c>
      <c r="I14" s="23">
        <f>IF(AND($A14-'Outil Cibles'!X$7&lt;=60,$A14-'Outil Cibles'!X$7&gt;=0),IF('Outil Cibles'!X$5='Outil Cibles'!$B$41, IF('Outil Cibles'!X$6='Outil Cibles'!$E$41, VLOOKUP('Background graphEXPL_1.5'!$A14, '1.5°C'!$B$39:$AG$67, 26,FALSE), VLOOKUP('Background graphEXPL_1.5'!$A14, '1.5°C'!$B$39:$AG$67, 27,FALSE)), IF('Outil Cibles'!X$6='Outil Cibles'!$E$41, VLOOKUP('Background graphEXPL_1.5'!$A14, '1.5°C'!$B$39:$AG$67, 31,FALSE), VLOOKUP('Background graphEXPL_1.5'!$A14, '1.5°C'!$B$39:$AG$67, 32,FALSE))), 0)</f>
        <v>0</v>
      </c>
      <c r="J14" s="23">
        <f>IF(AND($A14-'Outil Cibles'!Y$7&lt;=60,$A14-'Outil Cibles'!Y$7&gt;=0),IF('Outil Cibles'!Y$5='Outil Cibles'!$B$41, IF('Outil Cibles'!Y$6='Outil Cibles'!$E$41, VLOOKUP('Background graphEXPL_1.5'!$A14, '1.5°C'!$B$39:$AG$67, 26,FALSE), VLOOKUP('Background graphEXPL_1.5'!$A14, '1.5°C'!$B$39:$AG$67, 27,FALSE)), IF('Outil Cibles'!Y$6='Outil Cibles'!$E$41, VLOOKUP('Background graphEXPL_1.5'!$A14, '1.5°C'!$B$39:$AG$67, 31,FALSE), VLOOKUP('Background graphEXPL_1.5'!$A14, '1.5°C'!$B$39:$AG$67, 32,FALSE))), 0)</f>
        <v>0</v>
      </c>
      <c r="K14" s="23">
        <f>IF(AND($A14-'Outil Cibles'!Z$7&lt;=60,$A14-'Outil Cibles'!Z$7&gt;=0),IF('Outil Cibles'!Z$5='Outil Cibles'!$B$41, IF('Outil Cibles'!Z$6='Outil Cibles'!$E$41, VLOOKUP('Background graphEXPL_1.5'!$A14, '1.5°C'!$B$39:$AG$67, 26,FALSE), VLOOKUP('Background graphEXPL_1.5'!$A14, '1.5°C'!$B$39:$AG$67, 27,FALSE)), IF('Outil Cibles'!Z$6='Outil Cibles'!$E$41, VLOOKUP('Background graphEXPL_1.5'!$A14, '1.5°C'!$B$39:$AG$67, 31,FALSE), VLOOKUP('Background graphEXPL_1.5'!$A14, '1.5°C'!$B$39:$AG$67, 32,FALSE))), 0)</f>
        <v>0</v>
      </c>
      <c r="L14" s="23">
        <f t="shared" si="0"/>
        <v>4.8052966752410997</v>
      </c>
      <c r="N14">
        <v>2032</v>
      </c>
      <c r="O14">
        <f>B14*'Outil Cibles'!Q$8</f>
        <v>686.31268344066154</v>
      </c>
      <c r="P14">
        <f>C14*'Outil Cibles'!R$8</f>
        <v>2059.4919959002191</v>
      </c>
      <c r="Q14">
        <f>D14*'Outil Cibles'!S$8</f>
        <v>2059.4919959002191</v>
      </c>
      <c r="R14">
        <f>E14*'Outil Cibles'!T$8</f>
        <v>0</v>
      </c>
      <c r="S14">
        <f>F14*'Outil Cibles'!U$8</f>
        <v>0</v>
      </c>
      <c r="T14">
        <f>G14*'Outil Cibles'!V$8</f>
        <v>0</v>
      </c>
      <c r="U14">
        <f>H14*'Outil Cibles'!W$8</f>
        <v>0</v>
      </c>
      <c r="V14">
        <f>I14*'Outil Cibles'!X$8</f>
        <v>0</v>
      </c>
      <c r="W14">
        <f>J14*'Outil Cibles'!Y$8</f>
        <v>0</v>
      </c>
      <c r="X14">
        <f>K14*'Outil Cibles'!Z$8</f>
        <v>0</v>
      </c>
      <c r="Y14">
        <f t="shared" si="1"/>
        <v>4805.2966752410994</v>
      </c>
    </row>
    <row r="15" spans="1:25" x14ac:dyDescent="0.3">
      <c r="A15">
        <v>2033</v>
      </c>
      <c r="B15" s="23">
        <f>IF(AND($A15-'Outil Cibles'!Q$7&lt;=60,$A15-'Outil Cibles'!Q$7&gt;=0),IF('Outil Cibles'!Q$5='Outil Cibles'!$B$41, IF('Outil Cibles'!Q$6='Outil Cibles'!$E$41, VLOOKUP('Background graphEXPL_1.5'!$A15, '1.5°C'!$B$39:$AG$67, 26,FALSE), VLOOKUP('Background graphEXPL_1.5'!$A15, '1.5°C'!$B$39:$AG$67, 27,FALSE)), IF('Outil Cibles'!Q$6='Outil Cibles'!$E$41, VLOOKUP('Background graphEXPL_1.5'!$A15, '1.5°C'!$B$39:$AG$67, 31,FALSE), VLOOKUP('Background graphEXPL_1.5'!$A15, '1.5°C'!$B$39:$AG$67, 32,FALSE))), 0)</f>
        <v>0.47416383138171792</v>
      </c>
      <c r="C15" s="23">
        <f>IF(AND($A15-'Outil Cibles'!R$7&lt;=60,$A15-'Outil Cibles'!R$7&gt;=0),IF('Outil Cibles'!R$5='Outil Cibles'!$B$41, IF('Outil Cibles'!R$6='Outil Cibles'!$E$41, VLOOKUP('Background graphEXPL_1.5'!$A15, '1.5°C'!$B$39:$AG$67, 26,FALSE), VLOOKUP('Background graphEXPL_1.5'!$A15, '1.5°C'!$B$39:$AG$67, 27,FALSE)), IF('Outil Cibles'!R$6='Outil Cibles'!$E$41, VLOOKUP('Background graphEXPL_1.5'!$A15, '1.5°C'!$B$39:$AG$67, 31,FALSE), VLOOKUP('Background graphEXPL_1.5'!$A15, '1.5°C'!$B$39:$AG$67, 32,FALSE))), 0)</f>
        <v>1.4253602421956952</v>
      </c>
      <c r="D15" s="23">
        <f>IF(AND($A15-'Outil Cibles'!S$7&lt;=60,$A15-'Outil Cibles'!S$7&gt;=0),IF('Outil Cibles'!S$5='Outil Cibles'!$B$41, IF('Outil Cibles'!S$6='Outil Cibles'!$E$41, VLOOKUP('Background graphEXPL_1.5'!$A15, '1.5°C'!$B$39:$AG$67, 26,FALSE), VLOOKUP('Background graphEXPL_1.5'!$A15, '1.5°C'!$B$39:$AG$67, 27,FALSE)), IF('Outil Cibles'!S$6='Outil Cibles'!$E$41, VLOOKUP('Background graphEXPL_1.5'!$A15, '1.5°C'!$B$39:$AG$67, 31,FALSE), VLOOKUP('Background graphEXPL_1.5'!$A15, '1.5°C'!$B$39:$AG$67, 32,FALSE))), 0)</f>
        <v>1.4253602421956952</v>
      </c>
      <c r="E15" s="23">
        <f>IF(AND($A15-'Outil Cibles'!T$7&lt;=60,$A15-'Outil Cibles'!T$7&gt;=0),IF('Outil Cibles'!T$5='Outil Cibles'!$B$41, IF('Outil Cibles'!T$6='Outil Cibles'!$E$41, VLOOKUP('Background graphEXPL_1.5'!$A15, '1.5°C'!$B$39:$AG$67, 26,FALSE), VLOOKUP('Background graphEXPL_1.5'!$A15, '1.5°C'!$B$39:$AG$67, 27,FALSE)), IF('Outil Cibles'!T$6='Outil Cibles'!$E$41, VLOOKUP('Background graphEXPL_1.5'!$A15, '1.5°C'!$B$39:$AG$67, 31,FALSE), VLOOKUP('Background graphEXPL_1.5'!$A15, '1.5°C'!$B$39:$AG$67, 32,FALSE))), 0)</f>
        <v>0</v>
      </c>
      <c r="F15" s="23">
        <f>IF(AND($A15-'Outil Cibles'!U$7&lt;=60,$A15-'Outil Cibles'!U$7&gt;=0),IF('Outil Cibles'!U$5='Outil Cibles'!$B$41, IF('Outil Cibles'!U$6='Outil Cibles'!$E$41, VLOOKUP('Background graphEXPL_1.5'!$A15, '1.5°C'!$B$39:$AG$67, 26,FALSE), VLOOKUP('Background graphEXPL_1.5'!$A15, '1.5°C'!$B$39:$AG$67, 27,FALSE)), IF('Outil Cibles'!U$6='Outil Cibles'!$E$41, VLOOKUP('Background graphEXPL_1.5'!$A15, '1.5°C'!$B$39:$AG$67, 31,FALSE), VLOOKUP('Background graphEXPL_1.5'!$A15, '1.5°C'!$B$39:$AG$67, 32,FALSE))), 0)</f>
        <v>0</v>
      </c>
      <c r="G15" s="23">
        <f>IF(AND($A15-'Outil Cibles'!V$7&lt;=60,$A15-'Outil Cibles'!V$7&gt;=0),IF('Outil Cibles'!V$5='Outil Cibles'!$B$41, IF('Outil Cibles'!V$6='Outil Cibles'!$E$41, VLOOKUP('Background graphEXPL_1.5'!$A15, '1.5°C'!$B$39:$AG$67, 26,FALSE), VLOOKUP('Background graphEXPL_1.5'!$A15, '1.5°C'!$B$39:$AG$67, 27,FALSE)), IF('Outil Cibles'!V$6='Outil Cibles'!$E$41, VLOOKUP('Background graphEXPL_1.5'!$A15, '1.5°C'!$B$39:$AG$67, 31,FALSE), VLOOKUP('Background graphEXPL_1.5'!$A15, '1.5°C'!$B$39:$AG$67, 32,FALSE))), 0)</f>
        <v>0</v>
      </c>
      <c r="H15" s="23">
        <f>IF(AND($A15-'Outil Cibles'!W$7&lt;=60,$A15-'Outil Cibles'!W$7&gt;=0),IF('Outil Cibles'!W$5='Outil Cibles'!$B$41, IF('Outil Cibles'!W$6='Outil Cibles'!$E$41, VLOOKUP('Background graphEXPL_1.5'!$A15, '1.5°C'!$B$39:$AG$67, 26,FALSE), VLOOKUP('Background graphEXPL_1.5'!$A15, '1.5°C'!$B$39:$AG$67, 27,FALSE)), IF('Outil Cibles'!W$6='Outil Cibles'!$E$41, VLOOKUP('Background graphEXPL_1.5'!$A15, '1.5°C'!$B$39:$AG$67, 31,FALSE), VLOOKUP('Background graphEXPL_1.5'!$A15, '1.5°C'!$B$39:$AG$67, 32,FALSE))), 0)</f>
        <v>0</v>
      </c>
      <c r="I15" s="23">
        <f>IF(AND($A15-'Outil Cibles'!X$7&lt;=60,$A15-'Outil Cibles'!X$7&gt;=0),IF('Outil Cibles'!X$5='Outil Cibles'!$B$41, IF('Outil Cibles'!X$6='Outil Cibles'!$E$41, VLOOKUP('Background graphEXPL_1.5'!$A15, '1.5°C'!$B$39:$AG$67, 26,FALSE), VLOOKUP('Background graphEXPL_1.5'!$A15, '1.5°C'!$B$39:$AG$67, 27,FALSE)), IF('Outil Cibles'!X$6='Outil Cibles'!$E$41, VLOOKUP('Background graphEXPL_1.5'!$A15, '1.5°C'!$B$39:$AG$67, 31,FALSE), VLOOKUP('Background graphEXPL_1.5'!$A15, '1.5°C'!$B$39:$AG$67, 32,FALSE))), 0)</f>
        <v>0</v>
      </c>
      <c r="J15" s="23">
        <f>IF(AND($A15-'Outil Cibles'!Y$7&lt;=60,$A15-'Outil Cibles'!Y$7&gt;=0),IF('Outil Cibles'!Y$5='Outil Cibles'!$B$41, IF('Outil Cibles'!Y$6='Outil Cibles'!$E$41, VLOOKUP('Background graphEXPL_1.5'!$A15, '1.5°C'!$B$39:$AG$67, 26,FALSE), VLOOKUP('Background graphEXPL_1.5'!$A15, '1.5°C'!$B$39:$AG$67, 27,FALSE)), IF('Outil Cibles'!Y$6='Outil Cibles'!$E$41, VLOOKUP('Background graphEXPL_1.5'!$A15, '1.5°C'!$B$39:$AG$67, 31,FALSE), VLOOKUP('Background graphEXPL_1.5'!$A15, '1.5°C'!$B$39:$AG$67, 32,FALSE))), 0)</f>
        <v>0</v>
      </c>
      <c r="K15" s="23">
        <f>IF(AND($A15-'Outil Cibles'!Z$7&lt;=60,$A15-'Outil Cibles'!Z$7&gt;=0),IF('Outil Cibles'!Z$5='Outil Cibles'!$B$41, IF('Outil Cibles'!Z$6='Outil Cibles'!$E$41, VLOOKUP('Background graphEXPL_1.5'!$A15, '1.5°C'!$B$39:$AG$67, 26,FALSE), VLOOKUP('Background graphEXPL_1.5'!$A15, '1.5°C'!$B$39:$AG$67, 27,FALSE)), IF('Outil Cibles'!Z$6='Outil Cibles'!$E$41, VLOOKUP('Background graphEXPL_1.5'!$A15, '1.5°C'!$B$39:$AG$67, 31,FALSE), VLOOKUP('Background graphEXPL_1.5'!$A15, '1.5°C'!$B$39:$AG$67, 32,FALSE))), 0)</f>
        <v>0</v>
      </c>
      <c r="L15" s="23">
        <f t="shared" si="0"/>
        <v>3.3248843157731081</v>
      </c>
      <c r="N15">
        <v>2033</v>
      </c>
      <c r="O15">
        <f>B15*'Outil Cibles'!Q$8</f>
        <v>474.1638313817179</v>
      </c>
      <c r="P15">
        <f>C15*'Outil Cibles'!R$8</f>
        <v>1425.3602421956953</v>
      </c>
      <c r="Q15">
        <f>D15*'Outil Cibles'!S$8</f>
        <v>1425.3602421956953</v>
      </c>
      <c r="R15">
        <f>E15*'Outil Cibles'!T$8</f>
        <v>0</v>
      </c>
      <c r="S15">
        <f>F15*'Outil Cibles'!U$8</f>
        <v>0</v>
      </c>
      <c r="T15">
        <f>G15*'Outil Cibles'!V$8</f>
        <v>0</v>
      </c>
      <c r="U15">
        <f>H15*'Outil Cibles'!W$8</f>
        <v>0</v>
      </c>
      <c r="V15">
        <f>I15*'Outil Cibles'!X$8</f>
        <v>0</v>
      </c>
      <c r="W15">
        <f>J15*'Outil Cibles'!Y$8</f>
        <v>0</v>
      </c>
      <c r="X15">
        <f>K15*'Outil Cibles'!Z$8</f>
        <v>0</v>
      </c>
      <c r="Y15">
        <f t="shared" si="1"/>
        <v>3324.8843157731085</v>
      </c>
    </row>
    <row r="16" spans="1:25" x14ac:dyDescent="0.3">
      <c r="A16">
        <v>2034</v>
      </c>
      <c r="B16" s="23">
        <f>IF(AND($A16-'Outil Cibles'!Q$7&lt;=60,$A16-'Outil Cibles'!Q$7&gt;=0),IF('Outil Cibles'!Q$5='Outil Cibles'!$B$41, IF('Outil Cibles'!Q$6='Outil Cibles'!$E$41, VLOOKUP('Background graphEXPL_1.5'!$A16, '1.5°C'!$B$39:$AG$67, 26,FALSE), VLOOKUP('Background graphEXPL_1.5'!$A16, '1.5°C'!$B$39:$AG$67, 27,FALSE)), IF('Outil Cibles'!Q$6='Outil Cibles'!$E$41, VLOOKUP('Background graphEXPL_1.5'!$A16, '1.5°C'!$B$39:$AG$67, 31,FALSE), VLOOKUP('Background graphEXPL_1.5'!$A16, '1.5°C'!$B$39:$AG$67, 32,FALSE))), 0)</f>
        <v>0.26462190569882554</v>
      </c>
      <c r="C16" s="23">
        <f>IF(AND($A16-'Outil Cibles'!R$7&lt;=60,$A16-'Outil Cibles'!R$7&gt;=0),IF('Outil Cibles'!R$5='Outil Cibles'!$B$41, IF('Outil Cibles'!R$6='Outil Cibles'!$E$41, VLOOKUP('Background graphEXPL_1.5'!$A16, '1.5°C'!$B$39:$AG$67, 26,FALSE), VLOOKUP('Background graphEXPL_1.5'!$A16, '1.5°C'!$B$39:$AG$67, 27,FALSE)), IF('Outil Cibles'!R$6='Outil Cibles'!$E$41, VLOOKUP('Background graphEXPL_1.5'!$A16, '1.5°C'!$B$39:$AG$67, 31,FALSE), VLOOKUP('Background graphEXPL_1.5'!$A16, '1.5°C'!$B$39:$AG$67, 32,FALSE))), 0)</f>
        <v>0.79681944230585178</v>
      </c>
      <c r="D16" s="23">
        <f>IF(AND($A16-'Outil Cibles'!S$7&lt;=60,$A16-'Outil Cibles'!S$7&gt;=0),IF('Outil Cibles'!S$5='Outil Cibles'!$B$41, IF('Outil Cibles'!S$6='Outil Cibles'!$E$41, VLOOKUP('Background graphEXPL_1.5'!$A16, '1.5°C'!$B$39:$AG$67, 26,FALSE), VLOOKUP('Background graphEXPL_1.5'!$A16, '1.5°C'!$B$39:$AG$67, 27,FALSE)), IF('Outil Cibles'!S$6='Outil Cibles'!$E$41, VLOOKUP('Background graphEXPL_1.5'!$A16, '1.5°C'!$B$39:$AG$67, 31,FALSE), VLOOKUP('Background graphEXPL_1.5'!$A16, '1.5°C'!$B$39:$AG$67, 32,FALSE))), 0)</f>
        <v>0.79681944230585178</v>
      </c>
      <c r="E16" s="23">
        <f>IF(AND($A16-'Outil Cibles'!T$7&lt;=60,$A16-'Outil Cibles'!T$7&gt;=0),IF('Outil Cibles'!T$5='Outil Cibles'!$B$41, IF('Outil Cibles'!T$6='Outil Cibles'!$E$41, VLOOKUP('Background graphEXPL_1.5'!$A16, '1.5°C'!$B$39:$AG$67, 26,FALSE), VLOOKUP('Background graphEXPL_1.5'!$A16, '1.5°C'!$B$39:$AG$67, 27,FALSE)), IF('Outil Cibles'!T$6='Outil Cibles'!$E$41, VLOOKUP('Background graphEXPL_1.5'!$A16, '1.5°C'!$B$39:$AG$67, 31,FALSE), VLOOKUP('Background graphEXPL_1.5'!$A16, '1.5°C'!$B$39:$AG$67, 32,FALSE))), 0)</f>
        <v>0</v>
      </c>
      <c r="F16" s="23">
        <f>IF(AND($A16-'Outil Cibles'!U$7&lt;=60,$A16-'Outil Cibles'!U$7&gt;=0),IF('Outil Cibles'!U$5='Outil Cibles'!$B$41, IF('Outil Cibles'!U$6='Outil Cibles'!$E$41, VLOOKUP('Background graphEXPL_1.5'!$A16, '1.5°C'!$B$39:$AG$67, 26,FALSE), VLOOKUP('Background graphEXPL_1.5'!$A16, '1.5°C'!$B$39:$AG$67, 27,FALSE)), IF('Outil Cibles'!U$6='Outil Cibles'!$E$41, VLOOKUP('Background graphEXPL_1.5'!$A16, '1.5°C'!$B$39:$AG$67, 31,FALSE), VLOOKUP('Background graphEXPL_1.5'!$A16, '1.5°C'!$B$39:$AG$67, 32,FALSE))), 0)</f>
        <v>0</v>
      </c>
      <c r="G16" s="23">
        <f>IF(AND($A16-'Outil Cibles'!V$7&lt;=60,$A16-'Outil Cibles'!V$7&gt;=0),IF('Outil Cibles'!V$5='Outil Cibles'!$B$41, IF('Outil Cibles'!V$6='Outil Cibles'!$E$41, VLOOKUP('Background graphEXPL_1.5'!$A16, '1.5°C'!$B$39:$AG$67, 26,FALSE), VLOOKUP('Background graphEXPL_1.5'!$A16, '1.5°C'!$B$39:$AG$67, 27,FALSE)), IF('Outil Cibles'!V$6='Outil Cibles'!$E$41, VLOOKUP('Background graphEXPL_1.5'!$A16, '1.5°C'!$B$39:$AG$67, 31,FALSE), VLOOKUP('Background graphEXPL_1.5'!$A16, '1.5°C'!$B$39:$AG$67, 32,FALSE))), 0)</f>
        <v>0</v>
      </c>
      <c r="H16" s="23">
        <f>IF(AND($A16-'Outil Cibles'!W$7&lt;=60,$A16-'Outil Cibles'!W$7&gt;=0),IF('Outil Cibles'!W$5='Outil Cibles'!$B$41, IF('Outil Cibles'!W$6='Outil Cibles'!$E$41, VLOOKUP('Background graphEXPL_1.5'!$A16, '1.5°C'!$B$39:$AG$67, 26,FALSE), VLOOKUP('Background graphEXPL_1.5'!$A16, '1.5°C'!$B$39:$AG$67, 27,FALSE)), IF('Outil Cibles'!W$6='Outil Cibles'!$E$41, VLOOKUP('Background graphEXPL_1.5'!$A16, '1.5°C'!$B$39:$AG$67, 31,FALSE), VLOOKUP('Background graphEXPL_1.5'!$A16, '1.5°C'!$B$39:$AG$67, 32,FALSE))), 0)</f>
        <v>0</v>
      </c>
      <c r="I16" s="23">
        <f>IF(AND($A16-'Outil Cibles'!X$7&lt;=60,$A16-'Outil Cibles'!X$7&gt;=0),IF('Outil Cibles'!X$5='Outil Cibles'!$B$41, IF('Outil Cibles'!X$6='Outil Cibles'!$E$41, VLOOKUP('Background graphEXPL_1.5'!$A16, '1.5°C'!$B$39:$AG$67, 26,FALSE), VLOOKUP('Background graphEXPL_1.5'!$A16, '1.5°C'!$B$39:$AG$67, 27,FALSE)), IF('Outil Cibles'!X$6='Outil Cibles'!$E$41, VLOOKUP('Background graphEXPL_1.5'!$A16, '1.5°C'!$B$39:$AG$67, 31,FALSE), VLOOKUP('Background graphEXPL_1.5'!$A16, '1.5°C'!$B$39:$AG$67, 32,FALSE))), 0)</f>
        <v>0</v>
      </c>
      <c r="J16" s="23">
        <f>IF(AND($A16-'Outil Cibles'!Y$7&lt;=60,$A16-'Outil Cibles'!Y$7&gt;=0),IF('Outil Cibles'!Y$5='Outil Cibles'!$B$41, IF('Outil Cibles'!Y$6='Outil Cibles'!$E$41, VLOOKUP('Background graphEXPL_1.5'!$A16, '1.5°C'!$B$39:$AG$67, 26,FALSE), VLOOKUP('Background graphEXPL_1.5'!$A16, '1.5°C'!$B$39:$AG$67, 27,FALSE)), IF('Outil Cibles'!Y$6='Outil Cibles'!$E$41, VLOOKUP('Background graphEXPL_1.5'!$A16, '1.5°C'!$B$39:$AG$67, 31,FALSE), VLOOKUP('Background graphEXPL_1.5'!$A16, '1.5°C'!$B$39:$AG$67, 32,FALSE))), 0)</f>
        <v>0</v>
      </c>
      <c r="K16" s="23">
        <f>IF(AND($A16-'Outil Cibles'!Z$7&lt;=60,$A16-'Outil Cibles'!Z$7&gt;=0),IF('Outil Cibles'!Z$5='Outil Cibles'!$B$41, IF('Outil Cibles'!Z$6='Outil Cibles'!$E$41, VLOOKUP('Background graphEXPL_1.5'!$A16, '1.5°C'!$B$39:$AG$67, 26,FALSE), VLOOKUP('Background graphEXPL_1.5'!$A16, '1.5°C'!$B$39:$AG$67, 27,FALSE)), IF('Outil Cibles'!Z$6='Outil Cibles'!$E$41, VLOOKUP('Background graphEXPL_1.5'!$A16, '1.5°C'!$B$39:$AG$67, 31,FALSE), VLOOKUP('Background graphEXPL_1.5'!$A16, '1.5°C'!$B$39:$AG$67, 32,FALSE))), 0)</f>
        <v>0</v>
      </c>
      <c r="L16" s="23">
        <f t="shared" si="0"/>
        <v>1.858260790310529</v>
      </c>
      <c r="N16">
        <v>2034</v>
      </c>
      <c r="O16">
        <f>B16*'Outil Cibles'!Q$8</f>
        <v>264.62190569882557</v>
      </c>
      <c r="P16">
        <f>C16*'Outil Cibles'!R$8</f>
        <v>796.81944230585179</v>
      </c>
      <c r="Q16">
        <f>D16*'Outil Cibles'!S$8</f>
        <v>796.81944230585179</v>
      </c>
      <c r="R16">
        <f>E16*'Outil Cibles'!T$8</f>
        <v>0</v>
      </c>
      <c r="S16">
        <f>F16*'Outil Cibles'!U$8</f>
        <v>0</v>
      </c>
      <c r="T16">
        <f>G16*'Outil Cibles'!V$8</f>
        <v>0</v>
      </c>
      <c r="U16">
        <f>H16*'Outil Cibles'!W$8</f>
        <v>0</v>
      </c>
      <c r="V16">
        <f>I16*'Outil Cibles'!X$8</f>
        <v>0</v>
      </c>
      <c r="W16">
        <f>J16*'Outil Cibles'!Y$8</f>
        <v>0</v>
      </c>
      <c r="X16">
        <f>K16*'Outil Cibles'!Z$8</f>
        <v>0</v>
      </c>
      <c r="Y16">
        <f t="shared" si="1"/>
        <v>1858.260790310529</v>
      </c>
    </row>
    <row r="17" spans="1:25" x14ac:dyDescent="0.3">
      <c r="A17" s="10">
        <v>2035</v>
      </c>
      <c r="B17" s="23">
        <f>IF(AND($A17-'Outil Cibles'!Q$7&lt;=60,$A17-'Outil Cibles'!Q$7&gt;=0),IF('Outil Cibles'!Q$5='Outil Cibles'!$B$41, IF('Outil Cibles'!Q$6='Outil Cibles'!$E$41, VLOOKUP('Background graphEXPL_1.5'!$A17, '1.5°C'!$B$39:$AG$67, 26,FALSE), VLOOKUP('Background graphEXPL_1.5'!$A17, '1.5°C'!$B$39:$AG$67, 27,FALSE)), IF('Outil Cibles'!Q$6='Outil Cibles'!$E$41, VLOOKUP('Background graphEXPL_1.5'!$A17, '1.5°C'!$B$39:$AG$67, 31,FALSE), VLOOKUP('Background graphEXPL_1.5'!$A17, '1.5°C'!$B$39:$AG$67, 32,FALSE))), 0)</f>
        <v>5.7639148195108153E-2</v>
      </c>
      <c r="C17" s="23">
        <f>IF(AND($A17-'Outil Cibles'!R$7&lt;=60,$A17-'Outil Cibles'!R$7&gt;=0),IF('Outil Cibles'!R$5='Outil Cibles'!$B$41, IF('Outil Cibles'!R$6='Outil Cibles'!$E$41, VLOOKUP('Background graphEXPL_1.5'!$A17, '1.5°C'!$B$39:$AG$67, 26,FALSE), VLOOKUP('Background graphEXPL_1.5'!$A17, '1.5°C'!$B$39:$AG$67, 27,FALSE)), IF('Outil Cibles'!R$6='Outil Cibles'!$E$41, VLOOKUP('Background graphEXPL_1.5'!$A17, '1.5°C'!$B$39:$AG$67, 31,FALSE), VLOOKUP('Background graphEXPL_1.5'!$A17, '1.5°C'!$B$39:$AG$67, 32,FALSE))), 0)</f>
        <v>0.17384798615061145</v>
      </c>
      <c r="D17" s="23">
        <f>IF(AND($A17-'Outil Cibles'!S$7&lt;=60,$A17-'Outil Cibles'!S$7&gt;=0),IF('Outil Cibles'!S$5='Outil Cibles'!$B$41, IF('Outil Cibles'!S$6='Outil Cibles'!$E$41, VLOOKUP('Background graphEXPL_1.5'!$A17, '1.5°C'!$B$39:$AG$67, 26,FALSE), VLOOKUP('Background graphEXPL_1.5'!$A17, '1.5°C'!$B$39:$AG$67, 27,FALSE)), IF('Outil Cibles'!S$6='Outil Cibles'!$E$41, VLOOKUP('Background graphEXPL_1.5'!$A17, '1.5°C'!$B$39:$AG$67, 31,FALSE), VLOOKUP('Background graphEXPL_1.5'!$A17, '1.5°C'!$B$39:$AG$67, 32,FALSE))), 0)</f>
        <v>0.17384798615061145</v>
      </c>
      <c r="E17" s="23">
        <f>IF(AND($A17-'Outil Cibles'!T$7&lt;=60,$A17-'Outil Cibles'!T$7&gt;=0),IF('Outil Cibles'!T$5='Outil Cibles'!$B$41, IF('Outil Cibles'!T$6='Outil Cibles'!$E$41, VLOOKUP('Background graphEXPL_1.5'!$A17, '1.5°C'!$B$39:$AG$67, 26,FALSE), VLOOKUP('Background graphEXPL_1.5'!$A17, '1.5°C'!$B$39:$AG$67, 27,FALSE)), IF('Outil Cibles'!T$6='Outil Cibles'!$E$41, VLOOKUP('Background graphEXPL_1.5'!$A17, '1.5°C'!$B$39:$AG$67, 31,FALSE), VLOOKUP('Background graphEXPL_1.5'!$A17, '1.5°C'!$B$39:$AG$67, 32,FALSE))), 0)</f>
        <v>0.17384798615061145</v>
      </c>
      <c r="F17" s="23">
        <f>IF(AND($A17-'Outil Cibles'!U$7&lt;=60,$A17-'Outil Cibles'!U$7&gt;=0),IF('Outil Cibles'!U$5='Outil Cibles'!$B$41, IF('Outil Cibles'!U$6='Outil Cibles'!$E$41, VLOOKUP('Background graphEXPL_1.5'!$A17, '1.5°C'!$B$39:$AG$67, 26,FALSE), VLOOKUP('Background graphEXPL_1.5'!$A17, '1.5°C'!$B$39:$AG$67, 27,FALSE)), IF('Outil Cibles'!U$6='Outil Cibles'!$E$41, VLOOKUP('Background graphEXPL_1.5'!$A17, '1.5°C'!$B$39:$AG$67, 31,FALSE), VLOOKUP('Background graphEXPL_1.5'!$A17, '1.5°C'!$B$39:$AG$67, 32,FALSE))), 0)</f>
        <v>0</v>
      </c>
      <c r="G17" s="23">
        <f>IF(AND($A17-'Outil Cibles'!V$7&lt;=60,$A17-'Outil Cibles'!V$7&gt;=0),IF('Outil Cibles'!V$5='Outil Cibles'!$B$41, IF('Outil Cibles'!V$6='Outil Cibles'!$E$41, VLOOKUP('Background graphEXPL_1.5'!$A17, '1.5°C'!$B$39:$AG$67, 26,FALSE), VLOOKUP('Background graphEXPL_1.5'!$A17, '1.5°C'!$B$39:$AG$67, 27,FALSE)), IF('Outil Cibles'!V$6='Outil Cibles'!$E$41, VLOOKUP('Background graphEXPL_1.5'!$A17, '1.5°C'!$B$39:$AG$67, 31,FALSE), VLOOKUP('Background graphEXPL_1.5'!$A17, '1.5°C'!$B$39:$AG$67, 32,FALSE))), 0)</f>
        <v>0</v>
      </c>
      <c r="H17" s="23">
        <f>IF(AND($A17-'Outil Cibles'!W$7&lt;=60,$A17-'Outil Cibles'!W$7&gt;=0),IF('Outil Cibles'!W$5='Outil Cibles'!$B$41, IF('Outil Cibles'!W$6='Outil Cibles'!$E$41, VLOOKUP('Background graphEXPL_1.5'!$A17, '1.5°C'!$B$39:$AG$67, 26,FALSE), VLOOKUP('Background graphEXPL_1.5'!$A17, '1.5°C'!$B$39:$AG$67, 27,FALSE)), IF('Outil Cibles'!W$6='Outil Cibles'!$E$41, VLOOKUP('Background graphEXPL_1.5'!$A17, '1.5°C'!$B$39:$AG$67, 31,FALSE), VLOOKUP('Background graphEXPL_1.5'!$A17, '1.5°C'!$B$39:$AG$67, 32,FALSE))), 0)</f>
        <v>0</v>
      </c>
      <c r="I17" s="23">
        <f>IF(AND($A17-'Outil Cibles'!X$7&lt;=60,$A17-'Outil Cibles'!X$7&gt;=0),IF('Outil Cibles'!X$5='Outil Cibles'!$B$41, IF('Outil Cibles'!X$6='Outil Cibles'!$E$41, VLOOKUP('Background graphEXPL_1.5'!$A17, '1.5°C'!$B$39:$AG$67, 26,FALSE), VLOOKUP('Background graphEXPL_1.5'!$A17, '1.5°C'!$B$39:$AG$67, 27,FALSE)), IF('Outil Cibles'!X$6='Outil Cibles'!$E$41, VLOOKUP('Background graphEXPL_1.5'!$A17, '1.5°C'!$B$39:$AG$67, 31,FALSE), VLOOKUP('Background graphEXPL_1.5'!$A17, '1.5°C'!$B$39:$AG$67, 32,FALSE))), 0)</f>
        <v>0</v>
      </c>
      <c r="J17" s="23">
        <f>IF(AND($A17-'Outil Cibles'!Y$7&lt;=60,$A17-'Outil Cibles'!Y$7&gt;=0),IF('Outil Cibles'!Y$5='Outil Cibles'!$B$41, IF('Outil Cibles'!Y$6='Outil Cibles'!$E$41, VLOOKUP('Background graphEXPL_1.5'!$A17, '1.5°C'!$B$39:$AG$67, 26,FALSE), VLOOKUP('Background graphEXPL_1.5'!$A17, '1.5°C'!$B$39:$AG$67, 27,FALSE)), IF('Outil Cibles'!Y$6='Outil Cibles'!$E$41, VLOOKUP('Background graphEXPL_1.5'!$A17, '1.5°C'!$B$39:$AG$67, 31,FALSE), VLOOKUP('Background graphEXPL_1.5'!$A17, '1.5°C'!$B$39:$AG$67, 32,FALSE))), 0)</f>
        <v>0</v>
      </c>
      <c r="K17" s="23">
        <f>IF(AND($A17-'Outil Cibles'!Z$7&lt;=60,$A17-'Outil Cibles'!Z$7&gt;=0),IF('Outil Cibles'!Z$5='Outil Cibles'!$B$41, IF('Outil Cibles'!Z$6='Outil Cibles'!$E$41, VLOOKUP('Background graphEXPL_1.5'!$A17, '1.5°C'!$B$39:$AG$67, 26,FALSE), VLOOKUP('Background graphEXPL_1.5'!$A17, '1.5°C'!$B$39:$AG$67, 27,FALSE)), IF('Outil Cibles'!Z$6='Outil Cibles'!$E$41, VLOOKUP('Background graphEXPL_1.5'!$A17, '1.5°C'!$B$39:$AG$67, 31,FALSE), VLOOKUP('Background graphEXPL_1.5'!$A17, '1.5°C'!$B$39:$AG$67, 32,FALSE))), 0)</f>
        <v>0</v>
      </c>
      <c r="L17" s="23">
        <f t="shared" si="0"/>
        <v>0.5791831066469425</v>
      </c>
      <c r="N17" s="10">
        <v>2035</v>
      </c>
      <c r="O17">
        <f>B17*'Outil Cibles'!Q$8</f>
        <v>57.639148195108156</v>
      </c>
      <c r="P17">
        <f>C17*'Outil Cibles'!R$8</f>
        <v>173.84798615061146</v>
      </c>
      <c r="Q17">
        <f>D17*'Outil Cibles'!S$8</f>
        <v>173.84798615061146</v>
      </c>
      <c r="R17">
        <f>E17*'Outil Cibles'!T$8</f>
        <v>173.84798615061146</v>
      </c>
      <c r="S17">
        <f>F17*'Outil Cibles'!U$8</f>
        <v>0</v>
      </c>
      <c r="T17">
        <f>G17*'Outil Cibles'!V$8</f>
        <v>0</v>
      </c>
      <c r="U17">
        <f>H17*'Outil Cibles'!W$8</f>
        <v>0</v>
      </c>
      <c r="V17">
        <f>I17*'Outil Cibles'!X$8</f>
        <v>0</v>
      </c>
      <c r="W17">
        <f>J17*'Outil Cibles'!Y$8</f>
        <v>0</v>
      </c>
      <c r="X17">
        <f>K17*'Outil Cibles'!Z$8</f>
        <v>0</v>
      </c>
      <c r="Y17">
        <f t="shared" si="1"/>
        <v>579.18310664694263</v>
      </c>
    </row>
    <row r="18" spans="1:25" x14ac:dyDescent="0.3">
      <c r="A18">
        <v>2036</v>
      </c>
      <c r="B18" s="23">
        <f>IF(AND($A18-'Outil Cibles'!Q$7&lt;=60,$A18-'Outil Cibles'!Q$7&gt;=0),IF('Outil Cibles'!Q$5='Outil Cibles'!$B$41, IF('Outil Cibles'!Q$6='Outil Cibles'!$E$41, VLOOKUP('Background graphEXPL_1.5'!$A18, '1.5°C'!$B$39:$AG$67, 26,FALSE), VLOOKUP('Background graphEXPL_1.5'!$A18, '1.5°C'!$B$39:$AG$67, 27,FALSE)), IF('Outil Cibles'!Q$6='Outil Cibles'!$E$41, VLOOKUP('Background graphEXPL_1.5'!$A18, '1.5°C'!$B$39:$AG$67, 31,FALSE), VLOOKUP('Background graphEXPL_1.5'!$A18, '1.5°C'!$B$39:$AG$67, 32,FALSE))), 0)</f>
        <v>0</v>
      </c>
      <c r="C18" s="23">
        <f>IF(AND($A18-'Outil Cibles'!R$7&lt;=60,$A18-'Outil Cibles'!R$7&gt;=0),IF('Outil Cibles'!R$5='Outil Cibles'!$B$41, IF('Outil Cibles'!R$6='Outil Cibles'!$E$41, VLOOKUP('Background graphEXPL_1.5'!$A18, '1.5°C'!$B$39:$AG$67, 26,FALSE), VLOOKUP('Background graphEXPL_1.5'!$A18, '1.5°C'!$B$39:$AG$67, 27,FALSE)), IF('Outil Cibles'!R$6='Outil Cibles'!$E$41, VLOOKUP('Background graphEXPL_1.5'!$A18, '1.5°C'!$B$39:$AG$67, 31,FALSE), VLOOKUP('Background graphEXPL_1.5'!$A18, '1.5°C'!$B$39:$AG$67, 32,FALSE))), 0)</f>
        <v>0</v>
      </c>
      <c r="D18" s="23">
        <f>IF(AND($A18-'Outil Cibles'!S$7&lt;=60,$A18-'Outil Cibles'!S$7&gt;=0),IF('Outil Cibles'!S$5='Outil Cibles'!$B$41, IF('Outil Cibles'!S$6='Outil Cibles'!$E$41, VLOOKUP('Background graphEXPL_1.5'!$A18, '1.5°C'!$B$39:$AG$67, 26,FALSE), VLOOKUP('Background graphEXPL_1.5'!$A18, '1.5°C'!$B$39:$AG$67, 27,FALSE)), IF('Outil Cibles'!S$6='Outil Cibles'!$E$41, VLOOKUP('Background graphEXPL_1.5'!$A18, '1.5°C'!$B$39:$AG$67, 31,FALSE), VLOOKUP('Background graphEXPL_1.5'!$A18, '1.5°C'!$B$39:$AG$67, 32,FALSE))), 0)</f>
        <v>0</v>
      </c>
      <c r="E18" s="23">
        <f>IF(AND($A18-'Outil Cibles'!T$7&lt;=60,$A18-'Outil Cibles'!T$7&gt;=0),IF('Outil Cibles'!T$5='Outil Cibles'!$B$41, IF('Outil Cibles'!T$6='Outil Cibles'!$E$41, VLOOKUP('Background graphEXPL_1.5'!$A18, '1.5°C'!$B$39:$AG$67, 26,FALSE), VLOOKUP('Background graphEXPL_1.5'!$A18, '1.5°C'!$B$39:$AG$67, 27,FALSE)), IF('Outil Cibles'!T$6='Outil Cibles'!$E$41, VLOOKUP('Background graphEXPL_1.5'!$A18, '1.5°C'!$B$39:$AG$67, 31,FALSE), VLOOKUP('Background graphEXPL_1.5'!$A18, '1.5°C'!$B$39:$AG$67, 32,FALSE))), 0)</f>
        <v>0</v>
      </c>
      <c r="F18" s="23">
        <f>IF(AND($A18-'Outil Cibles'!U$7&lt;=60,$A18-'Outil Cibles'!U$7&gt;=0),IF('Outil Cibles'!U$5='Outil Cibles'!$B$41, IF('Outil Cibles'!U$6='Outil Cibles'!$E$41, VLOOKUP('Background graphEXPL_1.5'!$A18, '1.5°C'!$B$39:$AG$67, 26,FALSE), VLOOKUP('Background graphEXPL_1.5'!$A18, '1.5°C'!$B$39:$AG$67, 27,FALSE)), IF('Outil Cibles'!U$6='Outil Cibles'!$E$41, VLOOKUP('Background graphEXPL_1.5'!$A18, '1.5°C'!$B$39:$AG$67, 31,FALSE), VLOOKUP('Background graphEXPL_1.5'!$A18, '1.5°C'!$B$39:$AG$67, 32,FALSE))), 0)</f>
        <v>0</v>
      </c>
      <c r="G18" s="23">
        <f>IF(AND($A18-'Outil Cibles'!V$7&lt;=60,$A18-'Outil Cibles'!V$7&gt;=0),IF('Outil Cibles'!V$5='Outil Cibles'!$B$41, IF('Outil Cibles'!V$6='Outil Cibles'!$E$41, VLOOKUP('Background graphEXPL_1.5'!$A18, '1.5°C'!$B$39:$AG$67, 26,FALSE), VLOOKUP('Background graphEXPL_1.5'!$A18, '1.5°C'!$B$39:$AG$67, 27,FALSE)), IF('Outil Cibles'!V$6='Outil Cibles'!$E$41, VLOOKUP('Background graphEXPL_1.5'!$A18, '1.5°C'!$B$39:$AG$67, 31,FALSE), VLOOKUP('Background graphEXPL_1.5'!$A18, '1.5°C'!$B$39:$AG$67, 32,FALSE))), 0)</f>
        <v>0</v>
      </c>
      <c r="H18" s="23">
        <f>IF(AND($A18-'Outil Cibles'!W$7&lt;=60,$A18-'Outil Cibles'!W$7&gt;=0),IF('Outil Cibles'!W$5='Outil Cibles'!$B$41, IF('Outil Cibles'!W$6='Outil Cibles'!$E$41, VLOOKUP('Background graphEXPL_1.5'!$A18, '1.5°C'!$B$39:$AG$67, 26,FALSE), VLOOKUP('Background graphEXPL_1.5'!$A18, '1.5°C'!$B$39:$AG$67, 27,FALSE)), IF('Outil Cibles'!W$6='Outil Cibles'!$E$41, VLOOKUP('Background graphEXPL_1.5'!$A18, '1.5°C'!$B$39:$AG$67, 31,FALSE), VLOOKUP('Background graphEXPL_1.5'!$A18, '1.5°C'!$B$39:$AG$67, 32,FALSE))), 0)</f>
        <v>0</v>
      </c>
      <c r="I18" s="23">
        <f>IF(AND($A18-'Outil Cibles'!X$7&lt;=60,$A18-'Outil Cibles'!X$7&gt;=0),IF('Outil Cibles'!X$5='Outil Cibles'!$B$41, IF('Outil Cibles'!X$6='Outil Cibles'!$E$41, VLOOKUP('Background graphEXPL_1.5'!$A18, '1.5°C'!$B$39:$AG$67, 26,FALSE), VLOOKUP('Background graphEXPL_1.5'!$A18, '1.5°C'!$B$39:$AG$67, 27,FALSE)), IF('Outil Cibles'!X$6='Outil Cibles'!$E$41, VLOOKUP('Background graphEXPL_1.5'!$A18, '1.5°C'!$B$39:$AG$67, 31,FALSE), VLOOKUP('Background graphEXPL_1.5'!$A18, '1.5°C'!$B$39:$AG$67, 32,FALSE))), 0)</f>
        <v>0</v>
      </c>
      <c r="J18" s="23">
        <f>IF(AND($A18-'Outil Cibles'!Y$7&lt;=60,$A18-'Outil Cibles'!Y$7&gt;=0),IF('Outil Cibles'!Y$5='Outil Cibles'!$B$41, IF('Outil Cibles'!Y$6='Outil Cibles'!$E$41, VLOOKUP('Background graphEXPL_1.5'!$A18, '1.5°C'!$B$39:$AG$67, 26,FALSE), VLOOKUP('Background graphEXPL_1.5'!$A18, '1.5°C'!$B$39:$AG$67, 27,FALSE)), IF('Outil Cibles'!Y$6='Outil Cibles'!$E$41, VLOOKUP('Background graphEXPL_1.5'!$A18, '1.5°C'!$B$39:$AG$67, 31,FALSE), VLOOKUP('Background graphEXPL_1.5'!$A18, '1.5°C'!$B$39:$AG$67, 32,FALSE))), 0)</f>
        <v>0</v>
      </c>
      <c r="K18" s="23">
        <f>IF(AND($A18-'Outil Cibles'!Z$7&lt;=60,$A18-'Outil Cibles'!Z$7&gt;=0),IF('Outil Cibles'!Z$5='Outil Cibles'!$B$41, IF('Outil Cibles'!Z$6='Outil Cibles'!$E$41, VLOOKUP('Background graphEXPL_1.5'!$A18, '1.5°C'!$B$39:$AG$67, 26,FALSE), VLOOKUP('Background graphEXPL_1.5'!$A18, '1.5°C'!$B$39:$AG$67, 27,FALSE)), IF('Outil Cibles'!Z$6='Outil Cibles'!$E$41, VLOOKUP('Background graphEXPL_1.5'!$A18, '1.5°C'!$B$39:$AG$67, 31,FALSE), VLOOKUP('Background graphEXPL_1.5'!$A18, '1.5°C'!$B$39:$AG$67, 32,FALSE))), 0)</f>
        <v>0</v>
      </c>
      <c r="L18" s="23">
        <f t="shared" si="0"/>
        <v>0</v>
      </c>
      <c r="N18">
        <v>2036</v>
      </c>
      <c r="O18">
        <f>B18*'Outil Cibles'!Q$8</f>
        <v>0</v>
      </c>
      <c r="P18">
        <f>C18*'Outil Cibles'!R$8</f>
        <v>0</v>
      </c>
      <c r="Q18">
        <f>D18*'Outil Cibles'!S$8</f>
        <v>0</v>
      </c>
      <c r="R18">
        <f>E18*'Outil Cibles'!T$8</f>
        <v>0</v>
      </c>
      <c r="S18">
        <f>F18*'Outil Cibles'!U$8</f>
        <v>0</v>
      </c>
      <c r="T18">
        <f>G18*'Outil Cibles'!V$8</f>
        <v>0</v>
      </c>
      <c r="U18">
        <f>H18*'Outil Cibles'!W$8</f>
        <v>0</v>
      </c>
      <c r="V18">
        <f>I18*'Outil Cibles'!X$8</f>
        <v>0</v>
      </c>
      <c r="W18">
        <f>J18*'Outil Cibles'!Y$8</f>
        <v>0</v>
      </c>
      <c r="X18">
        <f>K18*'Outil Cibles'!Z$8</f>
        <v>0</v>
      </c>
      <c r="Y18">
        <f t="shared" si="1"/>
        <v>0</v>
      </c>
    </row>
    <row r="19" spans="1:25" x14ac:dyDescent="0.3">
      <c r="A19">
        <v>2037</v>
      </c>
      <c r="B19" s="23">
        <f>IF(AND($A19-'Outil Cibles'!Q$7&lt;=60,$A19-'Outil Cibles'!Q$7&gt;=0),IF('Outil Cibles'!Q$5='Outil Cibles'!$B$41, IF('Outil Cibles'!Q$6='Outil Cibles'!$E$41, VLOOKUP('Background graphEXPL_1.5'!$A19, '1.5°C'!$B$39:$AG$67, 26,FALSE), VLOOKUP('Background graphEXPL_1.5'!$A19, '1.5°C'!$B$39:$AG$67, 27,FALSE)), IF('Outil Cibles'!Q$6='Outil Cibles'!$E$41, VLOOKUP('Background graphEXPL_1.5'!$A19, '1.5°C'!$B$39:$AG$67, 31,FALSE), VLOOKUP('Background graphEXPL_1.5'!$A19, '1.5°C'!$B$39:$AG$67, 32,FALSE))), 0)</f>
        <v>0</v>
      </c>
      <c r="C19" s="23">
        <f>IF(AND($A19-'Outil Cibles'!R$7&lt;=60,$A19-'Outil Cibles'!R$7&gt;=0),IF('Outil Cibles'!R$5='Outil Cibles'!$B$41, IF('Outil Cibles'!R$6='Outil Cibles'!$E$41, VLOOKUP('Background graphEXPL_1.5'!$A19, '1.5°C'!$B$39:$AG$67, 26,FALSE), VLOOKUP('Background graphEXPL_1.5'!$A19, '1.5°C'!$B$39:$AG$67, 27,FALSE)), IF('Outil Cibles'!R$6='Outil Cibles'!$E$41, VLOOKUP('Background graphEXPL_1.5'!$A19, '1.5°C'!$B$39:$AG$67, 31,FALSE), VLOOKUP('Background graphEXPL_1.5'!$A19, '1.5°C'!$B$39:$AG$67, 32,FALSE))), 0)</f>
        <v>0</v>
      </c>
      <c r="D19" s="23">
        <f>IF(AND($A19-'Outil Cibles'!S$7&lt;=60,$A19-'Outil Cibles'!S$7&gt;=0),IF('Outil Cibles'!S$5='Outil Cibles'!$B$41, IF('Outil Cibles'!S$6='Outil Cibles'!$E$41, VLOOKUP('Background graphEXPL_1.5'!$A19, '1.5°C'!$B$39:$AG$67, 26,FALSE), VLOOKUP('Background graphEXPL_1.5'!$A19, '1.5°C'!$B$39:$AG$67, 27,FALSE)), IF('Outil Cibles'!S$6='Outil Cibles'!$E$41, VLOOKUP('Background graphEXPL_1.5'!$A19, '1.5°C'!$B$39:$AG$67, 31,FALSE), VLOOKUP('Background graphEXPL_1.5'!$A19, '1.5°C'!$B$39:$AG$67, 32,FALSE))), 0)</f>
        <v>0</v>
      </c>
      <c r="E19" s="23">
        <f>IF(AND($A19-'Outil Cibles'!T$7&lt;=60,$A19-'Outil Cibles'!T$7&gt;=0),IF('Outil Cibles'!T$5='Outil Cibles'!$B$41, IF('Outil Cibles'!T$6='Outil Cibles'!$E$41, VLOOKUP('Background graphEXPL_1.5'!$A19, '1.5°C'!$B$39:$AG$67, 26,FALSE), VLOOKUP('Background graphEXPL_1.5'!$A19, '1.5°C'!$B$39:$AG$67, 27,FALSE)), IF('Outil Cibles'!T$6='Outil Cibles'!$E$41, VLOOKUP('Background graphEXPL_1.5'!$A19, '1.5°C'!$B$39:$AG$67, 31,FALSE), VLOOKUP('Background graphEXPL_1.5'!$A19, '1.5°C'!$B$39:$AG$67, 32,FALSE))), 0)</f>
        <v>0</v>
      </c>
      <c r="F19" s="23">
        <f>IF(AND($A19-'Outil Cibles'!U$7&lt;=60,$A19-'Outil Cibles'!U$7&gt;=0),IF('Outil Cibles'!U$5='Outil Cibles'!$B$41, IF('Outil Cibles'!U$6='Outil Cibles'!$E$41, VLOOKUP('Background graphEXPL_1.5'!$A19, '1.5°C'!$B$39:$AG$67, 26,FALSE), VLOOKUP('Background graphEXPL_1.5'!$A19, '1.5°C'!$B$39:$AG$67, 27,FALSE)), IF('Outil Cibles'!U$6='Outil Cibles'!$E$41, VLOOKUP('Background graphEXPL_1.5'!$A19, '1.5°C'!$B$39:$AG$67, 31,FALSE), VLOOKUP('Background graphEXPL_1.5'!$A19, '1.5°C'!$B$39:$AG$67, 32,FALSE))), 0)</f>
        <v>0</v>
      </c>
      <c r="G19" s="23">
        <f>IF(AND($A19-'Outil Cibles'!V$7&lt;=60,$A19-'Outil Cibles'!V$7&gt;=0),IF('Outil Cibles'!V$5='Outil Cibles'!$B$41, IF('Outil Cibles'!V$6='Outil Cibles'!$E$41, VLOOKUP('Background graphEXPL_1.5'!$A19, '1.5°C'!$B$39:$AG$67, 26,FALSE), VLOOKUP('Background graphEXPL_1.5'!$A19, '1.5°C'!$B$39:$AG$67, 27,FALSE)), IF('Outil Cibles'!V$6='Outil Cibles'!$E$41, VLOOKUP('Background graphEXPL_1.5'!$A19, '1.5°C'!$B$39:$AG$67, 31,FALSE), VLOOKUP('Background graphEXPL_1.5'!$A19, '1.5°C'!$B$39:$AG$67, 32,FALSE))), 0)</f>
        <v>0</v>
      </c>
      <c r="H19" s="23">
        <f>IF(AND($A19-'Outil Cibles'!W$7&lt;=60,$A19-'Outil Cibles'!W$7&gt;=0),IF('Outil Cibles'!W$5='Outil Cibles'!$B$41, IF('Outil Cibles'!W$6='Outil Cibles'!$E$41, VLOOKUP('Background graphEXPL_1.5'!$A19, '1.5°C'!$B$39:$AG$67, 26,FALSE), VLOOKUP('Background graphEXPL_1.5'!$A19, '1.5°C'!$B$39:$AG$67, 27,FALSE)), IF('Outil Cibles'!W$6='Outil Cibles'!$E$41, VLOOKUP('Background graphEXPL_1.5'!$A19, '1.5°C'!$B$39:$AG$67, 31,FALSE), VLOOKUP('Background graphEXPL_1.5'!$A19, '1.5°C'!$B$39:$AG$67, 32,FALSE))), 0)</f>
        <v>0</v>
      </c>
      <c r="I19" s="23">
        <f>IF(AND($A19-'Outil Cibles'!X$7&lt;=60,$A19-'Outil Cibles'!X$7&gt;=0),IF('Outil Cibles'!X$5='Outil Cibles'!$B$41, IF('Outil Cibles'!X$6='Outil Cibles'!$E$41, VLOOKUP('Background graphEXPL_1.5'!$A19, '1.5°C'!$B$39:$AG$67, 26,FALSE), VLOOKUP('Background graphEXPL_1.5'!$A19, '1.5°C'!$B$39:$AG$67, 27,FALSE)), IF('Outil Cibles'!X$6='Outil Cibles'!$E$41, VLOOKUP('Background graphEXPL_1.5'!$A19, '1.5°C'!$B$39:$AG$67, 31,FALSE), VLOOKUP('Background graphEXPL_1.5'!$A19, '1.5°C'!$B$39:$AG$67, 32,FALSE))), 0)</f>
        <v>0</v>
      </c>
      <c r="J19" s="23">
        <f>IF(AND($A19-'Outil Cibles'!Y$7&lt;=60,$A19-'Outil Cibles'!Y$7&gt;=0),IF('Outil Cibles'!Y$5='Outil Cibles'!$B$41, IF('Outil Cibles'!Y$6='Outil Cibles'!$E$41, VLOOKUP('Background graphEXPL_1.5'!$A19, '1.5°C'!$B$39:$AG$67, 26,FALSE), VLOOKUP('Background graphEXPL_1.5'!$A19, '1.5°C'!$B$39:$AG$67, 27,FALSE)), IF('Outil Cibles'!Y$6='Outil Cibles'!$E$41, VLOOKUP('Background graphEXPL_1.5'!$A19, '1.5°C'!$B$39:$AG$67, 31,FALSE), VLOOKUP('Background graphEXPL_1.5'!$A19, '1.5°C'!$B$39:$AG$67, 32,FALSE))), 0)</f>
        <v>0</v>
      </c>
      <c r="K19" s="23">
        <f>IF(AND($A19-'Outil Cibles'!Z$7&lt;=60,$A19-'Outil Cibles'!Z$7&gt;=0),IF('Outil Cibles'!Z$5='Outil Cibles'!$B$41, IF('Outil Cibles'!Z$6='Outil Cibles'!$E$41, VLOOKUP('Background graphEXPL_1.5'!$A19, '1.5°C'!$B$39:$AG$67, 26,FALSE), VLOOKUP('Background graphEXPL_1.5'!$A19, '1.5°C'!$B$39:$AG$67, 27,FALSE)), IF('Outil Cibles'!Z$6='Outil Cibles'!$E$41, VLOOKUP('Background graphEXPL_1.5'!$A19, '1.5°C'!$B$39:$AG$67, 31,FALSE), VLOOKUP('Background graphEXPL_1.5'!$A19, '1.5°C'!$B$39:$AG$67, 32,FALSE))), 0)</f>
        <v>0</v>
      </c>
      <c r="L19" s="23">
        <f t="shared" si="0"/>
        <v>0</v>
      </c>
      <c r="N19">
        <v>2037</v>
      </c>
      <c r="O19">
        <f>B19*'Outil Cibles'!Q$8</f>
        <v>0</v>
      </c>
      <c r="P19">
        <f>C19*'Outil Cibles'!R$8</f>
        <v>0</v>
      </c>
      <c r="Q19">
        <f>D19*'Outil Cibles'!S$8</f>
        <v>0</v>
      </c>
      <c r="R19">
        <f>E19*'Outil Cibles'!T$8</f>
        <v>0</v>
      </c>
      <c r="S19">
        <f>F19*'Outil Cibles'!U$8</f>
        <v>0</v>
      </c>
      <c r="T19">
        <f>G19*'Outil Cibles'!V$8</f>
        <v>0</v>
      </c>
      <c r="U19">
        <f>H19*'Outil Cibles'!W$8</f>
        <v>0</v>
      </c>
      <c r="V19">
        <f>I19*'Outil Cibles'!X$8</f>
        <v>0</v>
      </c>
      <c r="W19">
        <f>J19*'Outil Cibles'!Y$8</f>
        <v>0</v>
      </c>
      <c r="X19">
        <f>K19*'Outil Cibles'!Z$8</f>
        <v>0</v>
      </c>
      <c r="Y19">
        <f t="shared" si="1"/>
        <v>0</v>
      </c>
    </row>
    <row r="20" spans="1:25" x14ac:dyDescent="0.3">
      <c r="A20">
        <v>2038</v>
      </c>
      <c r="B20" s="23">
        <f>IF(AND($A20-'Outil Cibles'!Q$7&lt;=60,$A20-'Outil Cibles'!Q$7&gt;=0),IF('Outil Cibles'!Q$5='Outil Cibles'!$B$41, IF('Outil Cibles'!Q$6='Outil Cibles'!$E$41, VLOOKUP('Background graphEXPL_1.5'!$A20, '1.5°C'!$B$39:$AG$67, 26,FALSE), VLOOKUP('Background graphEXPL_1.5'!$A20, '1.5°C'!$B$39:$AG$67, 27,FALSE)), IF('Outil Cibles'!Q$6='Outil Cibles'!$E$41, VLOOKUP('Background graphEXPL_1.5'!$A20, '1.5°C'!$B$39:$AG$67, 31,FALSE), VLOOKUP('Background graphEXPL_1.5'!$A20, '1.5°C'!$B$39:$AG$67, 32,FALSE))), 0)</f>
        <v>0</v>
      </c>
      <c r="C20" s="23">
        <f>IF(AND($A20-'Outil Cibles'!R$7&lt;=60,$A20-'Outil Cibles'!R$7&gt;=0),IF('Outil Cibles'!R$5='Outil Cibles'!$B$41, IF('Outil Cibles'!R$6='Outil Cibles'!$E$41, VLOOKUP('Background graphEXPL_1.5'!$A20, '1.5°C'!$B$39:$AG$67, 26,FALSE), VLOOKUP('Background graphEXPL_1.5'!$A20, '1.5°C'!$B$39:$AG$67, 27,FALSE)), IF('Outil Cibles'!R$6='Outil Cibles'!$E$41, VLOOKUP('Background graphEXPL_1.5'!$A20, '1.5°C'!$B$39:$AG$67, 31,FALSE), VLOOKUP('Background graphEXPL_1.5'!$A20, '1.5°C'!$B$39:$AG$67, 32,FALSE))), 0)</f>
        <v>0</v>
      </c>
      <c r="D20" s="23">
        <f>IF(AND($A20-'Outil Cibles'!S$7&lt;=60,$A20-'Outil Cibles'!S$7&gt;=0),IF('Outil Cibles'!S$5='Outil Cibles'!$B$41, IF('Outil Cibles'!S$6='Outil Cibles'!$E$41, VLOOKUP('Background graphEXPL_1.5'!$A20, '1.5°C'!$B$39:$AG$67, 26,FALSE), VLOOKUP('Background graphEXPL_1.5'!$A20, '1.5°C'!$B$39:$AG$67, 27,FALSE)), IF('Outil Cibles'!S$6='Outil Cibles'!$E$41, VLOOKUP('Background graphEXPL_1.5'!$A20, '1.5°C'!$B$39:$AG$67, 31,FALSE), VLOOKUP('Background graphEXPL_1.5'!$A20, '1.5°C'!$B$39:$AG$67, 32,FALSE))), 0)</f>
        <v>0</v>
      </c>
      <c r="E20" s="23">
        <f>IF(AND($A20-'Outil Cibles'!T$7&lt;=60,$A20-'Outil Cibles'!T$7&gt;=0),IF('Outil Cibles'!T$5='Outil Cibles'!$B$41, IF('Outil Cibles'!T$6='Outil Cibles'!$E$41, VLOOKUP('Background graphEXPL_1.5'!$A20, '1.5°C'!$B$39:$AG$67, 26,FALSE), VLOOKUP('Background graphEXPL_1.5'!$A20, '1.5°C'!$B$39:$AG$67, 27,FALSE)), IF('Outil Cibles'!T$6='Outil Cibles'!$E$41, VLOOKUP('Background graphEXPL_1.5'!$A20, '1.5°C'!$B$39:$AG$67, 31,FALSE), VLOOKUP('Background graphEXPL_1.5'!$A20, '1.5°C'!$B$39:$AG$67, 32,FALSE))), 0)</f>
        <v>0</v>
      </c>
      <c r="F20" s="23">
        <f>IF(AND($A20-'Outil Cibles'!U$7&lt;=60,$A20-'Outil Cibles'!U$7&gt;=0),IF('Outil Cibles'!U$5='Outil Cibles'!$B$41, IF('Outil Cibles'!U$6='Outil Cibles'!$E$41, VLOOKUP('Background graphEXPL_1.5'!$A20, '1.5°C'!$B$39:$AG$67, 26,FALSE), VLOOKUP('Background graphEXPL_1.5'!$A20, '1.5°C'!$B$39:$AG$67, 27,FALSE)), IF('Outil Cibles'!U$6='Outil Cibles'!$E$41, VLOOKUP('Background graphEXPL_1.5'!$A20, '1.5°C'!$B$39:$AG$67, 31,FALSE), VLOOKUP('Background graphEXPL_1.5'!$A20, '1.5°C'!$B$39:$AG$67, 32,FALSE))), 0)</f>
        <v>0</v>
      </c>
      <c r="G20" s="23">
        <f>IF(AND($A20-'Outil Cibles'!V$7&lt;=60,$A20-'Outil Cibles'!V$7&gt;=0),IF('Outil Cibles'!V$5='Outil Cibles'!$B$41, IF('Outil Cibles'!V$6='Outil Cibles'!$E$41, VLOOKUP('Background graphEXPL_1.5'!$A20, '1.5°C'!$B$39:$AG$67, 26,FALSE), VLOOKUP('Background graphEXPL_1.5'!$A20, '1.5°C'!$B$39:$AG$67, 27,FALSE)), IF('Outil Cibles'!V$6='Outil Cibles'!$E$41, VLOOKUP('Background graphEXPL_1.5'!$A20, '1.5°C'!$B$39:$AG$67, 31,FALSE), VLOOKUP('Background graphEXPL_1.5'!$A20, '1.5°C'!$B$39:$AG$67, 32,FALSE))), 0)</f>
        <v>0</v>
      </c>
      <c r="H20" s="23">
        <f>IF(AND($A20-'Outil Cibles'!W$7&lt;=60,$A20-'Outil Cibles'!W$7&gt;=0),IF('Outil Cibles'!W$5='Outil Cibles'!$B$41, IF('Outil Cibles'!W$6='Outil Cibles'!$E$41, VLOOKUP('Background graphEXPL_1.5'!$A20, '1.5°C'!$B$39:$AG$67, 26,FALSE), VLOOKUP('Background graphEXPL_1.5'!$A20, '1.5°C'!$B$39:$AG$67, 27,FALSE)), IF('Outil Cibles'!W$6='Outil Cibles'!$E$41, VLOOKUP('Background graphEXPL_1.5'!$A20, '1.5°C'!$B$39:$AG$67, 31,FALSE), VLOOKUP('Background graphEXPL_1.5'!$A20, '1.5°C'!$B$39:$AG$67, 32,FALSE))), 0)</f>
        <v>0</v>
      </c>
      <c r="I20" s="23">
        <f>IF(AND($A20-'Outil Cibles'!X$7&lt;=60,$A20-'Outil Cibles'!X$7&gt;=0),IF('Outil Cibles'!X$5='Outil Cibles'!$B$41, IF('Outil Cibles'!X$6='Outil Cibles'!$E$41, VLOOKUP('Background graphEXPL_1.5'!$A20, '1.5°C'!$B$39:$AG$67, 26,FALSE), VLOOKUP('Background graphEXPL_1.5'!$A20, '1.5°C'!$B$39:$AG$67, 27,FALSE)), IF('Outil Cibles'!X$6='Outil Cibles'!$E$41, VLOOKUP('Background graphEXPL_1.5'!$A20, '1.5°C'!$B$39:$AG$67, 31,FALSE), VLOOKUP('Background graphEXPL_1.5'!$A20, '1.5°C'!$B$39:$AG$67, 32,FALSE))), 0)</f>
        <v>0</v>
      </c>
      <c r="J20" s="23">
        <f>IF(AND($A20-'Outil Cibles'!Y$7&lt;=60,$A20-'Outil Cibles'!Y$7&gt;=0),IF('Outil Cibles'!Y$5='Outil Cibles'!$B$41, IF('Outil Cibles'!Y$6='Outil Cibles'!$E$41, VLOOKUP('Background graphEXPL_1.5'!$A20, '1.5°C'!$B$39:$AG$67, 26,FALSE), VLOOKUP('Background graphEXPL_1.5'!$A20, '1.5°C'!$B$39:$AG$67, 27,FALSE)), IF('Outil Cibles'!Y$6='Outil Cibles'!$E$41, VLOOKUP('Background graphEXPL_1.5'!$A20, '1.5°C'!$B$39:$AG$67, 31,FALSE), VLOOKUP('Background graphEXPL_1.5'!$A20, '1.5°C'!$B$39:$AG$67, 32,FALSE))), 0)</f>
        <v>0</v>
      </c>
      <c r="K20" s="23">
        <f>IF(AND($A20-'Outil Cibles'!Z$7&lt;=60,$A20-'Outil Cibles'!Z$7&gt;=0),IF('Outil Cibles'!Z$5='Outil Cibles'!$B$41, IF('Outil Cibles'!Z$6='Outil Cibles'!$E$41, VLOOKUP('Background graphEXPL_1.5'!$A20, '1.5°C'!$B$39:$AG$67, 26,FALSE), VLOOKUP('Background graphEXPL_1.5'!$A20, '1.5°C'!$B$39:$AG$67, 27,FALSE)), IF('Outil Cibles'!Z$6='Outil Cibles'!$E$41, VLOOKUP('Background graphEXPL_1.5'!$A20, '1.5°C'!$B$39:$AG$67, 31,FALSE), VLOOKUP('Background graphEXPL_1.5'!$A20, '1.5°C'!$B$39:$AG$67, 32,FALSE))), 0)</f>
        <v>0</v>
      </c>
      <c r="L20" s="23">
        <f t="shared" si="0"/>
        <v>0</v>
      </c>
      <c r="N20">
        <v>2038</v>
      </c>
      <c r="O20">
        <f>B20*'Outil Cibles'!Q$8</f>
        <v>0</v>
      </c>
      <c r="P20">
        <f>C20*'Outil Cibles'!R$8</f>
        <v>0</v>
      </c>
      <c r="Q20">
        <f>D20*'Outil Cibles'!S$8</f>
        <v>0</v>
      </c>
      <c r="R20">
        <f>E20*'Outil Cibles'!T$8</f>
        <v>0</v>
      </c>
      <c r="S20">
        <f>F20*'Outil Cibles'!U$8</f>
        <v>0</v>
      </c>
      <c r="T20">
        <f>G20*'Outil Cibles'!V$8</f>
        <v>0</v>
      </c>
      <c r="U20">
        <f>H20*'Outil Cibles'!W$8</f>
        <v>0</v>
      </c>
      <c r="V20">
        <f>I20*'Outil Cibles'!X$8</f>
        <v>0</v>
      </c>
      <c r="W20">
        <f>J20*'Outil Cibles'!Y$8</f>
        <v>0</v>
      </c>
      <c r="X20">
        <f>K20*'Outil Cibles'!Z$8</f>
        <v>0</v>
      </c>
      <c r="Y20">
        <f t="shared" si="1"/>
        <v>0</v>
      </c>
    </row>
    <row r="21" spans="1:25" x14ac:dyDescent="0.3">
      <c r="A21">
        <v>2039</v>
      </c>
      <c r="B21" s="23">
        <f>IF(AND($A21-'Outil Cibles'!Q$7&lt;=60,$A21-'Outil Cibles'!Q$7&gt;=0),IF('Outil Cibles'!Q$5='Outil Cibles'!$B$41, IF('Outil Cibles'!Q$6='Outil Cibles'!$E$41, VLOOKUP('Background graphEXPL_1.5'!$A21, '1.5°C'!$B$39:$AG$67, 26,FALSE), VLOOKUP('Background graphEXPL_1.5'!$A21, '1.5°C'!$B$39:$AG$67, 27,FALSE)), IF('Outil Cibles'!Q$6='Outil Cibles'!$E$41, VLOOKUP('Background graphEXPL_1.5'!$A21, '1.5°C'!$B$39:$AG$67, 31,FALSE), VLOOKUP('Background graphEXPL_1.5'!$A21, '1.5°C'!$B$39:$AG$67, 32,FALSE))), 0)</f>
        <v>0</v>
      </c>
      <c r="C21" s="23">
        <f>IF(AND($A21-'Outil Cibles'!R$7&lt;=60,$A21-'Outil Cibles'!R$7&gt;=0),IF('Outil Cibles'!R$5='Outil Cibles'!$B$41, IF('Outil Cibles'!R$6='Outil Cibles'!$E$41, VLOOKUP('Background graphEXPL_1.5'!$A21, '1.5°C'!$B$39:$AG$67, 26,FALSE), VLOOKUP('Background graphEXPL_1.5'!$A21, '1.5°C'!$B$39:$AG$67, 27,FALSE)), IF('Outil Cibles'!R$6='Outil Cibles'!$E$41, VLOOKUP('Background graphEXPL_1.5'!$A21, '1.5°C'!$B$39:$AG$67, 31,FALSE), VLOOKUP('Background graphEXPL_1.5'!$A21, '1.5°C'!$B$39:$AG$67, 32,FALSE))), 0)</f>
        <v>0</v>
      </c>
      <c r="D21" s="23">
        <f>IF(AND($A21-'Outil Cibles'!S$7&lt;=60,$A21-'Outil Cibles'!S$7&gt;=0),IF('Outil Cibles'!S$5='Outil Cibles'!$B$41, IF('Outil Cibles'!S$6='Outil Cibles'!$E$41, VLOOKUP('Background graphEXPL_1.5'!$A21, '1.5°C'!$B$39:$AG$67, 26,FALSE), VLOOKUP('Background graphEXPL_1.5'!$A21, '1.5°C'!$B$39:$AG$67, 27,FALSE)), IF('Outil Cibles'!S$6='Outil Cibles'!$E$41, VLOOKUP('Background graphEXPL_1.5'!$A21, '1.5°C'!$B$39:$AG$67, 31,FALSE), VLOOKUP('Background graphEXPL_1.5'!$A21, '1.5°C'!$B$39:$AG$67, 32,FALSE))), 0)</f>
        <v>0</v>
      </c>
      <c r="E21" s="23">
        <f>IF(AND($A21-'Outil Cibles'!T$7&lt;=60,$A21-'Outil Cibles'!T$7&gt;=0),IF('Outil Cibles'!T$5='Outil Cibles'!$B$41, IF('Outil Cibles'!T$6='Outil Cibles'!$E$41, VLOOKUP('Background graphEXPL_1.5'!$A21, '1.5°C'!$B$39:$AG$67, 26,FALSE), VLOOKUP('Background graphEXPL_1.5'!$A21, '1.5°C'!$B$39:$AG$67, 27,FALSE)), IF('Outil Cibles'!T$6='Outil Cibles'!$E$41, VLOOKUP('Background graphEXPL_1.5'!$A21, '1.5°C'!$B$39:$AG$67, 31,FALSE), VLOOKUP('Background graphEXPL_1.5'!$A21, '1.5°C'!$B$39:$AG$67, 32,FALSE))), 0)</f>
        <v>0</v>
      </c>
      <c r="F21" s="23">
        <f>IF(AND($A21-'Outil Cibles'!U$7&lt;=60,$A21-'Outil Cibles'!U$7&gt;=0),IF('Outil Cibles'!U$5='Outil Cibles'!$B$41, IF('Outil Cibles'!U$6='Outil Cibles'!$E$41, VLOOKUP('Background graphEXPL_1.5'!$A21, '1.5°C'!$B$39:$AG$67, 26,FALSE), VLOOKUP('Background graphEXPL_1.5'!$A21, '1.5°C'!$B$39:$AG$67, 27,FALSE)), IF('Outil Cibles'!U$6='Outil Cibles'!$E$41, VLOOKUP('Background graphEXPL_1.5'!$A21, '1.5°C'!$B$39:$AG$67, 31,FALSE), VLOOKUP('Background graphEXPL_1.5'!$A21, '1.5°C'!$B$39:$AG$67, 32,FALSE))), 0)</f>
        <v>0</v>
      </c>
      <c r="G21" s="23">
        <f>IF(AND($A21-'Outil Cibles'!V$7&lt;=60,$A21-'Outil Cibles'!V$7&gt;=0),IF('Outil Cibles'!V$5='Outil Cibles'!$B$41, IF('Outil Cibles'!V$6='Outil Cibles'!$E$41, VLOOKUP('Background graphEXPL_1.5'!$A21, '1.5°C'!$B$39:$AG$67, 26,FALSE), VLOOKUP('Background graphEXPL_1.5'!$A21, '1.5°C'!$B$39:$AG$67, 27,FALSE)), IF('Outil Cibles'!V$6='Outil Cibles'!$E$41, VLOOKUP('Background graphEXPL_1.5'!$A21, '1.5°C'!$B$39:$AG$67, 31,FALSE), VLOOKUP('Background graphEXPL_1.5'!$A21, '1.5°C'!$B$39:$AG$67, 32,FALSE))), 0)</f>
        <v>0</v>
      </c>
      <c r="H21" s="23">
        <f>IF(AND($A21-'Outil Cibles'!W$7&lt;=60,$A21-'Outil Cibles'!W$7&gt;=0),IF('Outil Cibles'!W$5='Outil Cibles'!$B$41, IF('Outil Cibles'!W$6='Outil Cibles'!$E$41, VLOOKUP('Background graphEXPL_1.5'!$A21, '1.5°C'!$B$39:$AG$67, 26,FALSE), VLOOKUP('Background graphEXPL_1.5'!$A21, '1.5°C'!$B$39:$AG$67, 27,FALSE)), IF('Outil Cibles'!W$6='Outil Cibles'!$E$41, VLOOKUP('Background graphEXPL_1.5'!$A21, '1.5°C'!$B$39:$AG$67, 31,FALSE), VLOOKUP('Background graphEXPL_1.5'!$A21, '1.5°C'!$B$39:$AG$67, 32,FALSE))), 0)</f>
        <v>0</v>
      </c>
      <c r="I21" s="23">
        <f>IF(AND($A21-'Outil Cibles'!X$7&lt;=60,$A21-'Outil Cibles'!X$7&gt;=0),IF('Outil Cibles'!X$5='Outil Cibles'!$B$41, IF('Outil Cibles'!X$6='Outil Cibles'!$E$41, VLOOKUP('Background graphEXPL_1.5'!$A21, '1.5°C'!$B$39:$AG$67, 26,FALSE), VLOOKUP('Background graphEXPL_1.5'!$A21, '1.5°C'!$B$39:$AG$67, 27,FALSE)), IF('Outil Cibles'!X$6='Outil Cibles'!$E$41, VLOOKUP('Background graphEXPL_1.5'!$A21, '1.5°C'!$B$39:$AG$67, 31,FALSE), VLOOKUP('Background graphEXPL_1.5'!$A21, '1.5°C'!$B$39:$AG$67, 32,FALSE))), 0)</f>
        <v>0</v>
      </c>
      <c r="J21" s="23">
        <f>IF(AND($A21-'Outil Cibles'!Y$7&lt;=60,$A21-'Outil Cibles'!Y$7&gt;=0),IF('Outil Cibles'!Y$5='Outil Cibles'!$B$41, IF('Outil Cibles'!Y$6='Outil Cibles'!$E$41, VLOOKUP('Background graphEXPL_1.5'!$A21, '1.5°C'!$B$39:$AG$67, 26,FALSE), VLOOKUP('Background graphEXPL_1.5'!$A21, '1.5°C'!$B$39:$AG$67, 27,FALSE)), IF('Outil Cibles'!Y$6='Outil Cibles'!$E$41, VLOOKUP('Background graphEXPL_1.5'!$A21, '1.5°C'!$B$39:$AG$67, 31,FALSE), VLOOKUP('Background graphEXPL_1.5'!$A21, '1.5°C'!$B$39:$AG$67, 32,FALSE))), 0)</f>
        <v>0</v>
      </c>
      <c r="K21" s="23">
        <f>IF(AND($A21-'Outil Cibles'!Z$7&lt;=60,$A21-'Outil Cibles'!Z$7&gt;=0),IF('Outil Cibles'!Z$5='Outil Cibles'!$B$41, IF('Outil Cibles'!Z$6='Outil Cibles'!$E$41, VLOOKUP('Background graphEXPL_1.5'!$A21, '1.5°C'!$B$39:$AG$67, 26,FALSE), VLOOKUP('Background graphEXPL_1.5'!$A21, '1.5°C'!$B$39:$AG$67, 27,FALSE)), IF('Outil Cibles'!Z$6='Outil Cibles'!$E$41, VLOOKUP('Background graphEXPL_1.5'!$A21, '1.5°C'!$B$39:$AG$67, 31,FALSE), VLOOKUP('Background graphEXPL_1.5'!$A21, '1.5°C'!$B$39:$AG$67, 32,FALSE))), 0)</f>
        <v>0</v>
      </c>
      <c r="L21" s="23">
        <f t="shared" si="0"/>
        <v>0</v>
      </c>
      <c r="N21">
        <v>2039</v>
      </c>
      <c r="O21">
        <f>B21*'Outil Cibles'!Q$8</f>
        <v>0</v>
      </c>
      <c r="P21">
        <f>C21*'Outil Cibles'!R$8</f>
        <v>0</v>
      </c>
      <c r="Q21">
        <f>D21*'Outil Cibles'!S$8</f>
        <v>0</v>
      </c>
      <c r="R21">
        <f>E21*'Outil Cibles'!T$8</f>
        <v>0</v>
      </c>
      <c r="S21">
        <f>F21*'Outil Cibles'!U$8</f>
        <v>0</v>
      </c>
      <c r="T21">
        <f>G21*'Outil Cibles'!V$8</f>
        <v>0</v>
      </c>
      <c r="U21">
        <f>H21*'Outil Cibles'!W$8</f>
        <v>0</v>
      </c>
      <c r="V21">
        <f>I21*'Outil Cibles'!X$8</f>
        <v>0</v>
      </c>
      <c r="W21">
        <f>J21*'Outil Cibles'!Y$8</f>
        <v>0</v>
      </c>
      <c r="X21">
        <f>K21*'Outil Cibles'!Z$8</f>
        <v>0</v>
      </c>
      <c r="Y21">
        <f t="shared" si="1"/>
        <v>0</v>
      </c>
    </row>
    <row r="22" spans="1:25" x14ac:dyDescent="0.3">
      <c r="A22" s="10">
        <v>2040</v>
      </c>
      <c r="B22" s="23">
        <f>IF(AND($A22-'Outil Cibles'!Q$7&lt;=60,$A22-'Outil Cibles'!Q$7&gt;=0),IF('Outil Cibles'!Q$5='Outil Cibles'!$B$41, IF('Outil Cibles'!Q$6='Outil Cibles'!$E$41, VLOOKUP('Background graphEXPL_1.5'!$A22, '1.5°C'!$B$39:$AG$67, 26,FALSE), VLOOKUP('Background graphEXPL_1.5'!$A22, '1.5°C'!$B$39:$AG$67, 27,FALSE)), IF('Outil Cibles'!Q$6='Outil Cibles'!$E$41, VLOOKUP('Background graphEXPL_1.5'!$A22, '1.5°C'!$B$39:$AG$67, 31,FALSE), VLOOKUP('Background graphEXPL_1.5'!$A22, '1.5°C'!$B$39:$AG$67, 32,FALSE))), 0)</f>
        <v>0</v>
      </c>
      <c r="C22" s="23">
        <f>IF(AND($A22-'Outil Cibles'!R$7&lt;=60,$A22-'Outil Cibles'!R$7&gt;=0),IF('Outil Cibles'!R$5='Outil Cibles'!$B$41, IF('Outil Cibles'!R$6='Outil Cibles'!$E$41, VLOOKUP('Background graphEXPL_1.5'!$A22, '1.5°C'!$B$39:$AG$67, 26,FALSE), VLOOKUP('Background graphEXPL_1.5'!$A22, '1.5°C'!$B$39:$AG$67, 27,FALSE)), IF('Outil Cibles'!R$6='Outil Cibles'!$E$41, VLOOKUP('Background graphEXPL_1.5'!$A22, '1.5°C'!$B$39:$AG$67, 31,FALSE), VLOOKUP('Background graphEXPL_1.5'!$A22, '1.5°C'!$B$39:$AG$67, 32,FALSE))), 0)</f>
        <v>0</v>
      </c>
      <c r="D22" s="23">
        <f>IF(AND($A22-'Outil Cibles'!S$7&lt;=60,$A22-'Outil Cibles'!S$7&gt;=0),IF('Outil Cibles'!S$5='Outil Cibles'!$B$41, IF('Outil Cibles'!S$6='Outil Cibles'!$E$41, VLOOKUP('Background graphEXPL_1.5'!$A22, '1.5°C'!$B$39:$AG$67, 26,FALSE), VLOOKUP('Background graphEXPL_1.5'!$A22, '1.5°C'!$B$39:$AG$67, 27,FALSE)), IF('Outil Cibles'!S$6='Outil Cibles'!$E$41, VLOOKUP('Background graphEXPL_1.5'!$A22, '1.5°C'!$B$39:$AG$67, 31,FALSE), VLOOKUP('Background graphEXPL_1.5'!$A22, '1.5°C'!$B$39:$AG$67, 32,FALSE))), 0)</f>
        <v>0</v>
      </c>
      <c r="E22" s="23">
        <f>IF(AND($A22-'Outil Cibles'!T$7&lt;=60,$A22-'Outil Cibles'!T$7&gt;=0),IF('Outil Cibles'!T$5='Outil Cibles'!$B$41, IF('Outil Cibles'!T$6='Outil Cibles'!$E$41, VLOOKUP('Background graphEXPL_1.5'!$A22, '1.5°C'!$B$39:$AG$67, 26,FALSE), VLOOKUP('Background graphEXPL_1.5'!$A22, '1.5°C'!$B$39:$AG$67, 27,FALSE)), IF('Outil Cibles'!T$6='Outil Cibles'!$E$41, VLOOKUP('Background graphEXPL_1.5'!$A22, '1.5°C'!$B$39:$AG$67, 31,FALSE), VLOOKUP('Background graphEXPL_1.5'!$A22, '1.5°C'!$B$39:$AG$67, 32,FALSE))), 0)</f>
        <v>0</v>
      </c>
      <c r="F22" s="23">
        <f>IF(AND($A22-'Outil Cibles'!U$7&lt;=60,$A22-'Outil Cibles'!U$7&gt;=0),IF('Outil Cibles'!U$5='Outil Cibles'!$B$41, IF('Outil Cibles'!U$6='Outil Cibles'!$E$41, VLOOKUP('Background graphEXPL_1.5'!$A22, '1.5°C'!$B$39:$AG$67, 26,FALSE), VLOOKUP('Background graphEXPL_1.5'!$A22, '1.5°C'!$B$39:$AG$67, 27,FALSE)), IF('Outil Cibles'!U$6='Outil Cibles'!$E$41, VLOOKUP('Background graphEXPL_1.5'!$A22, '1.5°C'!$B$39:$AG$67, 31,FALSE), VLOOKUP('Background graphEXPL_1.5'!$A22, '1.5°C'!$B$39:$AG$67, 32,FALSE))), 0)</f>
        <v>0</v>
      </c>
      <c r="G22" s="23">
        <f>IF(AND($A22-'Outil Cibles'!V$7&lt;=60,$A22-'Outil Cibles'!V$7&gt;=0),IF('Outil Cibles'!V$5='Outil Cibles'!$B$41, IF('Outil Cibles'!V$6='Outil Cibles'!$E$41, VLOOKUP('Background graphEXPL_1.5'!$A22, '1.5°C'!$B$39:$AG$67, 26,FALSE), VLOOKUP('Background graphEXPL_1.5'!$A22, '1.5°C'!$B$39:$AG$67, 27,FALSE)), IF('Outil Cibles'!V$6='Outil Cibles'!$E$41, VLOOKUP('Background graphEXPL_1.5'!$A22, '1.5°C'!$B$39:$AG$67, 31,FALSE), VLOOKUP('Background graphEXPL_1.5'!$A22, '1.5°C'!$B$39:$AG$67, 32,FALSE))), 0)</f>
        <v>0</v>
      </c>
      <c r="H22" s="23">
        <f>IF(AND($A22-'Outil Cibles'!W$7&lt;=60,$A22-'Outil Cibles'!W$7&gt;=0),IF('Outil Cibles'!W$5='Outil Cibles'!$B$41, IF('Outil Cibles'!W$6='Outil Cibles'!$E$41, VLOOKUP('Background graphEXPL_1.5'!$A22, '1.5°C'!$B$39:$AG$67, 26,FALSE), VLOOKUP('Background graphEXPL_1.5'!$A22, '1.5°C'!$B$39:$AG$67, 27,FALSE)), IF('Outil Cibles'!W$6='Outil Cibles'!$E$41, VLOOKUP('Background graphEXPL_1.5'!$A22, '1.5°C'!$B$39:$AG$67, 31,FALSE), VLOOKUP('Background graphEXPL_1.5'!$A22, '1.5°C'!$B$39:$AG$67, 32,FALSE))), 0)</f>
        <v>0</v>
      </c>
      <c r="I22" s="23">
        <f>IF(AND($A22-'Outil Cibles'!X$7&lt;=60,$A22-'Outil Cibles'!X$7&gt;=0),IF('Outil Cibles'!X$5='Outil Cibles'!$B$41, IF('Outil Cibles'!X$6='Outil Cibles'!$E$41, VLOOKUP('Background graphEXPL_1.5'!$A22, '1.5°C'!$B$39:$AG$67, 26,FALSE), VLOOKUP('Background graphEXPL_1.5'!$A22, '1.5°C'!$B$39:$AG$67, 27,FALSE)), IF('Outil Cibles'!X$6='Outil Cibles'!$E$41, VLOOKUP('Background graphEXPL_1.5'!$A22, '1.5°C'!$B$39:$AG$67, 31,FALSE), VLOOKUP('Background graphEXPL_1.5'!$A22, '1.5°C'!$B$39:$AG$67, 32,FALSE))), 0)</f>
        <v>0</v>
      </c>
      <c r="J22" s="23">
        <f>IF(AND($A22-'Outil Cibles'!Y$7&lt;=60,$A22-'Outil Cibles'!Y$7&gt;=0),IF('Outil Cibles'!Y$5='Outil Cibles'!$B$41, IF('Outil Cibles'!Y$6='Outil Cibles'!$E$41, VLOOKUP('Background graphEXPL_1.5'!$A22, '1.5°C'!$B$39:$AG$67, 26,FALSE), VLOOKUP('Background graphEXPL_1.5'!$A22, '1.5°C'!$B$39:$AG$67, 27,FALSE)), IF('Outil Cibles'!Y$6='Outil Cibles'!$E$41, VLOOKUP('Background graphEXPL_1.5'!$A22, '1.5°C'!$B$39:$AG$67, 31,FALSE), VLOOKUP('Background graphEXPL_1.5'!$A22, '1.5°C'!$B$39:$AG$67, 32,FALSE))), 0)</f>
        <v>0</v>
      </c>
      <c r="K22" s="23">
        <f>IF(AND($A22-'Outil Cibles'!Z$7&lt;=60,$A22-'Outil Cibles'!Z$7&gt;=0),IF('Outil Cibles'!Z$5='Outil Cibles'!$B$41, IF('Outil Cibles'!Z$6='Outil Cibles'!$E$41, VLOOKUP('Background graphEXPL_1.5'!$A22, '1.5°C'!$B$39:$AG$67, 26,FALSE), VLOOKUP('Background graphEXPL_1.5'!$A22, '1.5°C'!$B$39:$AG$67, 27,FALSE)), IF('Outil Cibles'!Z$6='Outil Cibles'!$E$41, VLOOKUP('Background graphEXPL_1.5'!$A22, '1.5°C'!$B$39:$AG$67, 31,FALSE), VLOOKUP('Background graphEXPL_1.5'!$A22, '1.5°C'!$B$39:$AG$67, 32,FALSE))), 0)</f>
        <v>0</v>
      </c>
      <c r="L22" s="23">
        <f t="shared" si="0"/>
        <v>0</v>
      </c>
      <c r="N22" s="10">
        <v>2040</v>
      </c>
      <c r="O22">
        <f>B22*'Outil Cibles'!Q$8</f>
        <v>0</v>
      </c>
      <c r="P22">
        <f>C22*'Outil Cibles'!R$8</f>
        <v>0</v>
      </c>
      <c r="Q22">
        <f>D22*'Outil Cibles'!S$8</f>
        <v>0</v>
      </c>
      <c r="R22">
        <f>E22*'Outil Cibles'!T$8</f>
        <v>0</v>
      </c>
      <c r="S22">
        <f>F22*'Outil Cibles'!U$8</f>
        <v>0</v>
      </c>
      <c r="T22">
        <f>G22*'Outil Cibles'!V$8</f>
        <v>0</v>
      </c>
      <c r="U22">
        <f>H22*'Outil Cibles'!W$8</f>
        <v>0</v>
      </c>
      <c r="V22">
        <f>I22*'Outil Cibles'!X$8</f>
        <v>0</v>
      </c>
      <c r="W22">
        <f>J22*'Outil Cibles'!Y$8</f>
        <v>0</v>
      </c>
      <c r="X22">
        <f>K22*'Outil Cibles'!Z$8</f>
        <v>0</v>
      </c>
      <c r="Y22">
        <f t="shared" si="1"/>
        <v>0</v>
      </c>
    </row>
    <row r="23" spans="1:25" x14ac:dyDescent="0.3">
      <c r="A23">
        <v>2041</v>
      </c>
      <c r="B23" s="23">
        <f>IF(AND($A23-'Outil Cibles'!Q$7&lt;=60,$A23-'Outil Cibles'!Q$7&gt;=0),IF('Outil Cibles'!Q$5='Outil Cibles'!$B$41, IF('Outil Cibles'!Q$6='Outil Cibles'!$E$41, VLOOKUP('Background graphEXPL_1.5'!$A23, '1.5°C'!$B$39:$AG$67, 26,FALSE), VLOOKUP('Background graphEXPL_1.5'!$A23, '1.5°C'!$B$39:$AG$67, 27,FALSE)), IF('Outil Cibles'!Q$6='Outil Cibles'!$E$41, VLOOKUP('Background graphEXPL_1.5'!$A23, '1.5°C'!$B$39:$AG$67, 31,FALSE), VLOOKUP('Background graphEXPL_1.5'!$A23, '1.5°C'!$B$39:$AG$67, 32,FALSE))), 0)</f>
        <v>0</v>
      </c>
      <c r="C23" s="23">
        <f>IF(AND($A23-'Outil Cibles'!R$7&lt;=60,$A23-'Outil Cibles'!R$7&gt;=0),IF('Outil Cibles'!R$5='Outil Cibles'!$B$41, IF('Outil Cibles'!R$6='Outil Cibles'!$E$41, VLOOKUP('Background graphEXPL_1.5'!$A23, '1.5°C'!$B$39:$AG$67, 26,FALSE), VLOOKUP('Background graphEXPL_1.5'!$A23, '1.5°C'!$B$39:$AG$67, 27,FALSE)), IF('Outil Cibles'!R$6='Outil Cibles'!$E$41, VLOOKUP('Background graphEXPL_1.5'!$A23, '1.5°C'!$B$39:$AG$67, 31,FALSE), VLOOKUP('Background graphEXPL_1.5'!$A23, '1.5°C'!$B$39:$AG$67, 32,FALSE))), 0)</f>
        <v>0</v>
      </c>
      <c r="D23" s="23">
        <f>IF(AND($A23-'Outil Cibles'!S$7&lt;=60,$A23-'Outil Cibles'!S$7&gt;=0),IF('Outil Cibles'!S$5='Outil Cibles'!$B$41, IF('Outil Cibles'!S$6='Outil Cibles'!$E$41, VLOOKUP('Background graphEXPL_1.5'!$A23, '1.5°C'!$B$39:$AG$67, 26,FALSE), VLOOKUP('Background graphEXPL_1.5'!$A23, '1.5°C'!$B$39:$AG$67, 27,FALSE)), IF('Outil Cibles'!S$6='Outil Cibles'!$E$41, VLOOKUP('Background graphEXPL_1.5'!$A23, '1.5°C'!$B$39:$AG$67, 31,FALSE), VLOOKUP('Background graphEXPL_1.5'!$A23, '1.5°C'!$B$39:$AG$67, 32,FALSE))), 0)</f>
        <v>0</v>
      </c>
      <c r="E23" s="23">
        <f>IF(AND($A23-'Outil Cibles'!T$7&lt;=60,$A23-'Outil Cibles'!T$7&gt;=0),IF('Outil Cibles'!T$5='Outil Cibles'!$B$41, IF('Outil Cibles'!T$6='Outil Cibles'!$E$41, VLOOKUP('Background graphEXPL_1.5'!$A23, '1.5°C'!$B$39:$AG$67, 26,FALSE), VLOOKUP('Background graphEXPL_1.5'!$A23, '1.5°C'!$B$39:$AG$67, 27,FALSE)), IF('Outil Cibles'!T$6='Outil Cibles'!$E$41, VLOOKUP('Background graphEXPL_1.5'!$A23, '1.5°C'!$B$39:$AG$67, 31,FALSE), VLOOKUP('Background graphEXPL_1.5'!$A23, '1.5°C'!$B$39:$AG$67, 32,FALSE))), 0)</f>
        <v>0</v>
      </c>
      <c r="F23" s="23">
        <f>IF(AND($A23-'Outil Cibles'!U$7&lt;=60,$A23-'Outil Cibles'!U$7&gt;=0),IF('Outil Cibles'!U$5='Outil Cibles'!$B$41, IF('Outil Cibles'!U$6='Outil Cibles'!$E$41, VLOOKUP('Background graphEXPL_1.5'!$A23, '1.5°C'!$B$39:$AG$67, 26,FALSE), VLOOKUP('Background graphEXPL_1.5'!$A23, '1.5°C'!$B$39:$AG$67, 27,FALSE)), IF('Outil Cibles'!U$6='Outil Cibles'!$E$41, VLOOKUP('Background graphEXPL_1.5'!$A23, '1.5°C'!$B$39:$AG$67, 31,FALSE), VLOOKUP('Background graphEXPL_1.5'!$A23, '1.5°C'!$B$39:$AG$67, 32,FALSE))), 0)</f>
        <v>0</v>
      </c>
      <c r="G23" s="23">
        <f>IF(AND($A23-'Outil Cibles'!V$7&lt;=60,$A23-'Outil Cibles'!V$7&gt;=0),IF('Outil Cibles'!V$5='Outil Cibles'!$B$41, IF('Outil Cibles'!V$6='Outil Cibles'!$E$41, VLOOKUP('Background graphEXPL_1.5'!$A23, '1.5°C'!$B$39:$AG$67, 26,FALSE), VLOOKUP('Background graphEXPL_1.5'!$A23, '1.5°C'!$B$39:$AG$67, 27,FALSE)), IF('Outil Cibles'!V$6='Outil Cibles'!$E$41, VLOOKUP('Background graphEXPL_1.5'!$A23, '1.5°C'!$B$39:$AG$67, 31,FALSE), VLOOKUP('Background graphEXPL_1.5'!$A23, '1.5°C'!$B$39:$AG$67, 32,FALSE))), 0)</f>
        <v>0</v>
      </c>
      <c r="H23" s="23">
        <f>IF(AND($A23-'Outil Cibles'!W$7&lt;=60,$A23-'Outil Cibles'!W$7&gt;=0),IF('Outil Cibles'!W$5='Outil Cibles'!$B$41, IF('Outil Cibles'!W$6='Outil Cibles'!$E$41, VLOOKUP('Background graphEXPL_1.5'!$A23, '1.5°C'!$B$39:$AG$67, 26,FALSE), VLOOKUP('Background graphEXPL_1.5'!$A23, '1.5°C'!$B$39:$AG$67, 27,FALSE)), IF('Outil Cibles'!W$6='Outil Cibles'!$E$41, VLOOKUP('Background graphEXPL_1.5'!$A23, '1.5°C'!$B$39:$AG$67, 31,FALSE), VLOOKUP('Background graphEXPL_1.5'!$A23, '1.5°C'!$B$39:$AG$67, 32,FALSE))), 0)</f>
        <v>0</v>
      </c>
      <c r="I23" s="23">
        <f>IF(AND($A23-'Outil Cibles'!X$7&lt;=60,$A23-'Outil Cibles'!X$7&gt;=0),IF('Outil Cibles'!X$5='Outil Cibles'!$B$41, IF('Outil Cibles'!X$6='Outil Cibles'!$E$41, VLOOKUP('Background graphEXPL_1.5'!$A23, '1.5°C'!$B$39:$AG$67, 26,FALSE), VLOOKUP('Background graphEXPL_1.5'!$A23, '1.5°C'!$B$39:$AG$67, 27,FALSE)), IF('Outil Cibles'!X$6='Outil Cibles'!$E$41, VLOOKUP('Background graphEXPL_1.5'!$A23, '1.5°C'!$B$39:$AG$67, 31,FALSE), VLOOKUP('Background graphEXPL_1.5'!$A23, '1.5°C'!$B$39:$AG$67, 32,FALSE))), 0)</f>
        <v>0</v>
      </c>
      <c r="J23" s="23">
        <f>IF(AND($A23-'Outil Cibles'!Y$7&lt;=60,$A23-'Outil Cibles'!Y$7&gt;=0),IF('Outil Cibles'!Y$5='Outil Cibles'!$B$41, IF('Outil Cibles'!Y$6='Outil Cibles'!$E$41, VLOOKUP('Background graphEXPL_1.5'!$A23, '1.5°C'!$B$39:$AG$67, 26,FALSE), VLOOKUP('Background graphEXPL_1.5'!$A23, '1.5°C'!$B$39:$AG$67, 27,FALSE)), IF('Outil Cibles'!Y$6='Outil Cibles'!$E$41, VLOOKUP('Background graphEXPL_1.5'!$A23, '1.5°C'!$B$39:$AG$67, 31,FALSE), VLOOKUP('Background graphEXPL_1.5'!$A23, '1.5°C'!$B$39:$AG$67, 32,FALSE))), 0)</f>
        <v>0</v>
      </c>
      <c r="K23" s="23">
        <f>IF(AND($A23-'Outil Cibles'!Z$7&lt;=60,$A23-'Outil Cibles'!Z$7&gt;=0),IF('Outil Cibles'!Z$5='Outil Cibles'!$B$41, IF('Outil Cibles'!Z$6='Outil Cibles'!$E$41, VLOOKUP('Background graphEXPL_1.5'!$A23, '1.5°C'!$B$39:$AG$67, 26,FALSE), VLOOKUP('Background graphEXPL_1.5'!$A23, '1.5°C'!$B$39:$AG$67, 27,FALSE)), IF('Outil Cibles'!Z$6='Outil Cibles'!$E$41, VLOOKUP('Background graphEXPL_1.5'!$A23, '1.5°C'!$B$39:$AG$67, 31,FALSE), VLOOKUP('Background graphEXPL_1.5'!$A23, '1.5°C'!$B$39:$AG$67, 32,FALSE))), 0)</f>
        <v>0</v>
      </c>
      <c r="L23" s="23">
        <f t="shared" si="0"/>
        <v>0</v>
      </c>
      <c r="N23">
        <v>2041</v>
      </c>
      <c r="O23">
        <f>B23*'Outil Cibles'!Q$8</f>
        <v>0</v>
      </c>
      <c r="P23">
        <f>C23*'Outil Cibles'!R$8</f>
        <v>0</v>
      </c>
      <c r="Q23">
        <f>D23*'Outil Cibles'!S$8</f>
        <v>0</v>
      </c>
      <c r="R23">
        <f>E23*'Outil Cibles'!T$8</f>
        <v>0</v>
      </c>
      <c r="S23">
        <f>F23*'Outil Cibles'!U$8</f>
        <v>0</v>
      </c>
      <c r="T23">
        <f>G23*'Outil Cibles'!V$8</f>
        <v>0</v>
      </c>
      <c r="U23">
        <f>H23*'Outil Cibles'!W$8</f>
        <v>0</v>
      </c>
      <c r="V23">
        <f>I23*'Outil Cibles'!X$8</f>
        <v>0</v>
      </c>
      <c r="W23">
        <f>J23*'Outil Cibles'!Y$8</f>
        <v>0</v>
      </c>
      <c r="X23">
        <f>K23*'Outil Cibles'!Z$8</f>
        <v>0</v>
      </c>
      <c r="Y23">
        <f t="shared" si="1"/>
        <v>0</v>
      </c>
    </row>
    <row r="24" spans="1:25" x14ac:dyDescent="0.3">
      <c r="A24">
        <v>2042</v>
      </c>
      <c r="B24" s="23">
        <f>IF(AND($A24-'Outil Cibles'!Q$7&lt;=60,$A24-'Outil Cibles'!Q$7&gt;=0),IF('Outil Cibles'!Q$5='Outil Cibles'!$B$41, IF('Outil Cibles'!Q$6='Outil Cibles'!$E$41, VLOOKUP('Background graphEXPL_1.5'!$A24, '1.5°C'!$B$39:$AG$67, 26,FALSE), VLOOKUP('Background graphEXPL_1.5'!$A24, '1.5°C'!$B$39:$AG$67, 27,FALSE)), IF('Outil Cibles'!Q$6='Outil Cibles'!$E$41, VLOOKUP('Background graphEXPL_1.5'!$A24, '1.5°C'!$B$39:$AG$67, 31,FALSE), VLOOKUP('Background graphEXPL_1.5'!$A24, '1.5°C'!$B$39:$AG$67, 32,FALSE))), 0)</f>
        <v>0</v>
      </c>
      <c r="C24" s="23">
        <f>IF(AND($A24-'Outil Cibles'!R$7&lt;=60,$A24-'Outil Cibles'!R$7&gt;=0),IF('Outil Cibles'!R$5='Outil Cibles'!$B$41, IF('Outil Cibles'!R$6='Outil Cibles'!$E$41, VLOOKUP('Background graphEXPL_1.5'!$A24, '1.5°C'!$B$39:$AG$67, 26,FALSE), VLOOKUP('Background graphEXPL_1.5'!$A24, '1.5°C'!$B$39:$AG$67, 27,FALSE)), IF('Outil Cibles'!R$6='Outil Cibles'!$E$41, VLOOKUP('Background graphEXPL_1.5'!$A24, '1.5°C'!$B$39:$AG$67, 31,FALSE), VLOOKUP('Background graphEXPL_1.5'!$A24, '1.5°C'!$B$39:$AG$67, 32,FALSE))), 0)</f>
        <v>0</v>
      </c>
      <c r="D24" s="23">
        <f>IF(AND($A24-'Outil Cibles'!S$7&lt;=60,$A24-'Outil Cibles'!S$7&gt;=0),IF('Outil Cibles'!S$5='Outil Cibles'!$B$41, IF('Outil Cibles'!S$6='Outil Cibles'!$E$41, VLOOKUP('Background graphEXPL_1.5'!$A24, '1.5°C'!$B$39:$AG$67, 26,FALSE), VLOOKUP('Background graphEXPL_1.5'!$A24, '1.5°C'!$B$39:$AG$67, 27,FALSE)), IF('Outil Cibles'!S$6='Outil Cibles'!$E$41, VLOOKUP('Background graphEXPL_1.5'!$A24, '1.5°C'!$B$39:$AG$67, 31,FALSE), VLOOKUP('Background graphEXPL_1.5'!$A24, '1.5°C'!$B$39:$AG$67, 32,FALSE))), 0)</f>
        <v>0</v>
      </c>
      <c r="E24" s="23">
        <f>IF(AND($A24-'Outil Cibles'!T$7&lt;=60,$A24-'Outil Cibles'!T$7&gt;=0),IF('Outil Cibles'!T$5='Outil Cibles'!$B$41, IF('Outil Cibles'!T$6='Outil Cibles'!$E$41, VLOOKUP('Background graphEXPL_1.5'!$A24, '1.5°C'!$B$39:$AG$67, 26,FALSE), VLOOKUP('Background graphEXPL_1.5'!$A24, '1.5°C'!$B$39:$AG$67, 27,FALSE)), IF('Outil Cibles'!T$6='Outil Cibles'!$E$41, VLOOKUP('Background graphEXPL_1.5'!$A24, '1.5°C'!$B$39:$AG$67, 31,FALSE), VLOOKUP('Background graphEXPL_1.5'!$A24, '1.5°C'!$B$39:$AG$67, 32,FALSE))), 0)</f>
        <v>0</v>
      </c>
      <c r="F24" s="23">
        <f>IF(AND($A24-'Outil Cibles'!U$7&lt;=60,$A24-'Outil Cibles'!U$7&gt;=0),IF('Outil Cibles'!U$5='Outil Cibles'!$B$41, IF('Outil Cibles'!U$6='Outil Cibles'!$E$41, VLOOKUP('Background graphEXPL_1.5'!$A24, '1.5°C'!$B$39:$AG$67, 26,FALSE), VLOOKUP('Background graphEXPL_1.5'!$A24, '1.5°C'!$B$39:$AG$67, 27,FALSE)), IF('Outil Cibles'!U$6='Outil Cibles'!$E$41, VLOOKUP('Background graphEXPL_1.5'!$A24, '1.5°C'!$B$39:$AG$67, 31,FALSE), VLOOKUP('Background graphEXPL_1.5'!$A24, '1.5°C'!$B$39:$AG$67, 32,FALSE))), 0)</f>
        <v>0</v>
      </c>
      <c r="G24" s="23">
        <f>IF(AND($A24-'Outil Cibles'!V$7&lt;=60,$A24-'Outil Cibles'!V$7&gt;=0),IF('Outil Cibles'!V$5='Outil Cibles'!$B$41, IF('Outil Cibles'!V$6='Outil Cibles'!$E$41, VLOOKUP('Background graphEXPL_1.5'!$A24, '1.5°C'!$B$39:$AG$67, 26,FALSE), VLOOKUP('Background graphEXPL_1.5'!$A24, '1.5°C'!$B$39:$AG$67, 27,FALSE)), IF('Outil Cibles'!V$6='Outil Cibles'!$E$41, VLOOKUP('Background graphEXPL_1.5'!$A24, '1.5°C'!$B$39:$AG$67, 31,FALSE), VLOOKUP('Background graphEXPL_1.5'!$A24, '1.5°C'!$B$39:$AG$67, 32,FALSE))), 0)</f>
        <v>0</v>
      </c>
      <c r="H24" s="23">
        <f>IF(AND($A24-'Outil Cibles'!W$7&lt;=60,$A24-'Outil Cibles'!W$7&gt;=0),IF('Outil Cibles'!W$5='Outil Cibles'!$B$41, IF('Outil Cibles'!W$6='Outil Cibles'!$E$41, VLOOKUP('Background graphEXPL_1.5'!$A24, '1.5°C'!$B$39:$AG$67, 26,FALSE), VLOOKUP('Background graphEXPL_1.5'!$A24, '1.5°C'!$B$39:$AG$67, 27,FALSE)), IF('Outil Cibles'!W$6='Outil Cibles'!$E$41, VLOOKUP('Background graphEXPL_1.5'!$A24, '1.5°C'!$B$39:$AG$67, 31,FALSE), VLOOKUP('Background graphEXPL_1.5'!$A24, '1.5°C'!$B$39:$AG$67, 32,FALSE))), 0)</f>
        <v>0</v>
      </c>
      <c r="I24" s="23">
        <f>IF(AND($A24-'Outil Cibles'!X$7&lt;=60,$A24-'Outil Cibles'!X$7&gt;=0),IF('Outil Cibles'!X$5='Outil Cibles'!$B$41, IF('Outil Cibles'!X$6='Outil Cibles'!$E$41, VLOOKUP('Background graphEXPL_1.5'!$A24, '1.5°C'!$B$39:$AG$67, 26,FALSE), VLOOKUP('Background graphEXPL_1.5'!$A24, '1.5°C'!$B$39:$AG$67, 27,FALSE)), IF('Outil Cibles'!X$6='Outil Cibles'!$E$41, VLOOKUP('Background graphEXPL_1.5'!$A24, '1.5°C'!$B$39:$AG$67, 31,FALSE), VLOOKUP('Background graphEXPL_1.5'!$A24, '1.5°C'!$B$39:$AG$67, 32,FALSE))), 0)</f>
        <v>0</v>
      </c>
      <c r="J24" s="23">
        <f>IF(AND($A24-'Outil Cibles'!Y$7&lt;=60,$A24-'Outil Cibles'!Y$7&gt;=0),IF('Outil Cibles'!Y$5='Outil Cibles'!$B$41, IF('Outil Cibles'!Y$6='Outil Cibles'!$E$41, VLOOKUP('Background graphEXPL_1.5'!$A24, '1.5°C'!$B$39:$AG$67, 26,FALSE), VLOOKUP('Background graphEXPL_1.5'!$A24, '1.5°C'!$B$39:$AG$67, 27,FALSE)), IF('Outil Cibles'!Y$6='Outil Cibles'!$E$41, VLOOKUP('Background graphEXPL_1.5'!$A24, '1.5°C'!$B$39:$AG$67, 31,FALSE), VLOOKUP('Background graphEXPL_1.5'!$A24, '1.5°C'!$B$39:$AG$67, 32,FALSE))), 0)</f>
        <v>0</v>
      </c>
      <c r="K24" s="23">
        <f>IF(AND($A24-'Outil Cibles'!Z$7&lt;=60,$A24-'Outil Cibles'!Z$7&gt;=0),IF('Outil Cibles'!Z$5='Outil Cibles'!$B$41, IF('Outil Cibles'!Z$6='Outil Cibles'!$E$41, VLOOKUP('Background graphEXPL_1.5'!$A24, '1.5°C'!$B$39:$AG$67, 26,FALSE), VLOOKUP('Background graphEXPL_1.5'!$A24, '1.5°C'!$B$39:$AG$67, 27,FALSE)), IF('Outil Cibles'!Z$6='Outil Cibles'!$E$41, VLOOKUP('Background graphEXPL_1.5'!$A24, '1.5°C'!$B$39:$AG$67, 31,FALSE), VLOOKUP('Background graphEXPL_1.5'!$A24, '1.5°C'!$B$39:$AG$67, 32,FALSE))), 0)</f>
        <v>0</v>
      </c>
      <c r="L24" s="23">
        <f t="shared" si="0"/>
        <v>0</v>
      </c>
      <c r="N24">
        <v>2042</v>
      </c>
      <c r="O24">
        <f>B24*'Outil Cibles'!Q$8</f>
        <v>0</v>
      </c>
      <c r="P24">
        <f>C24*'Outil Cibles'!R$8</f>
        <v>0</v>
      </c>
      <c r="Q24">
        <f>D24*'Outil Cibles'!S$8</f>
        <v>0</v>
      </c>
      <c r="R24">
        <f>E24*'Outil Cibles'!T$8</f>
        <v>0</v>
      </c>
      <c r="S24">
        <f>F24*'Outil Cibles'!U$8</f>
        <v>0</v>
      </c>
      <c r="T24">
        <f>G24*'Outil Cibles'!V$8</f>
        <v>0</v>
      </c>
      <c r="U24">
        <f>H24*'Outil Cibles'!W$8</f>
        <v>0</v>
      </c>
      <c r="V24">
        <f>I24*'Outil Cibles'!X$8</f>
        <v>0</v>
      </c>
      <c r="W24">
        <f>J24*'Outil Cibles'!Y$8</f>
        <v>0</v>
      </c>
      <c r="X24">
        <f>K24*'Outil Cibles'!Z$8</f>
        <v>0</v>
      </c>
      <c r="Y24">
        <f t="shared" si="1"/>
        <v>0</v>
      </c>
    </row>
    <row r="25" spans="1:25" x14ac:dyDescent="0.3">
      <c r="A25">
        <v>2043</v>
      </c>
      <c r="B25" s="23">
        <f>IF(AND($A25-'Outil Cibles'!Q$7&lt;=60,$A25-'Outil Cibles'!Q$7&gt;=0),IF('Outil Cibles'!Q$5='Outil Cibles'!$B$41, IF('Outil Cibles'!Q$6='Outil Cibles'!$E$41, VLOOKUP('Background graphEXPL_1.5'!$A25, '1.5°C'!$B$39:$AG$67, 26,FALSE), VLOOKUP('Background graphEXPL_1.5'!$A25, '1.5°C'!$B$39:$AG$67, 27,FALSE)), IF('Outil Cibles'!Q$6='Outil Cibles'!$E$41, VLOOKUP('Background graphEXPL_1.5'!$A25, '1.5°C'!$B$39:$AG$67, 31,FALSE), VLOOKUP('Background graphEXPL_1.5'!$A25, '1.5°C'!$B$39:$AG$67, 32,FALSE))), 0)</f>
        <v>0</v>
      </c>
      <c r="C25" s="23">
        <f>IF(AND($A25-'Outil Cibles'!R$7&lt;=60,$A25-'Outil Cibles'!R$7&gt;=0),IF('Outil Cibles'!R$5='Outil Cibles'!$B$41, IF('Outil Cibles'!R$6='Outil Cibles'!$E$41, VLOOKUP('Background graphEXPL_1.5'!$A25, '1.5°C'!$B$39:$AG$67, 26,FALSE), VLOOKUP('Background graphEXPL_1.5'!$A25, '1.5°C'!$B$39:$AG$67, 27,FALSE)), IF('Outil Cibles'!R$6='Outil Cibles'!$E$41, VLOOKUP('Background graphEXPL_1.5'!$A25, '1.5°C'!$B$39:$AG$67, 31,FALSE), VLOOKUP('Background graphEXPL_1.5'!$A25, '1.5°C'!$B$39:$AG$67, 32,FALSE))), 0)</f>
        <v>0</v>
      </c>
      <c r="D25" s="23">
        <f>IF(AND($A25-'Outil Cibles'!S$7&lt;=60,$A25-'Outil Cibles'!S$7&gt;=0),IF('Outil Cibles'!S$5='Outil Cibles'!$B$41, IF('Outil Cibles'!S$6='Outil Cibles'!$E$41, VLOOKUP('Background graphEXPL_1.5'!$A25, '1.5°C'!$B$39:$AG$67, 26,FALSE), VLOOKUP('Background graphEXPL_1.5'!$A25, '1.5°C'!$B$39:$AG$67, 27,FALSE)), IF('Outil Cibles'!S$6='Outil Cibles'!$E$41, VLOOKUP('Background graphEXPL_1.5'!$A25, '1.5°C'!$B$39:$AG$67, 31,FALSE), VLOOKUP('Background graphEXPL_1.5'!$A25, '1.5°C'!$B$39:$AG$67, 32,FALSE))), 0)</f>
        <v>0</v>
      </c>
      <c r="E25" s="23">
        <f>IF(AND($A25-'Outil Cibles'!T$7&lt;=60,$A25-'Outil Cibles'!T$7&gt;=0),IF('Outil Cibles'!T$5='Outil Cibles'!$B$41, IF('Outil Cibles'!T$6='Outil Cibles'!$E$41, VLOOKUP('Background graphEXPL_1.5'!$A25, '1.5°C'!$B$39:$AG$67, 26,FALSE), VLOOKUP('Background graphEXPL_1.5'!$A25, '1.5°C'!$B$39:$AG$67, 27,FALSE)), IF('Outil Cibles'!T$6='Outil Cibles'!$E$41, VLOOKUP('Background graphEXPL_1.5'!$A25, '1.5°C'!$B$39:$AG$67, 31,FALSE), VLOOKUP('Background graphEXPL_1.5'!$A25, '1.5°C'!$B$39:$AG$67, 32,FALSE))), 0)</f>
        <v>0</v>
      </c>
      <c r="F25" s="23">
        <f>IF(AND($A25-'Outil Cibles'!U$7&lt;=60,$A25-'Outil Cibles'!U$7&gt;=0),IF('Outil Cibles'!U$5='Outil Cibles'!$B$41, IF('Outil Cibles'!U$6='Outil Cibles'!$E$41, VLOOKUP('Background graphEXPL_1.5'!$A25, '1.5°C'!$B$39:$AG$67, 26,FALSE), VLOOKUP('Background graphEXPL_1.5'!$A25, '1.5°C'!$B$39:$AG$67, 27,FALSE)), IF('Outil Cibles'!U$6='Outil Cibles'!$E$41, VLOOKUP('Background graphEXPL_1.5'!$A25, '1.5°C'!$B$39:$AG$67, 31,FALSE), VLOOKUP('Background graphEXPL_1.5'!$A25, '1.5°C'!$B$39:$AG$67, 32,FALSE))), 0)</f>
        <v>0</v>
      </c>
      <c r="G25" s="23">
        <f>IF(AND($A25-'Outil Cibles'!V$7&lt;=60,$A25-'Outil Cibles'!V$7&gt;=0),IF('Outil Cibles'!V$5='Outil Cibles'!$B$41, IF('Outil Cibles'!V$6='Outil Cibles'!$E$41, VLOOKUP('Background graphEXPL_1.5'!$A25, '1.5°C'!$B$39:$AG$67, 26,FALSE), VLOOKUP('Background graphEXPL_1.5'!$A25, '1.5°C'!$B$39:$AG$67, 27,FALSE)), IF('Outil Cibles'!V$6='Outil Cibles'!$E$41, VLOOKUP('Background graphEXPL_1.5'!$A25, '1.5°C'!$B$39:$AG$67, 31,FALSE), VLOOKUP('Background graphEXPL_1.5'!$A25, '1.5°C'!$B$39:$AG$67, 32,FALSE))), 0)</f>
        <v>0</v>
      </c>
      <c r="H25" s="23">
        <f>IF(AND($A25-'Outil Cibles'!W$7&lt;=60,$A25-'Outil Cibles'!W$7&gt;=0),IF('Outil Cibles'!W$5='Outil Cibles'!$B$41, IF('Outil Cibles'!W$6='Outil Cibles'!$E$41, VLOOKUP('Background graphEXPL_1.5'!$A25, '1.5°C'!$B$39:$AG$67, 26,FALSE), VLOOKUP('Background graphEXPL_1.5'!$A25, '1.5°C'!$B$39:$AG$67, 27,FALSE)), IF('Outil Cibles'!W$6='Outil Cibles'!$E$41, VLOOKUP('Background graphEXPL_1.5'!$A25, '1.5°C'!$B$39:$AG$67, 31,FALSE), VLOOKUP('Background graphEXPL_1.5'!$A25, '1.5°C'!$B$39:$AG$67, 32,FALSE))), 0)</f>
        <v>0</v>
      </c>
      <c r="I25" s="23">
        <f>IF(AND($A25-'Outil Cibles'!X$7&lt;=60,$A25-'Outil Cibles'!X$7&gt;=0),IF('Outil Cibles'!X$5='Outil Cibles'!$B$41, IF('Outil Cibles'!X$6='Outil Cibles'!$E$41, VLOOKUP('Background graphEXPL_1.5'!$A25, '1.5°C'!$B$39:$AG$67, 26,FALSE), VLOOKUP('Background graphEXPL_1.5'!$A25, '1.5°C'!$B$39:$AG$67, 27,FALSE)), IF('Outil Cibles'!X$6='Outil Cibles'!$E$41, VLOOKUP('Background graphEXPL_1.5'!$A25, '1.5°C'!$B$39:$AG$67, 31,FALSE), VLOOKUP('Background graphEXPL_1.5'!$A25, '1.5°C'!$B$39:$AG$67, 32,FALSE))), 0)</f>
        <v>0</v>
      </c>
      <c r="J25" s="23">
        <f>IF(AND($A25-'Outil Cibles'!Y$7&lt;=60,$A25-'Outil Cibles'!Y$7&gt;=0),IF('Outil Cibles'!Y$5='Outil Cibles'!$B$41, IF('Outil Cibles'!Y$6='Outil Cibles'!$E$41, VLOOKUP('Background graphEXPL_1.5'!$A25, '1.5°C'!$B$39:$AG$67, 26,FALSE), VLOOKUP('Background graphEXPL_1.5'!$A25, '1.5°C'!$B$39:$AG$67, 27,FALSE)), IF('Outil Cibles'!Y$6='Outil Cibles'!$E$41, VLOOKUP('Background graphEXPL_1.5'!$A25, '1.5°C'!$B$39:$AG$67, 31,FALSE), VLOOKUP('Background graphEXPL_1.5'!$A25, '1.5°C'!$B$39:$AG$67, 32,FALSE))), 0)</f>
        <v>0</v>
      </c>
      <c r="K25" s="23">
        <f>IF(AND($A25-'Outil Cibles'!Z$7&lt;=60,$A25-'Outil Cibles'!Z$7&gt;=0),IF('Outil Cibles'!Z$5='Outil Cibles'!$B$41, IF('Outil Cibles'!Z$6='Outil Cibles'!$E$41, VLOOKUP('Background graphEXPL_1.5'!$A25, '1.5°C'!$B$39:$AG$67, 26,FALSE), VLOOKUP('Background graphEXPL_1.5'!$A25, '1.5°C'!$B$39:$AG$67, 27,FALSE)), IF('Outil Cibles'!Z$6='Outil Cibles'!$E$41, VLOOKUP('Background graphEXPL_1.5'!$A25, '1.5°C'!$B$39:$AG$67, 31,FALSE), VLOOKUP('Background graphEXPL_1.5'!$A25, '1.5°C'!$B$39:$AG$67, 32,FALSE))), 0)</f>
        <v>0</v>
      </c>
      <c r="L25" s="23">
        <f t="shared" si="0"/>
        <v>0</v>
      </c>
      <c r="N25">
        <v>2043</v>
      </c>
      <c r="O25">
        <f>B25*'Outil Cibles'!Q$8</f>
        <v>0</v>
      </c>
      <c r="P25">
        <f>C25*'Outil Cibles'!R$8</f>
        <v>0</v>
      </c>
      <c r="Q25">
        <f>D25*'Outil Cibles'!S$8</f>
        <v>0</v>
      </c>
      <c r="R25">
        <f>E25*'Outil Cibles'!T$8</f>
        <v>0</v>
      </c>
      <c r="S25">
        <f>F25*'Outil Cibles'!U$8</f>
        <v>0</v>
      </c>
      <c r="T25">
        <f>G25*'Outil Cibles'!V$8</f>
        <v>0</v>
      </c>
      <c r="U25">
        <f>H25*'Outil Cibles'!W$8</f>
        <v>0</v>
      </c>
      <c r="V25">
        <f>I25*'Outil Cibles'!X$8</f>
        <v>0</v>
      </c>
      <c r="W25">
        <f>J25*'Outil Cibles'!Y$8</f>
        <v>0</v>
      </c>
      <c r="X25">
        <f>K25*'Outil Cibles'!Z$8</f>
        <v>0</v>
      </c>
      <c r="Y25">
        <f t="shared" si="1"/>
        <v>0</v>
      </c>
    </row>
    <row r="26" spans="1:25" x14ac:dyDescent="0.3">
      <c r="A26">
        <v>2044</v>
      </c>
      <c r="B26" s="23">
        <f>IF(AND($A26-'Outil Cibles'!Q$7&lt;=60,$A26-'Outil Cibles'!Q$7&gt;=0),IF('Outil Cibles'!Q$5='Outil Cibles'!$B$41, IF('Outil Cibles'!Q$6='Outil Cibles'!$E$41, VLOOKUP('Background graphEXPL_1.5'!$A26, '1.5°C'!$B$39:$AG$67, 26,FALSE), VLOOKUP('Background graphEXPL_1.5'!$A26, '1.5°C'!$B$39:$AG$67, 27,FALSE)), IF('Outil Cibles'!Q$6='Outil Cibles'!$E$41, VLOOKUP('Background graphEXPL_1.5'!$A26, '1.5°C'!$B$39:$AG$67, 31,FALSE), VLOOKUP('Background graphEXPL_1.5'!$A26, '1.5°C'!$B$39:$AG$67, 32,FALSE))), 0)</f>
        <v>0</v>
      </c>
      <c r="C26" s="23">
        <f>IF(AND($A26-'Outil Cibles'!R$7&lt;=60,$A26-'Outil Cibles'!R$7&gt;=0),IF('Outil Cibles'!R$5='Outil Cibles'!$B$41, IF('Outil Cibles'!R$6='Outil Cibles'!$E$41, VLOOKUP('Background graphEXPL_1.5'!$A26, '1.5°C'!$B$39:$AG$67, 26,FALSE), VLOOKUP('Background graphEXPL_1.5'!$A26, '1.5°C'!$B$39:$AG$67, 27,FALSE)), IF('Outil Cibles'!R$6='Outil Cibles'!$E$41, VLOOKUP('Background graphEXPL_1.5'!$A26, '1.5°C'!$B$39:$AG$67, 31,FALSE), VLOOKUP('Background graphEXPL_1.5'!$A26, '1.5°C'!$B$39:$AG$67, 32,FALSE))), 0)</f>
        <v>0</v>
      </c>
      <c r="D26" s="23">
        <f>IF(AND($A26-'Outil Cibles'!S$7&lt;=60,$A26-'Outil Cibles'!S$7&gt;=0),IF('Outil Cibles'!S$5='Outil Cibles'!$B$41, IF('Outil Cibles'!S$6='Outil Cibles'!$E$41, VLOOKUP('Background graphEXPL_1.5'!$A26, '1.5°C'!$B$39:$AG$67, 26,FALSE), VLOOKUP('Background graphEXPL_1.5'!$A26, '1.5°C'!$B$39:$AG$67, 27,FALSE)), IF('Outil Cibles'!S$6='Outil Cibles'!$E$41, VLOOKUP('Background graphEXPL_1.5'!$A26, '1.5°C'!$B$39:$AG$67, 31,FALSE), VLOOKUP('Background graphEXPL_1.5'!$A26, '1.5°C'!$B$39:$AG$67, 32,FALSE))), 0)</f>
        <v>0</v>
      </c>
      <c r="E26" s="23">
        <f>IF(AND($A26-'Outil Cibles'!T$7&lt;=60,$A26-'Outil Cibles'!T$7&gt;=0),IF('Outil Cibles'!T$5='Outil Cibles'!$B$41, IF('Outil Cibles'!T$6='Outil Cibles'!$E$41, VLOOKUP('Background graphEXPL_1.5'!$A26, '1.5°C'!$B$39:$AG$67, 26,FALSE), VLOOKUP('Background graphEXPL_1.5'!$A26, '1.5°C'!$B$39:$AG$67, 27,FALSE)), IF('Outil Cibles'!T$6='Outil Cibles'!$E$41, VLOOKUP('Background graphEXPL_1.5'!$A26, '1.5°C'!$B$39:$AG$67, 31,FALSE), VLOOKUP('Background graphEXPL_1.5'!$A26, '1.5°C'!$B$39:$AG$67, 32,FALSE))), 0)</f>
        <v>0</v>
      </c>
      <c r="F26" s="23">
        <f>IF(AND($A26-'Outil Cibles'!U$7&lt;=60,$A26-'Outil Cibles'!U$7&gt;=0),IF('Outil Cibles'!U$5='Outil Cibles'!$B$41, IF('Outil Cibles'!U$6='Outil Cibles'!$E$41, VLOOKUP('Background graphEXPL_1.5'!$A26, '1.5°C'!$B$39:$AG$67, 26,FALSE), VLOOKUP('Background graphEXPL_1.5'!$A26, '1.5°C'!$B$39:$AG$67, 27,FALSE)), IF('Outil Cibles'!U$6='Outil Cibles'!$E$41, VLOOKUP('Background graphEXPL_1.5'!$A26, '1.5°C'!$B$39:$AG$67, 31,FALSE), VLOOKUP('Background graphEXPL_1.5'!$A26, '1.5°C'!$B$39:$AG$67, 32,FALSE))), 0)</f>
        <v>0</v>
      </c>
      <c r="G26" s="23">
        <f>IF(AND($A26-'Outil Cibles'!V$7&lt;=60,$A26-'Outil Cibles'!V$7&gt;=0),IF('Outil Cibles'!V$5='Outil Cibles'!$B$41, IF('Outil Cibles'!V$6='Outil Cibles'!$E$41, VLOOKUP('Background graphEXPL_1.5'!$A26, '1.5°C'!$B$39:$AG$67, 26,FALSE), VLOOKUP('Background graphEXPL_1.5'!$A26, '1.5°C'!$B$39:$AG$67, 27,FALSE)), IF('Outil Cibles'!V$6='Outil Cibles'!$E$41, VLOOKUP('Background graphEXPL_1.5'!$A26, '1.5°C'!$B$39:$AG$67, 31,FALSE), VLOOKUP('Background graphEXPL_1.5'!$A26, '1.5°C'!$B$39:$AG$67, 32,FALSE))), 0)</f>
        <v>0</v>
      </c>
      <c r="H26" s="23">
        <f>IF(AND($A26-'Outil Cibles'!W$7&lt;=60,$A26-'Outil Cibles'!W$7&gt;=0),IF('Outil Cibles'!W$5='Outil Cibles'!$B$41, IF('Outil Cibles'!W$6='Outil Cibles'!$E$41, VLOOKUP('Background graphEXPL_1.5'!$A26, '1.5°C'!$B$39:$AG$67, 26,FALSE), VLOOKUP('Background graphEXPL_1.5'!$A26, '1.5°C'!$B$39:$AG$67, 27,FALSE)), IF('Outil Cibles'!W$6='Outil Cibles'!$E$41, VLOOKUP('Background graphEXPL_1.5'!$A26, '1.5°C'!$B$39:$AG$67, 31,FALSE), VLOOKUP('Background graphEXPL_1.5'!$A26, '1.5°C'!$B$39:$AG$67, 32,FALSE))), 0)</f>
        <v>0</v>
      </c>
      <c r="I26" s="23">
        <f>IF(AND($A26-'Outil Cibles'!X$7&lt;=60,$A26-'Outil Cibles'!X$7&gt;=0),IF('Outil Cibles'!X$5='Outil Cibles'!$B$41, IF('Outil Cibles'!X$6='Outil Cibles'!$E$41, VLOOKUP('Background graphEXPL_1.5'!$A26, '1.5°C'!$B$39:$AG$67, 26,FALSE), VLOOKUP('Background graphEXPL_1.5'!$A26, '1.5°C'!$B$39:$AG$67, 27,FALSE)), IF('Outil Cibles'!X$6='Outil Cibles'!$E$41, VLOOKUP('Background graphEXPL_1.5'!$A26, '1.5°C'!$B$39:$AG$67, 31,FALSE), VLOOKUP('Background graphEXPL_1.5'!$A26, '1.5°C'!$B$39:$AG$67, 32,FALSE))), 0)</f>
        <v>0</v>
      </c>
      <c r="J26" s="23">
        <f>IF(AND($A26-'Outil Cibles'!Y$7&lt;=60,$A26-'Outil Cibles'!Y$7&gt;=0),IF('Outil Cibles'!Y$5='Outil Cibles'!$B$41, IF('Outil Cibles'!Y$6='Outil Cibles'!$E$41, VLOOKUP('Background graphEXPL_1.5'!$A26, '1.5°C'!$B$39:$AG$67, 26,FALSE), VLOOKUP('Background graphEXPL_1.5'!$A26, '1.5°C'!$B$39:$AG$67, 27,FALSE)), IF('Outil Cibles'!Y$6='Outil Cibles'!$E$41, VLOOKUP('Background graphEXPL_1.5'!$A26, '1.5°C'!$B$39:$AG$67, 31,FALSE), VLOOKUP('Background graphEXPL_1.5'!$A26, '1.5°C'!$B$39:$AG$67, 32,FALSE))), 0)</f>
        <v>0</v>
      </c>
      <c r="K26" s="23">
        <f>IF(AND($A26-'Outil Cibles'!Z$7&lt;=60,$A26-'Outil Cibles'!Z$7&gt;=0),IF('Outil Cibles'!Z$5='Outil Cibles'!$B$41, IF('Outil Cibles'!Z$6='Outil Cibles'!$E$41, VLOOKUP('Background graphEXPL_1.5'!$A26, '1.5°C'!$B$39:$AG$67, 26,FALSE), VLOOKUP('Background graphEXPL_1.5'!$A26, '1.5°C'!$B$39:$AG$67, 27,FALSE)), IF('Outil Cibles'!Z$6='Outil Cibles'!$E$41, VLOOKUP('Background graphEXPL_1.5'!$A26, '1.5°C'!$B$39:$AG$67, 31,FALSE), VLOOKUP('Background graphEXPL_1.5'!$A26, '1.5°C'!$B$39:$AG$67, 32,FALSE))), 0)</f>
        <v>0</v>
      </c>
      <c r="L26" s="23">
        <f t="shared" si="0"/>
        <v>0</v>
      </c>
      <c r="N26">
        <v>2044</v>
      </c>
      <c r="O26">
        <f>B26*'Outil Cibles'!Q$8</f>
        <v>0</v>
      </c>
      <c r="P26">
        <f>C26*'Outil Cibles'!R$8</f>
        <v>0</v>
      </c>
      <c r="Q26">
        <f>D26*'Outil Cibles'!S$8</f>
        <v>0</v>
      </c>
      <c r="R26">
        <f>E26*'Outil Cibles'!T$8</f>
        <v>0</v>
      </c>
      <c r="S26">
        <f>F26*'Outil Cibles'!U$8</f>
        <v>0</v>
      </c>
      <c r="T26">
        <f>G26*'Outil Cibles'!V$8</f>
        <v>0</v>
      </c>
      <c r="U26">
        <f>H26*'Outil Cibles'!W$8</f>
        <v>0</v>
      </c>
      <c r="V26">
        <f>I26*'Outil Cibles'!X$8</f>
        <v>0</v>
      </c>
      <c r="W26">
        <f>J26*'Outil Cibles'!Y$8</f>
        <v>0</v>
      </c>
      <c r="X26">
        <f>K26*'Outil Cibles'!Z$8</f>
        <v>0</v>
      </c>
      <c r="Y26">
        <f t="shared" si="1"/>
        <v>0</v>
      </c>
    </row>
    <row r="27" spans="1:25" x14ac:dyDescent="0.3">
      <c r="A27" s="10">
        <v>2045</v>
      </c>
      <c r="B27" s="23">
        <f>IF(AND($A27-'Outil Cibles'!Q$7&lt;=60,$A27-'Outil Cibles'!Q$7&gt;=0),IF('Outil Cibles'!Q$5='Outil Cibles'!$B$41, IF('Outil Cibles'!Q$6='Outil Cibles'!$E$41, VLOOKUP('Background graphEXPL_1.5'!$A27, '1.5°C'!$B$39:$AG$67, 26,FALSE), VLOOKUP('Background graphEXPL_1.5'!$A27, '1.5°C'!$B$39:$AG$67, 27,FALSE)), IF('Outil Cibles'!Q$6='Outil Cibles'!$E$41, VLOOKUP('Background graphEXPL_1.5'!$A27, '1.5°C'!$B$39:$AG$67, 31,FALSE), VLOOKUP('Background graphEXPL_1.5'!$A27, '1.5°C'!$B$39:$AG$67, 32,FALSE))), 0)</f>
        <v>0</v>
      </c>
      <c r="C27" s="23">
        <f>IF(AND($A27-'Outil Cibles'!R$7&lt;=60,$A27-'Outil Cibles'!R$7&gt;=0),IF('Outil Cibles'!R$5='Outil Cibles'!$B$41, IF('Outil Cibles'!R$6='Outil Cibles'!$E$41, VLOOKUP('Background graphEXPL_1.5'!$A27, '1.5°C'!$B$39:$AG$67, 26,FALSE), VLOOKUP('Background graphEXPL_1.5'!$A27, '1.5°C'!$B$39:$AG$67, 27,FALSE)), IF('Outil Cibles'!R$6='Outil Cibles'!$E$41, VLOOKUP('Background graphEXPL_1.5'!$A27, '1.5°C'!$B$39:$AG$67, 31,FALSE), VLOOKUP('Background graphEXPL_1.5'!$A27, '1.5°C'!$B$39:$AG$67, 32,FALSE))), 0)</f>
        <v>0</v>
      </c>
      <c r="D27" s="23">
        <f>IF(AND($A27-'Outil Cibles'!S$7&lt;=60,$A27-'Outil Cibles'!S$7&gt;=0),IF('Outil Cibles'!S$5='Outil Cibles'!$B$41, IF('Outil Cibles'!S$6='Outil Cibles'!$E$41, VLOOKUP('Background graphEXPL_1.5'!$A27, '1.5°C'!$B$39:$AG$67, 26,FALSE), VLOOKUP('Background graphEXPL_1.5'!$A27, '1.5°C'!$B$39:$AG$67, 27,FALSE)), IF('Outil Cibles'!S$6='Outil Cibles'!$E$41, VLOOKUP('Background graphEXPL_1.5'!$A27, '1.5°C'!$B$39:$AG$67, 31,FALSE), VLOOKUP('Background graphEXPL_1.5'!$A27, '1.5°C'!$B$39:$AG$67, 32,FALSE))), 0)</f>
        <v>0</v>
      </c>
      <c r="E27" s="23">
        <f>IF(AND($A27-'Outil Cibles'!T$7&lt;=60,$A27-'Outil Cibles'!T$7&gt;=0),IF('Outil Cibles'!T$5='Outil Cibles'!$B$41, IF('Outil Cibles'!T$6='Outil Cibles'!$E$41, VLOOKUP('Background graphEXPL_1.5'!$A27, '1.5°C'!$B$39:$AG$67, 26,FALSE), VLOOKUP('Background graphEXPL_1.5'!$A27, '1.5°C'!$B$39:$AG$67, 27,FALSE)), IF('Outil Cibles'!T$6='Outil Cibles'!$E$41, VLOOKUP('Background graphEXPL_1.5'!$A27, '1.5°C'!$B$39:$AG$67, 31,FALSE), VLOOKUP('Background graphEXPL_1.5'!$A27, '1.5°C'!$B$39:$AG$67, 32,FALSE))), 0)</f>
        <v>0</v>
      </c>
      <c r="F27" s="23">
        <f>IF(AND($A27-'Outil Cibles'!U$7&lt;=60,$A27-'Outil Cibles'!U$7&gt;=0),IF('Outil Cibles'!U$5='Outil Cibles'!$B$41, IF('Outil Cibles'!U$6='Outil Cibles'!$E$41, VLOOKUP('Background graphEXPL_1.5'!$A27, '1.5°C'!$B$39:$AG$67, 26,FALSE), VLOOKUP('Background graphEXPL_1.5'!$A27, '1.5°C'!$B$39:$AG$67, 27,FALSE)), IF('Outil Cibles'!U$6='Outil Cibles'!$E$41, VLOOKUP('Background graphEXPL_1.5'!$A27, '1.5°C'!$B$39:$AG$67, 31,FALSE), VLOOKUP('Background graphEXPL_1.5'!$A27, '1.5°C'!$B$39:$AG$67, 32,FALSE))), 0)</f>
        <v>0</v>
      </c>
      <c r="G27" s="23">
        <f>IF(AND($A27-'Outil Cibles'!V$7&lt;=60,$A27-'Outil Cibles'!V$7&gt;=0),IF('Outil Cibles'!V$5='Outil Cibles'!$B$41, IF('Outil Cibles'!V$6='Outil Cibles'!$E$41, VLOOKUP('Background graphEXPL_1.5'!$A27, '1.5°C'!$B$39:$AG$67, 26,FALSE), VLOOKUP('Background graphEXPL_1.5'!$A27, '1.5°C'!$B$39:$AG$67, 27,FALSE)), IF('Outil Cibles'!V$6='Outil Cibles'!$E$41, VLOOKUP('Background graphEXPL_1.5'!$A27, '1.5°C'!$B$39:$AG$67, 31,FALSE), VLOOKUP('Background graphEXPL_1.5'!$A27, '1.5°C'!$B$39:$AG$67, 32,FALSE))), 0)</f>
        <v>0</v>
      </c>
      <c r="H27" s="23">
        <f>IF(AND($A27-'Outil Cibles'!W$7&lt;=60,$A27-'Outil Cibles'!W$7&gt;=0),IF('Outil Cibles'!W$5='Outil Cibles'!$B$41, IF('Outil Cibles'!W$6='Outil Cibles'!$E$41, VLOOKUP('Background graphEXPL_1.5'!$A27, '1.5°C'!$B$39:$AG$67, 26,FALSE), VLOOKUP('Background graphEXPL_1.5'!$A27, '1.5°C'!$B$39:$AG$67, 27,FALSE)), IF('Outil Cibles'!W$6='Outil Cibles'!$E$41, VLOOKUP('Background graphEXPL_1.5'!$A27, '1.5°C'!$B$39:$AG$67, 31,FALSE), VLOOKUP('Background graphEXPL_1.5'!$A27, '1.5°C'!$B$39:$AG$67, 32,FALSE))), 0)</f>
        <v>0</v>
      </c>
      <c r="I27" s="23">
        <f>IF(AND($A27-'Outil Cibles'!X$7&lt;=60,$A27-'Outil Cibles'!X$7&gt;=0),IF('Outil Cibles'!X$5='Outil Cibles'!$B$41, IF('Outil Cibles'!X$6='Outil Cibles'!$E$41, VLOOKUP('Background graphEXPL_1.5'!$A27, '1.5°C'!$B$39:$AG$67, 26,FALSE), VLOOKUP('Background graphEXPL_1.5'!$A27, '1.5°C'!$B$39:$AG$67, 27,FALSE)), IF('Outil Cibles'!X$6='Outil Cibles'!$E$41, VLOOKUP('Background graphEXPL_1.5'!$A27, '1.5°C'!$B$39:$AG$67, 31,FALSE), VLOOKUP('Background graphEXPL_1.5'!$A27, '1.5°C'!$B$39:$AG$67, 32,FALSE))), 0)</f>
        <v>0</v>
      </c>
      <c r="J27" s="23">
        <f>IF(AND($A27-'Outil Cibles'!Y$7&lt;=60,$A27-'Outil Cibles'!Y$7&gt;=0),IF('Outil Cibles'!Y$5='Outil Cibles'!$B$41, IF('Outil Cibles'!Y$6='Outil Cibles'!$E$41, VLOOKUP('Background graphEXPL_1.5'!$A27, '1.5°C'!$B$39:$AG$67, 26,FALSE), VLOOKUP('Background graphEXPL_1.5'!$A27, '1.5°C'!$B$39:$AG$67, 27,FALSE)), IF('Outil Cibles'!Y$6='Outil Cibles'!$E$41, VLOOKUP('Background graphEXPL_1.5'!$A27, '1.5°C'!$B$39:$AG$67, 31,FALSE), VLOOKUP('Background graphEXPL_1.5'!$A27, '1.5°C'!$B$39:$AG$67, 32,FALSE))), 0)</f>
        <v>0</v>
      </c>
      <c r="K27" s="23">
        <f>IF(AND($A27-'Outil Cibles'!Z$7&lt;=60,$A27-'Outil Cibles'!Z$7&gt;=0),IF('Outil Cibles'!Z$5='Outil Cibles'!$B$41, IF('Outil Cibles'!Z$6='Outil Cibles'!$E$41, VLOOKUP('Background graphEXPL_1.5'!$A27, '1.5°C'!$B$39:$AG$67, 26,FALSE), VLOOKUP('Background graphEXPL_1.5'!$A27, '1.5°C'!$B$39:$AG$67, 27,FALSE)), IF('Outil Cibles'!Z$6='Outil Cibles'!$E$41, VLOOKUP('Background graphEXPL_1.5'!$A27, '1.5°C'!$B$39:$AG$67, 31,FALSE), VLOOKUP('Background graphEXPL_1.5'!$A27, '1.5°C'!$B$39:$AG$67, 32,FALSE))), 0)</f>
        <v>0</v>
      </c>
      <c r="L27" s="23">
        <f t="shared" si="0"/>
        <v>0</v>
      </c>
      <c r="N27" s="10">
        <v>2045</v>
      </c>
      <c r="O27">
        <f>B27*'Outil Cibles'!Q$8</f>
        <v>0</v>
      </c>
      <c r="P27">
        <f>C27*'Outil Cibles'!R$8</f>
        <v>0</v>
      </c>
      <c r="Q27">
        <f>D27*'Outil Cibles'!S$8</f>
        <v>0</v>
      </c>
      <c r="R27">
        <f>E27*'Outil Cibles'!T$8</f>
        <v>0</v>
      </c>
      <c r="S27">
        <f>F27*'Outil Cibles'!U$8</f>
        <v>0</v>
      </c>
      <c r="T27">
        <f>G27*'Outil Cibles'!V$8</f>
        <v>0</v>
      </c>
      <c r="U27">
        <f>H27*'Outil Cibles'!W$8</f>
        <v>0</v>
      </c>
      <c r="V27">
        <f>I27*'Outil Cibles'!X$8</f>
        <v>0</v>
      </c>
      <c r="W27">
        <f>J27*'Outil Cibles'!Y$8</f>
        <v>0</v>
      </c>
      <c r="X27">
        <f>K27*'Outil Cibles'!Z$8</f>
        <v>0</v>
      </c>
      <c r="Y27">
        <f t="shared" si="1"/>
        <v>0</v>
      </c>
    </row>
    <row r="28" spans="1:25" x14ac:dyDescent="0.3">
      <c r="A28">
        <v>2046</v>
      </c>
      <c r="B28" s="23">
        <f>IF(AND($A28-'Outil Cibles'!Q$7&lt;=60,$A28-'Outil Cibles'!Q$7&gt;=0),IF('Outil Cibles'!Q$5='Outil Cibles'!$B$41, IF('Outil Cibles'!Q$6='Outil Cibles'!$E$41, VLOOKUP('Background graphEXPL_1.5'!$A28, '1.5°C'!$B$39:$AG$67, 26,FALSE), VLOOKUP('Background graphEXPL_1.5'!$A28, '1.5°C'!$B$39:$AG$67, 27,FALSE)), IF('Outil Cibles'!Q$6='Outil Cibles'!$E$41, VLOOKUP('Background graphEXPL_1.5'!$A28, '1.5°C'!$B$39:$AG$67, 31,FALSE), VLOOKUP('Background graphEXPL_1.5'!$A28, '1.5°C'!$B$39:$AG$67, 32,FALSE))), 0)</f>
        <v>0</v>
      </c>
      <c r="C28" s="23">
        <f>IF(AND($A28-'Outil Cibles'!R$7&lt;=60,$A28-'Outil Cibles'!R$7&gt;=0),IF('Outil Cibles'!R$5='Outil Cibles'!$B$41, IF('Outil Cibles'!R$6='Outil Cibles'!$E$41, VLOOKUP('Background graphEXPL_1.5'!$A28, '1.5°C'!$B$39:$AG$67, 26,FALSE), VLOOKUP('Background graphEXPL_1.5'!$A28, '1.5°C'!$B$39:$AG$67, 27,FALSE)), IF('Outil Cibles'!R$6='Outil Cibles'!$E$41, VLOOKUP('Background graphEXPL_1.5'!$A28, '1.5°C'!$B$39:$AG$67, 31,FALSE), VLOOKUP('Background graphEXPL_1.5'!$A28, '1.5°C'!$B$39:$AG$67, 32,FALSE))), 0)</f>
        <v>0</v>
      </c>
      <c r="D28" s="23">
        <f>IF(AND($A28-'Outil Cibles'!S$7&lt;=60,$A28-'Outil Cibles'!S$7&gt;=0),IF('Outil Cibles'!S$5='Outil Cibles'!$B$41, IF('Outil Cibles'!S$6='Outil Cibles'!$E$41, VLOOKUP('Background graphEXPL_1.5'!$A28, '1.5°C'!$B$39:$AG$67, 26,FALSE), VLOOKUP('Background graphEXPL_1.5'!$A28, '1.5°C'!$B$39:$AG$67, 27,FALSE)), IF('Outil Cibles'!S$6='Outil Cibles'!$E$41, VLOOKUP('Background graphEXPL_1.5'!$A28, '1.5°C'!$B$39:$AG$67, 31,FALSE), VLOOKUP('Background graphEXPL_1.5'!$A28, '1.5°C'!$B$39:$AG$67, 32,FALSE))), 0)</f>
        <v>0</v>
      </c>
      <c r="E28" s="23">
        <f>IF(AND($A28-'Outil Cibles'!T$7&lt;=60,$A28-'Outil Cibles'!T$7&gt;=0),IF('Outil Cibles'!T$5='Outil Cibles'!$B$41, IF('Outil Cibles'!T$6='Outil Cibles'!$E$41, VLOOKUP('Background graphEXPL_1.5'!$A28, '1.5°C'!$B$39:$AG$67, 26,FALSE), VLOOKUP('Background graphEXPL_1.5'!$A28, '1.5°C'!$B$39:$AG$67, 27,FALSE)), IF('Outil Cibles'!T$6='Outil Cibles'!$E$41, VLOOKUP('Background graphEXPL_1.5'!$A28, '1.5°C'!$B$39:$AG$67, 31,FALSE), VLOOKUP('Background graphEXPL_1.5'!$A28, '1.5°C'!$B$39:$AG$67, 32,FALSE))), 0)</f>
        <v>0</v>
      </c>
      <c r="F28" s="23">
        <f>IF(AND($A28-'Outil Cibles'!U$7&lt;=60,$A28-'Outil Cibles'!U$7&gt;=0),IF('Outil Cibles'!U$5='Outil Cibles'!$B$41, IF('Outil Cibles'!U$6='Outil Cibles'!$E$41, VLOOKUP('Background graphEXPL_1.5'!$A28, '1.5°C'!$B$39:$AG$67, 26,FALSE), VLOOKUP('Background graphEXPL_1.5'!$A28, '1.5°C'!$B$39:$AG$67, 27,FALSE)), IF('Outil Cibles'!U$6='Outil Cibles'!$E$41, VLOOKUP('Background graphEXPL_1.5'!$A28, '1.5°C'!$B$39:$AG$67, 31,FALSE), VLOOKUP('Background graphEXPL_1.5'!$A28, '1.5°C'!$B$39:$AG$67, 32,FALSE))), 0)</f>
        <v>0</v>
      </c>
      <c r="G28" s="23">
        <f>IF(AND($A28-'Outil Cibles'!V$7&lt;=60,$A28-'Outil Cibles'!V$7&gt;=0),IF('Outil Cibles'!V$5='Outil Cibles'!$B$41, IF('Outil Cibles'!V$6='Outil Cibles'!$E$41, VLOOKUP('Background graphEXPL_1.5'!$A28, '1.5°C'!$B$39:$AG$67, 26,FALSE), VLOOKUP('Background graphEXPL_1.5'!$A28, '1.5°C'!$B$39:$AG$67, 27,FALSE)), IF('Outil Cibles'!V$6='Outil Cibles'!$E$41, VLOOKUP('Background graphEXPL_1.5'!$A28, '1.5°C'!$B$39:$AG$67, 31,FALSE), VLOOKUP('Background graphEXPL_1.5'!$A28, '1.5°C'!$B$39:$AG$67, 32,FALSE))), 0)</f>
        <v>0</v>
      </c>
      <c r="H28" s="23">
        <f>IF(AND($A28-'Outil Cibles'!W$7&lt;=60,$A28-'Outil Cibles'!W$7&gt;=0),IF('Outil Cibles'!W$5='Outil Cibles'!$B$41, IF('Outil Cibles'!W$6='Outil Cibles'!$E$41, VLOOKUP('Background graphEXPL_1.5'!$A28, '1.5°C'!$B$39:$AG$67, 26,FALSE), VLOOKUP('Background graphEXPL_1.5'!$A28, '1.5°C'!$B$39:$AG$67, 27,FALSE)), IF('Outil Cibles'!W$6='Outil Cibles'!$E$41, VLOOKUP('Background graphEXPL_1.5'!$A28, '1.5°C'!$B$39:$AG$67, 31,FALSE), VLOOKUP('Background graphEXPL_1.5'!$A28, '1.5°C'!$B$39:$AG$67, 32,FALSE))), 0)</f>
        <v>0</v>
      </c>
      <c r="I28" s="23">
        <f>IF(AND($A28-'Outil Cibles'!X$7&lt;=60,$A28-'Outil Cibles'!X$7&gt;=0),IF('Outil Cibles'!X$5='Outil Cibles'!$B$41, IF('Outil Cibles'!X$6='Outil Cibles'!$E$41, VLOOKUP('Background graphEXPL_1.5'!$A28, '1.5°C'!$B$39:$AG$67, 26,FALSE), VLOOKUP('Background graphEXPL_1.5'!$A28, '1.5°C'!$B$39:$AG$67, 27,FALSE)), IF('Outil Cibles'!X$6='Outil Cibles'!$E$41, VLOOKUP('Background graphEXPL_1.5'!$A28, '1.5°C'!$B$39:$AG$67, 31,FALSE), VLOOKUP('Background graphEXPL_1.5'!$A28, '1.5°C'!$B$39:$AG$67, 32,FALSE))), 0)</f>
        <v>0</v>
      </c>
      <c r="J28" s="23">
        <f>IF(AND($A28-'Outil Cibles'!Y$7&lt;=60,$A28-'Outil Cibles'!Y$7&gt;=0),IF('Outil Cibles'!Y$5='Outil Cibles'!$B$41, IF('Outil Cibles'!Y$6='Outil Cibles'!$E$41, VLOOKUP('Background graphEXPL_1.5'!$A28, '1.5°C'!$B$39:$AG$67, 26,FALSE), VLOOKUP('Background graphEXPL_1.5'!$A28, '1.5°C'!$B$39:$AG$67, 27,FALSE)), IF('Outil Cibles'!Y$6='Outil Cibles'!$E$41, VLOOKUP('Background graphEXPL_1.5'!$A28, '1.5°C'!$B$39:$AG$67, 31,FALSE), VLOOKUP('Background graphEXPL_1.5'!$A28, '1.5°C'!$B$39:$AG$67, 32,FALSE))), 0)</f>
        <v>0</v>
      </c>
      <c r="K28" s="23">
        <f>IF(AND($A28-'Outil Cibles'!Z$7&lt;=60,$A28-'Outil Cibles'!Z$7&gt;=0),IF('Outil Cibles'!Z$5='Outil Cibles'!$B$41, IF('Outil Cibles'!Z$6='Outil Cibles'!$E$41, VLOOKUP('Background graphEXPL_1.5'!$A28, '1.5°C'!$B$39:$AG$67, 26,FALSE), VLOOKUP('Background graphEXPL_1.5'!$A28, '1.5°C'!$B$39:$AG$67, 27,FALSE)), IF('Outil Cibles'!Z$6='Outil Cibles'!$E$41, VLOOKUP('Background graphEXPL_1.5'!$A28, '1.5°C'!$B$39:$AG$67, 31,FALSE), VLOOKUP('Background graphEXPL_1.5'!$A28, '1.5°C'!$B$39:$AG$67, 32,FALSE))), 0)</f>
        <v>0</v>
      </c>
      <c r="L28" s="23">
        <f t="shared" si="0"/>
        <v>0</v>
      </c>
      <c r="N28">
        <v>2046</v>
      </c>
      <c r="O28">
        <f>B28*'Outil Cibles'!Q$8</f>
        <v>0</v>
      </c>
      <c r="P28">
        <f>C28*'Outil Cibles'!R$8</f>
        <v>0</v>
      </c>
      <c r="Q28">
        <f>D28*'Outil Cibles'!S$8</f>
        <v>0</v>
      </c>
      <c r="R28">
        <f>E28*'Outil Cibles'!T$8</f>
        <v>0</v>
      </c>
      <c r="S28">
        <f>F28*'Outil Cibles'!U$8</f>
        <v>0</v>
      </c>
      <c r="T28">
        <f>G28*'Outil Cibles'!V$8</f>
        <v>0</v>
      </c>
      <c r="U28">
        <f>H28*'Outil Cibles'!W$8</f>
        <v>0</v>
      </c>
      <c r="V28">
        <f>I28*'Outil Cibles'!X$8</f>
        <v>0</v>
      </c>
      <c r="W28">
        <f>J28*'Outil Cibles'!Y$8</f>
        <v>0</v>
      </c>
      <c r="X28">
        <f>K28*'Outil Cibles'!Z$8</f>
        <v>0</v>
      </c>
      <c r="Y28">
        <f t="shared" si="1"/>
        <v>0</v>
      </c>
    </row>
    <row r="29" spans="1:25" x14ac:dyDescent="0.3">
      <c r="A29">
        <v>2047</v>
      </c>
      <c r="B29" s="23">
        <f>IF(AND($A29-'Outil Cibles'!Q$7&lt;=60,$A29-'Outil Cibles'!Q$7&gt;=0),IF('Outil Cibles'!Q$5='Outil Cibles'!$B$41, IF('Outil Cibles'!Q$6='Outil Cibles'!$E$41, VLOOKUP('Background graphEXPL_1.5'!$A29, '1.5°C'!$B$39:$AG$67, 26,FALSE), VLOOKUP('Background graphEXPL_1.5'!$A29, '1.5°C'!$B$39:$AG$67, 27,FALSE)), IF('Outil Cibles'!Q$6='Outil Cibles'!$E$41, VLOOKUP('Background graphEXPL_1.5'!$A29, '1.5°C'!$B$39:$AG$67, 31,FALSE), VLOOKUP('Background graphEXPL_1.5'!$A29, '1.5°C'!$B$39:$AG$67, 32,FALSE))), 0)</f>
        <v>0</v>
      </c>
      <c r="C29" s="23">
        <f>IF(AND($A29-'Outil Cibles'!R$7&lt;=60,$A29-'Outil Cibles'!R$7&gt;=0),IF('Outil Cibles'!R$5='Outil Cibles'!$B$41, IF('Outil Cibles'!R$6='Outil Cibles'!$E$41, VLOOKUP('Background graphEXPL_1.5'!$A29, '1.5°C'!$B$39:$AG$67, 26,FALSE), VLOOKUP('Background graphEXPL_1.5'!$A29, '1.5°C'!$B$39:$AG$67, 27,FALSE)), IF('Outil Cibles'!R$6='Outil Cibles'!$E$41, VLOOKUP('Background graphEXPL_1.5'!$A29, '1.5°C'!$B$39:$AG$67, 31,FALSE), VLOOKUP('Background graphEXPL_1.5'!$A29, '1.5°C'!$B$39:$AG$67, 32,FALSE))), 0)</f>
        <v>0</v>
      </c>
      <c r="D29" s="23">
        <f>IF(AND($A29-'Outil Cibles'!S$7&lt;=60,$A29-'Outil Cibles'!S$7&gt;=0),IF('Outil Cibles'!S$5='Outil Cibles'!$B$41, IF('Outil Cibles'!S$6='Outil Cibles'!$E$41, VLOOKUP('Background graphEXPL_1.5'!$A29, '1.5°C'!$B$39:$AG$67, 26,FALSE), VLOOKUP('Background graphEXPL_1.5'!$A29, '1.5°C'!$B$39:$AG$67, 27,FALSE)), IF('Outil Cibles'!S$6='Outil Cibles'!$E$41, VLOOKUP('Background graphEXPL_1.5'!$A29, '1.5°C'!$B$39:$AG$67, 31,FALSE), VLOOKUP('Background graphEXPL_1.5'!$A29, '1.5°C'!$B$39:$AG$67, 32,FALSE))), 0)</f>
        <v>0</v>
      </c>
      <c r="E29" s="23">
        <f>IF(AND($A29-'Outil Cibles'!T$7&lt;=60,$A29-'Outil Cibles'!T$7&gt;=0),IF('Outil Cibles'!T$5='Outil Cibles'!$B$41, IF('Outil Cibles'!T$6='Outil Cibles'!$E$41, VLOOKUP('Background graphEXPL_1.5'!$A29, '1.5°C'!$B$39:$AG$67, 26,FALSE), VLOOKUP('Background graphEXPL_1.5'!$A29, '1.5°C'!$B$39:$AG$67, 27,FALSE)), IF('Outil Cibles'!T$6='Outil Cibles'!$E$41, VLOOKUP('Background graphEXPL_1.5'!$A29, '1.5°C'!$B$39:$AG$67, 31,FALSE), VLOOKUP('Background graphEXPL_1.5'!$A29, '1.5°C'!$B$39:$AG$67, 32,FALSE))), 0)</f>
        <v>0</v>
      </c>
      <c r="F29" s="23">
        <f>IF(AND($A29-'Outil Cibles'!U$7&lt;=60,$A29-'Outil Cibles'!U$7&gt;=0),IF('Outil Cibles'!U$5='Outil Cibles'!$B$41, IF('Outil Cibles'!U$6='Outil Cibles'!$E$41, VLOOKUP('Background graphEXPL_1.5'!$A29, '1.5°C'!$B$39:$AG$67, 26,FALSE), VLOOKUP('Background graphEXPL_1.5'!$A29, '1.5°C'!$B$39:$AG$67, 27,FALSE)), IF('Outil Cibles'!U$6='Outil Cibles'!$E$41, VLOOKUP('Background graphEXPL_1.5'!$A29, '1.5°C'!$B$39:$AG$67, 31,FALSE), VLOOKUP('Background graphEXPL_1.5'!$A29, '1.5°C'!$B$39:$AG$67, 32,FALSE))), 0)</f>
        <v>0</v>
      </c>
      <c r="G29" s="23">
        <f>IF(AND($A29-'Outil Cibles'!V$7&lt;=60,$A29-'Outil Cibles'!V$7&gt;=0),IF('Outil Cibles'!V$5='Outil Cibles'!$B$41, IF('Outil Cibles'!V$6='Outil Cibles'!$E$41, VLOOKUP('Background graphEXPL_1.5'!$A29, '1.5°C'!$B$39:$AG$67, 26,FALSE), VLOOKUP('Background graphEXPL_1.5'!$A29, '1.5°C'!$B$39:$AG$67, 27,FALSE)), IF('Outil Cibles'!V$6='Outil Cibles'!$E$41, VLOOKUP('Background graphEXPL_1.5'!$A29, '1.5°C'!$B$39:$AG$67, 31,FALSE), VLOOKUP('Background graphEXPL_1.5'!$A29, '1.5°C'!$B$39:$AG$67, 32,FALSE))), 0)</f>
        <v>0</v>
      </c>
      <c r="H29" s="23">
        <f>IF(AND($A29-'Outil Cibles'!W$7&lt;=60,$A29-'Outil Cibles'!W$7&gt;=0),IF('Outil Cibles'!W$5='Outil Cibles'!$B$41, IF('Outil Cibles'!W$6='Outil Cibles'!$E$41, VLOOKUP('Background graphEXPL_1.5'!$A29, '1.5°C'!$B$39:$AG$67, 26,FALSE), VLOOKUP('Background graphEXPL_1.5'!$A29, '1.5°C'!$B$39:$AG$67, 27,FALSE)), IF('Outil Cibles'!W$6='Outil Cibles'!$E$41, VLOOKUP('Background graphEXPL_1.5'!$A29, '1.5°C'!$B$39:$AG$67, 31,FALSE), VLOOKUP('Background graphEXPL_1.5'!$A29, '1.5°C'!$B$39:$AG$67, 32,FALSE))), 0)</f>
        <v>0</v>
      </c>
      <c r="I29" s="23">
        <f>IF(AND($A29-'Outil Cibles'!X$7&lt;=60,$A29-'Outil Cibles'!X$7&gt;=0),IF('Outil Cibles'!X$5='Outil Cibles'!$B$41, IF('Outil Cibles'!X$6='Outil Cibles'!$E$41, VLOOKUP('Background graphEXPL_1.5'!$A29, '1.5°C'!$B$39:$AG$67, 26,FALSE), VLOOKUP('Background graphEXPL_1.5'!$A29, '1.5°C'!$B$39:$AG$67, 27,FALSE)), IF('Outil Cibles'!X$6='Outil Cibles'!$E$41, VLOOKUP('Background graphEXPL_1.5'!$A29, '1.5°C'!$B$39:$AG$67, 31,FALSE), VLOOKUP('Background graphEXPL_1.5'!$A29, '1.5°C'!$B$39:$AG$67, 32,FALSE))), 0)</f>
        <v>0</v>
      </c>
      <c r="J29" s="23">
        <f>IF(AND($A29-'Outil Cibles'!Y$7&lt;=60,$A29-'Outil Cibles'!Y$7&gt;=0),IF('Outil Cibles'!Y$5='Outil Cibles'!$B$41, IF('Outil Cibles'!Y$6='Outil Cibles'!$E$41, VLOOKUP('Background graphEXPL_1.5'!$A29, '1.5°C'!$B$39:$AG$67, 26,FALSE), VLOOKUP('Background graphEXPL_1.5'!$A29, '1.5°C'!$B$39:$AG$67, 27,FALSE)), IF('Outil Cibles'!Y$6='Outil Cibles'!$E$41, VLOOKUP('Background graphEXPL_1.5'!$A29, '1.5°C'!$B$39:$AG$67, 31,FALSE), VLOOKUP('Background graphEXPL_1.5'!$A29, '1.5°C'!$B$39:$AG$67, 32,FALSE))), 0)</f>
        <v>0</v>
      </c>
      <c r="K29" s="23">
        <f>IF(AND($A29-'Outil Cibles'!Z$7&lt;=60,$A29-'Outil Cibles'!Z$7&gt;=0),IF('Outil Cibles'!Z$5='Outil Cibles'!$B$41, IF('Outil Cibles'!Z$6='Outil Cibles'!$E$41, VLOOKUP('Background graphEXPL_1.5'!$A29, '1.5°C'!$B$39:$AG$67, 26,FALSE), VLOOKUP('Background graphEXPL_1.5'!$A29, '1.5°C'!$B$39:$AG$67, 27,FALSE)), IF('Outil Cibles'!Z$6='Outil Cibles'!$E$41, VLOOKUP('Background graphEXPL_1.5'!$A29, '1.5°C'!$B$39:$AG$67, 31,FALSE), VLOOKUP('Background graphEXPL_1.5'!$A29, '1.5°C'!$B$39:$AG$67, 32,FALSE))), 0)</f>
        <v>0</v>
      </c>
      <c r="L29" s="23">
        <f t="shared" si="0"/>
        <v>0</v>
      </c>
      <c r="N29">
        <v>2047</v>
      </c>
      <c r="O29">
        <f>B29*'Outil Cibles'!Q$8</f>
        <v>0</v>
      </c>
      <c r="P29">
        <f>C29*'Outil Cibles'!R$8</f>
        <v>0</v>
      </c>
      <c r="Q29">
        <f>D29*'Outil Cibles'!S$8</f>
        <v>0</v>
      </c>
      <c r="R29">
        <f>E29*'Outil Cibles'!T$8</f>
        <v>0</v>
      </c>
      <c r="S29">
        <f>F29*'Outil Cibles'!U$8</f>
        <v>0</v>
      </c>
      <c r="T29">
        <f>G29*'Outil Cibles'!V$8</f>
        <v>0</v>
      </c>
      <c r="U29">
        <f>H29*'Outil Cibles'!W$8</f>
        <v>0</v>
      </c>
      <c r="V29">
        <f>I29*'Outil Cibles'!X$8</f>
        <v>0</v>
      </c>
      <c r="W29">
        <f>J29*'Outil Cibles'!Y$8</f>
        <v>0</v>
      </c>
      <c r="X29">
        <f>K29*'Outil Cibles'!Z$8</f>
        <v>0</v>
      </c>
      <c r="Y29">
        <f t="shared" si="1"/>
        <v>0</v>
      </c>
    </row>
    <row r="30" spans="1:25" x14ac:dyDescent="0.3">
      <c r="A30">
        <v>2048</v>
      </c>
      <c r="B30" s="23">
        <f>IF(AND($A30-'Outil Cibles'!Q$7&lt;=60,$A30-'Outil Cibles'!Q$7&gt;=0),IF('Outil Cibles'!Q$5='Outil Cibles'!$B$41, IF('Outil Cibles'!Q$6='Outil Cibles'!$E$41, VLOOKUP('Background graphEXPL_1.5'!$A30, '1.5°C'!$B$39:$AG$67, 26,FALSE), VLOOKUP('Background graphEXPL_1.5'!$A30, '1.5°C'!$B$39:$AG$67, 27,FALSE)), IF('Outil Cibles'!Q$6='Outil Cibles'!$E$41, VLOOKUP('Background graphEXPL_1.5'!$A30, '1.5°C'!$B$39:$AG$67, 31,FALSE), VLOOKUP('Background graphEXPL_1.5'!$A30, '1.5°C'!$B$39:$AG$67, 32,FALSE))), 0)</f>
        <v>0</v>
      </c>
      <c r="C30" s="23">
        <f>IF(AND($A30-'Outil Cibles'!R$7&lt;=60,$A30-'Outil Cibles'!R$7&gt;=0),IF('Outil Cibles'!R$5='Outil Cibles'!$B$41, IF('Outil Cibles'!R$6='Outil Cibles'!$E$41, VLOOKUP('Background graphEXPL_1.5'!$A30, '1.5°C'!$B$39:$AG$67, 26,FALSE), VLOOKUP('Background graphEXPL_1.5'!$A30, '1.5°C'!$B$39:$AG$67, 27,FALSE)), IF('Outil Cibles'!R$6='Outil Cibles'!$E$41, VLOOKUP('Background graphEXPL_1.5'!$A30, '1.5°C'!$B$39:$AG$67, 31,FALSE), VLOOKUP('Background graphEXPL_1.5'!$A30, '1.5°C'!$B$39:$AG$67, 32,FALSE))), 0)</f>
        <v>0</v>
      </c>
      <c r="D30" s="23">
        <f>IF(AND($A30-'Outil Cibles'!S$7&lt;=60,$A30-'Outil Cibles'!S$7&gt;=0),IF('Outil Cibles'!S$5='Outil Cibles'!$B$41, IF('Outil Cibles'!S$6='Outil Cibles'!$E$41, VLOOKUP('Background graphEXPL_1.5'!$A30, '1.5°C'!$B$39:$AG$67, 26,FALSE), VLOOKUP('Background graphEXPL_1.5'!$A30, '1.5°C'!$B$39:$AG$67, 27,FALSE)), IF('Outil Cibles'!S$6='Outil Cibles'!$E$41, VLOOKUP('Background graphEXPL_1.5'!$A30, '1.5°C'!$B$39:$AG$67, 31,FALSE), VLOOKUP('Background graphEXPL_1.5'!$A30, '1.5°C'!$B$39:$AG$67, 32,FALSE))), 0)</f>
        <v>0</v>
      </c>
      <c r="E30" s="23">
        <f>IF(AND($A30-'Outil Cibles'!T$7&lt;=60,$A30-'Outil Cibles'!T$7&gt;=0),IF('Outil Cibles'!T$5='Outil Cibles'!$B$41, IF('Outil Cibles'!T$6='Outil Cibles'!$E$41, VLOOKUP('Background graphEXPL_1.5'!$A30, '1.5°C'!$B$39:$AG$67, 26,FALSE), VLOOKUP('Background graphEXPL_1.5'!$A30, '1.5°C'!$B$39:$AG$67, 27,FALSE)), IF('Outil Cibles'!T$6='Outil Cibles'!$E$41, VLOOKUP('Background graphEXPL_1.5'!$A30, '1.5°C'!$B$39:$AG$67, 31,FALSE), VLOOKUP('Background graphEXPL_1.5'!$A30, '1.5°C'!$B$39:$AG$67, 32,FALSE))), 0)</f>
        <v>0</v>
      </c>
      <c r="F30" s="23">
        <f>IF(AND($A30-'Outil Cibles'!U$7&lt;=60,$A30-'Outil Cibles'!U$7&gt;=0),IF('Outil Cibles'!U$5='Outil Cibles'!$B$41, IF('Outil Cibles'!U$6='Outil Cibles'!$E$41, VLOOKUP('Background graphEXPL_1.5'!$A30, '1.5°C'!$B$39:$AG$67, 26,FALSE), VLOOKUP('Background graphEXPL_1.5'!$A30, '1.5°C'!$B$39:$AG$67, 27,FALSE)), IF('Outil Cibles'!U$6='Outil Cibles'!$E$41, VLOOKUP('Background graphEXPL_1.5'!$A30, '1.5°C'!$B$39:$AG$67, 31,FALSE), VLOOKUP('Background graphEXPL_1.5'!$A30, '1.5°C'!$B$39:$AG$67, 32,FALSE))), 0)</f>
        <v>0</v>
      </c>
      <c r="G30" s="23">
        <f>IF(AND($A30-'Outil Cibles'!V$7&lt;=60,$A30-'Outil Cibles'!V$7&gt;=0),IF('Outil Cibles'!V$5='Outil Cibles'!$B$41, IF('Outil Cibles'!V$6='Outil Cibles'!$E$41, VLOOKUP('Background graphEXPL_1.5'!$A30, '1.5°C'!$B$39:$AG$67, 26,FALSE), VLOOKUP('Background graphEXPL_1.5'!$A30, '1.5°C'!$B$39:$AG$67, 27,FALSE)), IF('Outil Cibles'!V$6='Outil Cibles'!$E$41, VLOOKUP('Background graphEXPL_1.5'!$A30, '1.5°C'!$B$39:$AG$67, 31,FALSE), VLOOKUP('Background graphEXPL_1.5'!$A30, '1.5°C'!$B$39:$AG$67, 32,FALSE))), 0)</f>
        <v>0</v>
      </c>
      <c r="H30" s="23">
        <f>IF(AND($A30-'Outil Cibles'!W$7&lt;=60,$A30-'Outil Cibles'!W$7&gt;=0),IF('Outil Cibles'!W$5='Outil Cibles'!$B$41, IF('Outil Cibles'!W$6='Outil Cibles'!$E$41, VLOOKUP('Background graphEXPL_1.5'!$A30, '1.5°C'!$B$39:$AG$67, 26,FALSE), VLOOKUP('Background graphEXPL_1.5'!$A30, '1.5°C'!$B$39:$AG$67, 27,FALSE)), IF('Outil Cibles'!W$6='Outil Cibles'!$E$41, VLOOKUP('Background graphEXPL_1.5'!$A30, '1.5°C'!$B$39:$AG$67, 31,FALSE), VLOOKUP('Background graphEXPL_1.5'!$A30, '1.5°C'!$B$39:$AG$67, 32,FALSE))), 0)</f>
        <v>0</v>
      </c>
      <c r="I30" s="23">
        <f>IF(AND($A30-'Outil Cibles'!X$7&lt;=60,$A30-'Outil Cibles'!X$7&gt;=0),IF('Outil Cibles'!X$5='Outil Cibles'!$B$41, IF('Outil Cibles'!X$6='Outil Cibles'!$E$41, VLOOKUP('Background graphEXPL_1.5'!$A30, '1.5°C'!$B$39:$AG$67, 26,FALSE), VLOOKUP('Background graphEXPL_1.5'!$A30, '1.5°C'!$B$39:$AG$67, 27,FALSE)), IF('Outil Cibles'!X$6='Outil Cibles'!$E$41, VLOOKUP('Background graphEXPL_1.5'!$A30, '1.5°C'!$B$39:$AG$67, 31,FALSE), VLOOKUP('Background graphEXPL_1.5'!$A30, '1.5°C'!$B$39:$AG$67, 32,FALSE))), 0)</f>
        <v>0</v>
      </c>
      <c r="J30" s="23">
        <f>IF(AND($A30-'Outil Cibles'!Y$7&lt;=60,$A30-'Outil Cibles'!Y$7&gt;=0),IF('Outil Cibles'!Y$5='Outil Cibles'!$B$41, IF('Outil Cibles'!Y$6='Outil Cibles'!$E$41, VLOOKUP('Background graphEXPL_1.5'!$A30, '1.5°C'!$B$39:$AG$67, 26,FALSE), VLOOKUP('Background graphEXPL_1.5'!$A30, '1.5°C'!$B$39:$AG$67, 27,FALSE)), IF('Outil Cibles'!Y$6='Outil Cibles'!$E$41, VLOOKUP('Background graphEXPL_1.5'!$A30, '1.5°C'!$B$39:$AG$67, 31,FALSE), VLOOKUP('Background graphEXPL_1.5'!$A30, '1.5°C'!$B$39:$AG$67, 32,FALSE))), 0)</f>
        <v>0</v>
      </c>
      <c r="K30" s="23">
        <f>IF(AND($A30-'Outil Cibles'!Z$7&lt;=60,$A30-'Outil Cibles'!Z$7&gt;=0),IF('Outil Cibles'!Z$5='Outil Cibles'!$B$41, IF('Outil Cibles'!Z$6='Outil Cibles'!$E$41, VLOOKUP('Background graphEXPL_1.5'!$A30, '1.5°C'!$B$39:$AG$67, 26,FALSE), VLOOKUP('Background graphEXPL_1.5'!$A30, '1.5°C'!$B$39:$AG$67, 27,FALSE)), IF('Outil Cibles'!Z$6='Outil Cibles'!$E$41, VLOOKUP('Background graphEXPL_1.5'!$A30, '1.5°C'!$B$39:$AG$67, 31,FALSE), VLOOKUP('Background graphEXPL_1.5'!$A30, '1.5°C'!$B$39:$AG$67, 32,FALSE))), 0)</f>
        <v>0</v>
      </c>
      <c r="L30" s="23">
        <f t="shared" si="0"/>
        <v>0</v>
      </c>
      <c r="N30">
        <v>2048</v>
      </c>
      <c r="O30">
        <f>B30*'Outil Cibles'!Q$8</f>
        <v>0</v>
      </c>
      <c r="P30">
        <f>C30*'Outil Cibles'!R$8</f>
        <v>0</v>
      </c>
      <c r="Q30">
        <f>D30*'Outil Cibles'!S$8</f>
        <v>0</v>
      </c>
      <c r="R30">
        <f>E30*'Outil Cibles'!T$8</f>
        <v>0</v>
      </c>
      <c r="S30">
        <f>F30*'Outil Cibles'!U$8</f>
        <v>0</v>
      </c>
      <c r="T30">
        <f>G30*'Outil Cibles'!V$8</f>
        <v>0</v>
      </c>
      <c r="U30">
        <f>H30*'Outil Cibles'!W$8</f>
        <v>0</v>
      </c>
      <c r="V30">
        <f>I30*'Outil Cibles'!X$8</f>
        <v>0</v>
      </c>
      <c r="W30">
        <f>J30*'Outil Cibles'!Y$8</f>
        <v>0</v>
      </c>
      <c r="X30">
        <f>K30*'Outil Cibles'!Z$8</f>
        <v>0</v>
      </c>
      <c r="Y30">
        <f t="shared" si="1"/>
        <v>0</v>
      </c>
    </row>
    <row r="31" spans="1:25" x14ac:dyDescent="0.3">
      <c r="A31">
        <v>2049</v>
      </c>
      <c r="B31" s="23">
        <f>IF(AND($A31-'Outil Cibles'!Q$7&lt;=60,$A31-'Outil Cibles'!Q$7&gt;=0),IF('Outil Cibles'!Q$5='Outil Cibles'!$B$41, IF('Outil Cibles'!Q$6='Outil Cibles'!$E$41, VLOOKUP('Background graphEXPL_1.5'!$A31, '1.5°C'!$B$39:$AG$67, 26,FALSE), VLOOKUP('Background graphEXPL_1.5'!$A31, '1.5°C'!$B$39:$AG$67, 27,FALSE)), IF('Outil Cibles'!Q$6='Outil Cibles'!$E$41, VLOOKUP('Background graphEXPL_1.5'!$A31, '1.5°C'!$B$39:$AG$67, 31,FALSE), VLOOKUP('Background graphEXPL_1.5'!$A31, '1.5°C'!$B$39:$AG$67, 32,FALSE))), 0)</f>
        <v>0</v>
      </c>
      <c r="C31" s="23">
        <f>IF(AND($A31-'Outil Cibles'!R$7&lt;=60,$A31-'Outil Cibles'!R$7&gt;=0),IF('Outil Cibles'!R$5='Outil Cibles'!$B$41, IF('Outil Cibles'!R$6='Outil Cibles'!$E$41, VLOOKUP('Background graphEXPL_1.5'!$A31, '1.5°C'!$B$39:$AG$67, 26,FALSE), VLOOKUP('Background graphEXPL_1.5'!$A31, '1.5°C'!$B$39:$AG$67, 27,FALSE)), IF('Outil Cibles'!R$6='Outil Cibles'!$E$41, VLOOKUP('Background graphEXPL_1.5'!$A31, '1.5°C'!$B$39:$AG$67, 31,FALSE), VLOOKUP('Background graphEXPL_1.5'!$A31, '1.5°C'!$B$39:$AG$67, 32,FALSE))), 0)</f>
        <v>0</v>
      </c>
      <c r="D31" s="23">
        <f>IF(AND($A31-'Outil Cibles'!S$7&lt;=60,$A31-'Outil Cibles'!S$7&gt;=0),IF('Outil Cibles'!S$5='Outil Cibles'!$B$41, IF('Outil Cibles'!S$6='Outil Cibles'!$E$41, VLOOKUP('Background graphEXPL_1.5'!$A31, '1.5°C'!$B$39:$AG$67, 26,FALSE), VLOOKUP('Background graphEXPL_1.5'!$A31, '1.5°C'!$B$39:$AG$67, 27,FALSE)), IF('Outil Cibles'!S$6='Outil Cibles'!$E$41, VLOOKUP('Background graphEXPL_1.5'!$A31, '1.5°C'!$B$39:$AG$67, 31,FALSE), VLOOKUP('Background graphEXPL_1.5'!$A31, '1.5°C'!$B$39:$AG$67, 32,FALSE))), 0)</f>
        <v>0</v>
      </c>
      <c r="E31" s="23">
        <f>IF(AND($A31-'Outil Cibles'!T$7&lt;=60,$A31-'Outil Cibles'!T$7&gt;=0),IF('Outil Cibles'!T$5='Outil Cibles'!$B$41, IF('Outil Cibles'!T$6='Outil Cibles'!$E$41, VLOOKUP('Background graphEXPL_1.5'!$A31, '1.5°C'!$B$39:$AG$67, 26,FALSE), VLOOKUP('Background graphEXPL_1.5'!$A31, '1.5°C'!$B$39:$AG$67, 27,FALSE)), IF('Outil Cibles'!T$6='Outil Cibles'!$E$41, VLOOKUP('Background graphEXPL_1.5'!$A31, '1.5°C'!$B$39:$AG$67, 31,FALSE), VLOOKUP('Background graphEXPL_1.5'!$A31, '1.5°C'!$B$39:$AG$67, 32,FALSE))), 0)</f>
        <v>0</v>
      </c>
      <c r="F31" s="23">
        <f>IF(AND($A31-'Outil Cibles'!U$7&lt;=60,$A31-'Outil Cibles'!U$7&gt;=0),IF('Outil Cibles'!U$5='Outil Cibles'!$B$41, IF('Outil Cibles'!U$6='Outil Cibles'!$E$41, VLOOKUP('Background graphEXPL_1.5'!$A31, '1.5°C'!$B$39:$AG$67, 26,FALSE), VLOOKUP('Background graphEXPL_1.5'!$A31, '1.5°C'!$B$39:$AG$67, 27,FALSE)), IF('Outil Cibles'!U$6='Outil Cibles'!$E$41, VLOOKUP('Background graphEXPL_1.5'!$A31, '1.5°C'!$B$39:$AG$67, 31,FALSE), VLOOKUP('Background graphEXPL_1.5'!$A31, '1.5°C'!$B$39:$AG$67, 32,FALSE))), 0)</f>
        <v>0</v>
      </c>
      <c r="G31" s="23">
        <f>IF(AND($A31-'Outil Cibles'!V$7&lt;=60,$A31-'Outil Cibles'!V$7&gt;=0),IF('Outil Cibles'!V$5='Outil Cibles'!$B$41, IF('Outil Cibles'!V$6='Outil Cibles'!$E$41, VLOOKUP('Background graphEXPL_1.5'!$A31, '1.5°C'!$B$39:$AG$67, 26,FALSE), VLOOKUP('Background graphEXPL_1.5'!$A31, '1.5°C'!$B$39:$AG$67, 27,FALSE)), IF('Outil Cibles'!V$6='Outil Cibles'!$E$41, VLOOKUP('Background graphEXPL_1.5'!$A31, '1.5°C'!$B$39:$AG$67, 31,FALSE), VLOOKUP('Background graphEXPL_1.5'!$A31, '1.5°C'!$B$39:$AG$67, 32,FALSE))), 0)</f>
        <v>0</v>
      </c>
      <c r="H31" s="23">
        <f>IF(AND($A31-'Outil Cibles'!W$7&lt;=60,$A31-'Outil Cibles'!W$7&gt;=0),IF('Outil Cibles'!W$5='Outil Cibles'!$B$41, IF('Outil Cibles'!W$6='Outil Cibles'!$E$41, VLOOKUP('Background graphEXPL_1.5'!$A31, '1.5°C'!$B$39:$AG$67, 26,FALSE), VLOOKUP('Background graphEXPL_1.5'!$A31, '1.5°C'!$B$39:$AG$67, 27,FALSE)), IF('Outil Cibles'!W$6='Outil Cibles'!$E$41, VLOOKUP('Background graphEXPL_1.5'!$A31, '1.5°C'!$B$39:$AG$67, 31,FALSE), VLOOKUP('Background graphEXPL_1.5'!$A31, '1.5°C'!$B$39:$AG$67, 32,FALSE))), 0)</f>
        <v>0</v>
      </c>
      <c r="I31" s="23">
        <f>IF(AND($A31-'Outil Cibles'!X$7&lt;=60,$A31-'Outil Cibles'!X$7&gt;=0),IF('Outil Cibles'!X$5='Outil Cibles'!$B$41, IF('Outil Cibles'!X$6='Outil Cibles'!$E$41, VLOOKUP('Background graphEXPL_1.5'!$A31, '1.5°C'!$B$39:$AG$67, 26,FALSE), VLOOKUP('Background graphEXPL_1.5'!$A31, '1.5°C'!$B$39:$AG$67, 27,FALSE)), IF('Outil Cibles'!X$6='Outil Cibles'!$E$41, VLOOKUP('Background graphEXPL_1.5'!$A31, '1.5°C'!$B$39:$AG$67, 31,FALSE), VLOOKUP('Background graphEXPL_1.5'!$A31, '1.5°C'!$B$39:$AG$67, 32,FALSE))), 0)</f>
        <v>0</v>
      </c>
      <c r="J31" s="23">
        <f>IF(AND($A31-'Outil Cibles'!Y$7&lt;=60,$A31-'Outil Cibles'!Y$7&gt;=0),IF('Outil Cibles'!Y$5='Outil Cibles'!$B$41, IF('Outil Cibles'!Y$6='Outil Cibles'!$E$41, VLOOKUP('Background graphEXPL_1.5'!$A31, '1.5°C'!$B$39:$AG$67, 26,FALSE), VLOOKUP('Background graphEXPL_1.5'!$A31, '1.5°C'!$B$39:$AG$67, 27,FALSE)), IF('Outil Cibles'!Y$6='Outil Cibles'!$E$41, VLOOKUP('Background graphEXPL_1.5'!$A31, '1.5°C'!$B$39:$AG$67, 31,FALSE), VLOOKUP('Background graphEXPL_1.5'!$A31, '1.5°C'!$B$39:$AG$67, 32,FALSE))), 0)</f>
        <v>0</v>
      </c>
      <c r="K31" s="23">
        <f>IF(AND($A31-'Outil Cibles'!Z$7&lt;=60,$A31-'Outil Cibles'!Z$7&gt;=0),IF('Outil Cibles'!Z$5='Outil Cibles'!$B$41, IF('Outil Cibles'!Z$6='Outil Cibles'!$E$41, VLOOKUP('Background graphEXPL_1.5'!$A31, '1.5°C'!$B$39:$AG$67, 26,FALSE), VLOOKUP('Background graphEXPL_1.5'!$A31, '1.5°C'!$B$39:$AG$67, 27,FALSE)), IF('Outil Cibles'!Z$6='Outil Cibles'!$E$41, VLOOKUP('Background graphEXPL_1.5'!$A31, '1.5°C'!$B$39:$AG$67, 31,FALSE), VLOOKUP('Background graphEXPL_1.5'!$A31, '1.5°C'!$B$39:$AG$67, 32,FALSE))), 0)</f>
        <v>0</v>
      </c>
      <c r="L31" s="23">
        <f t="shared" si="0"/>
        <v>0</v>
      </c>
      <c r="N31">
        <v>2049</v>
      </c>
      <c r="O31">
        <f>B31*'Outil Cibles'!Q$8</f>
        <v>0</v>
      </c>
      <c r="P31">
        <f>C31*'Outil Cibles'!R$8</f>
        <v>0</v>
      </c>
      <c r="Q31">
        <f>D31*'Outil Cibles'!S$8</f>
        <v>0</v>
      </c>
      <c r="R31">
        <f>E31*'Outil Cibles'!T$8</f>
        <v>0</v>
      </c>
      <c r="S31">
        <f>F31*'Outil Cibles'!U$8</f>
        <v>0</v>
      </c>
      <c r="T31">
        <f>G31*'Outil Cibles'!V$8</f>
        <v>0</v>
      </c>
      <c r="U31">
        <f>H31*'Outil Cibles'!W$8</f>
        <v>0</v>
      </c>
      <c r="V31">
        <f>I31*'Outil Cibles'!X$8</f>
        <v>0</v>
      </c>
      <c r="W31">
        <f>J31*'Outil Cibles'!Y$8</f>
        <v>0</v>
      </c>
      <c r="X31">
        <f>K31*'Outil Cibles'!Z$8</f>
        <v>0</v>
      </c>
      <c r="Y31">
        <f t="shared" si="1"/>
        <v>0</v>
      </c>
    </row>
    <row r="32" spans="1:25" x14ac:dyDescent="0.3">
      <c r="A32" s="10">
        <v>2050</v>
      </c>
      <c r="B32" s="23">
        <f>IF(AND($A32-'Outil Cibles'!Q$7&lt;=60,$A32-'Outil Cibles'!Q$7&gt;=0),IF('Outil Cibles'!Q$5='Outil Cibles'!$B$41, IF('Outil Cibles'!Q$6='Outil Cibles'!$E$41, VLOOKUP('Background graphEXPL_1.5'!$A32, '1.5°C'!$B$39:$AG$67, 26,FALSE), VLOOKUP('Background graphEXPL_1.5'!$A32, '1.5°C'!$B$39:$AG$67, 27,FALSE)), IF('Outil Cibles'!Q$6='Outil Cibles'!$E$41, VLOOKUP('Background graphEXPL_1.5'!$A32, '1.5°C'!$B$39:$AG$67, 31,FALSE), VLOOKUP('Background graphEXPL_1.5'!$A32, '1.5°C'!$B$39:$AG$67, 32,FALSE))), 0)</f>
        <v>0</v>
      </c>
      <c r="C32" s="23">
        <f>IF(AND($A32-'Outil Cibles'!R$7&lt;=60,$A32-'Outil Cibles'!R$7&gt;=0),IF('Outil Cibles'!R$5='Outil Cibles'!$B$41, IF('Outil Cibles'!R$6='Outil Cibles'!$E$41, VLOOKUP('Background graphEXPL_1.5'!$A32, '1.5°C'!$B$39:$AG$67, 26,FALSE), VLOOKUP('Background graphEXPL_1.5'!$A32, '1.5°C'!$B$39:$AG$67, 27,FALSE)), IF('Outil Cibles'!R$6='Outil Cibles'!$E$41, VLOOKUP('Background graphEXPL_1.5'!$A32, '1.5°C'!$B$39:$AG$67, 31,FALSE), VLOOKUP('Background graphEXPL_1.5'!$A32, '1.5°C'!$B$39:$AG$67, 32,FALSE))), 0)</f>
        <v>0</v>
      </c>
      <c r="D32" s="23">
        <f>IF(AND($A32-'Outil Cibles'!S$7&lt;=60,$A32-'Outil Cibles'!S$7&gt;=0),IF('Outil Cibles'!S$5='Outil Cibles'!$B$41, IF('Outil Cibles'!S$6='Outil Cibles'!$E$41, VLOOKUP('Background graphEXPL_1.5'!$A32, '1.5°C'!$B$39:$AG$67, 26,FALSE), VLOOKUP('Background graphEXPL_1.5'!$A32, '1.5°C'!$B$39:$AG$67, 27,FALSE)), IF('Outil Cibles'!S$6='Outil Cibles'!$E$41, VLOOKUP('Background graphEXPL_1.5'!$A32, '1.5°C'!$B$39:$AG$67, 31,FALSE), VLOOKUP('Background graphEXPL_1.5'!$A32, '1.5°C'!$B$39:$AG$67, 32,FALSE))), 0)</f>
        <v>0</v>
      </c>
      <c r="E32" s="23">
        <f>IF(AND($A32-'Outil Cibles'!T$7&lt;=60,$A32-'Outil Cibles'!T$7&gt;=0),IF('Outil Cibles'!T$5='Outil Cibles'!$B$41, IF('Outil Cibles'!T$6='Outil Cibles'!$E$41, VLOOKUP('Background graphEXPL_1.5'!$A32, '1.5°C'!$B$39:$AG$67, 26,FALSE), VLOOKUP('Background graphEXPL_1.5'!$A32, '1.5°C'!$B$39:$AG$67, 27,FALSE)), IF('Outil Cibles'!T$6='Outil Cibles'!$E$41, VLOOKUP('Background graphEXPL_1.5'!$A32, '1.5°C'!$B$39:$AG$67, 31,FALSE), VLOOKUP('Background graphEXPL_1.5'!$A32, '1.5°C'!$B$39:$AG$67, 32,FALSE))), 0)</f>
        <v>0</v>
      </c>
      <c r="F32" s="23">
        <f>IF(AND($A32-'Outil Cibles'!U$7&lt;=60,$A32-'Outil Cibles'!U$7&gt;=0),IF('Outil Cibles'!U$5='Outil Cibles'!$B$41, IF('Outil Cibles'!U$6='Outil Cibles'!$E$41, VLOOKUP('Background graphEXPL_1.5'!$A32, '1.5°C'!$B$39:$AG$67, 26,FALSE), VLOOKUP('Background graphEXPL_1.5'!$A32, '1.5°C'!$B$39:$AG$67, 27,FALSE)), IF('Outil Cibles'!U$6='Outil Cibles'!$E$41, VLOOKUP('Background graphEXPL_1.5'!$A32, '1.5°C'!$B$39:$AG$67, 31,FALSE), VLOOKUP('Background graphEXPL_1.5'!$A32, '1.5°C'!$B$39:$AG$67, 32,FALSE))), 0)</f>
        <v>0</v>
      </c>
      <c r="G32" s="23">
        <f>IF(AND($A32-'Outil Cibles'!V$7&lt;=60,$A32-'Outil Cibles'!V$7&gt;=0),IF('Outil Cibles'!V$5='Outil Cibles'!$B$41, IF('Outil Cibles'!V$6='Outil Cibles'!$E$41, VLOOKUP('Background graphEXPL_1.5'!$A32, '1.5°C'!$B$39:$AG$67, 26,FALSE), VLOOKUP('Background graphEXPL_1.5'!$A32, '1.5°C'!$B$39:$AG$67, 27,FALSE)), IF('Outil Cibles'!V$6='Outil Cibles'!$E$41, VLOOKUP('Background graphEXPL_1.5'!$A32, '1.5°C'!$B$39:$AG$67, 31,FALSE), VLOOKUP('Background graphEXPL_1.5'!$A32, '1.5°C'!$B$39:$AG$67, 32,FALSE))), 0)</f>
        <v>0</v>
      </c>
      <c r="H32" s="23">
        <f>IF(AND($A32-'Outil Cibles'!W$7&lt;=60,$A32-'Outil Cibles'!W$7&gt;=0),IF('Outil Cibles'!W$5='Outil Cibles'!$B$41, IF('Outil Cibles'!W$6='Outil Cibles'!$E$41, VLOOKUP('Background graphEXPL_1.5'!$A32, '1.5°C'!$B$39:$AG$67, 26,FALSE), VLOOKUP('Background graphEXPL_1.5'!$A32, '1.5°C'!$B$39:$AG$67, 27,FALSE)), IF('Outil Cibles'!W$6='Outil Cibles'!$E$41, VLOOKUP('Background graphEXPL_1.5'!$A32, '1.5°C'!$B$39:$AG$67, 31,FALSE), VLOOKUP('Background graphEXPL_1.5'!$A32, '1.5°C'!$B$39:$AG$67, 32,FALSE))), 0)</f>
        <v>0</v>
      </c>
      <c r="I32" s="23">
        <f>IF(AND($A32-'Outil Cibles'!X$7&lt;=60,$A32-'Outil Cibles'!X$7&gt;=0),IF('Outil Cibles'!X$5='Outil Cibles'!$B$41, IF('Outil Cibles'!X$6='Outil Cibles'!$E$41, VLOOKUP('Background graphEXPL_1.5'!$A32, '1.5°C'!$B$39:$AG$67, 26,FALSE), VLOOKUP('Background graphEXPL_1.5'!$A32, '1.5°C'!$B$39:$AG$67, 27,FALSE)), IF('Outil Cibles'!X$6='Outil Cibles'!$E$41, VLOOKUP('Background graphEXPL_1.5'!$A32, '1.5°C'!$B$39:$AG$67, 31,FALSE), VLOOKUP('Background graphEXPL_1.5'!$A32, '1.5°C'!$B$39:$AG$67, 32,FALSE))), 0)</f>
        <v>0</v>
      </c>
      <c r="J32" s="23">
        <f>IF(AND($A32-'Outil Cibles'!Y$7&lt;=60,$A32-'Outil Cibles'!Y$7&gt;=0),IF('Outil Cibles'!Y$5='Outil Cibles'!$B$41, IF('Outil Cibles'!Y$6='Outil Cibles'!$E$41, VLOOKUP('Background graphEXPL_1.5'!$A32, '1.5°C'!$B$39:$AG$67, 26,FALSE), VLOOKUP('Background graphEXPL_1.5'!$A32, '1.5°C'!$B$39:$AG$67, 27,FALSE)), IF('Outil Cibles'!Y$6='Outil Cibles'!$E$41, VLOOKUP('Background graphEXPL_1.5'!$A32, '1.5°C'!$B$39:$AG$67, 31,FALSE), VLOOKUP('Background graphEXPL_1.5'!$A32, '1.5°C'!$B$39:$AG$67, 32,FALSE))), 0)</f>
        <v>0</v>
      </c>
      <c r="K32" s="23">
        <f>IF(AND($A32-'Outil Cibles'!Z$7&lt;=60,$A32-'Outil Cibles'!Z$7&gt;=0),IF('Outil Cibles'!Z$5='Outil Cibles'!$B$41, IF('Outil Cibles'!Z$6='Outil Cibles'!$E$41, VLOOKUP('Background graphEXPL_1.5'!$A32, '1.5°C'!$B$39:$AG$67, 26,FALSE), VLOOKUP('Background graphEXPL_1.5'!$A32, '1.5°C'!$B$39:$AG$67, 27,FALSE)), IF('Outil Cibles'!Z$6='Outil Cibles'!$E$41, VLOOKUP('Background graphEXPL_1.5'!$A32, '1.5°C'!$B$39:$AG$67, 31,FALSE), VLOOKUP('Background graphEXPL_1.5'!$A32, '1.5°C'!$B$39:$AG$67, 32,FALSE))), 0)</f>
        <v>0</v>
      </c>
      <c r="L32" s="23">
        <f t="shared" si="0"/>
        <v>0</v>
      </c>
      <c r="N32" s="10">
        <v>2050</v>
      </c>
      <c r="O32">
        <f>B32*'Outil Cibles'!Q$8</f>
        <v>0</v>
      </c>
      <c r="P32">
        <f>C32*'Outil Cibles'!R$8</f>
        <v>0</v>
      </c>
      <c r="Q32">
        <f>D32*'Outil Cibles'!S$8</f>
        <v>0</v>
      </c>
      <c r="R32">
        <f>E32*'Outil Cibles'!T$8</f>
        <v>0</v>
      </c>
      <c r="S32">
        <f>F32*'Outil Cibles'!U$8</f>
        <v>0</v>
      </c>
      <c r="T32">
        <f>G32*'Outil Cibles'!V$8</f>
        <v>0</v>
      </c>
      <c r="U32">
        <f>H32*'Outil Cibles'!W$8</f>
        <v>0</v>
      </c>
      <c r="V32">
        <f>I32*'Outil Cibles'!X$8</f>
        <v>0</v>
      </c>
      <c r="W32">
        <f>J32*'Outil Cibles'!Y$8</f>
        <v>0</v>
      </c>
      <c r="X32">
        <f>K32*'Outil Cibles'!Z$8</f>
        <v>0</v>
      </c>
      <c r="Y32">
        <f t="shared" si="1"/>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FD5C6-830C-4C45-A62D-3FDA274727F0}">
  <dimension ref="A1:AC82"/>
  <sheetViews>
    <sheetView topLeftCell="L1" workbookViewId="0">
      <selection activeCell="AB4" sqref="AB4"/>
    </sheetView>
  </sheetViews>
  <sheetFormatPr baseColWidth="10" defaultColWidth="11.44140625" defaultRowHeight="14.4" x14ac:dyDescent="0.3"/>
  <sheetData>
    <row r="1" spans="1:29" x14ac:dyDescent="0.3">
      <c r="A1" t="s">
        <v>44</v>
      </c>
      <c r="B1" t="s">
        <v>37</v>
      </c>
      <c r="J1" t="s">
        <v>37</v>
      </c>
      <c r="N1" t="s">
        <v>45</v>
      </c>
    </row>
    <row r="2" spans="1:29" x14ac:dyDescent="0.3">
      <c r="B2">
        <v>1</v>
      </c>
      <c r="C2">
        <v>2</v>
      </c>
      <c r="D2">
        <v>3</v>
      </c>
      <c r="E2">
        <v>4</v>
      </c>
      <c r="F2">
        <v>5</v>
      </c>
      <c r="G2">
        <v>6</v>
      </c>
      <c r="H2">
        <v>7</v>
      </c>
      <c r="I2">
        <v>8</v>
      </c>
      <c r="J2">
        <v>9</v>
      </c>
      <c r="K2">
        <v>10</v>
      </c>
      <c r="L2" t="s">
        <v>39</v>
      </c>
      <c r="M2" t="s">
        <v>46</v>
      </c>
      <c r="N2">
        <v>1</v>
      </c>
      <c r="O2">
        <v>2</v>
      </c>
      <c r="P2">
        <v>3</v>
      </c>
      <c r="Q2">
        <v>4</v>
      </c>
      <c r="R2">
        <v>5</v>
      </c>
      <c r="S2">
        <v>6</v>
      </c>
      <c r="T2">
        <v>7</v>
      </c>
      <c r="U2">
        <v>8</v>
      </c>
      <c r="V2">
        <v>9</v>
      </c>
      <c r="W2">
        <v>10</v>
      </c>
      <c r="X2" t="s">
        <v>47</v>
      </c>
      <c r="Y2" t="s">
        <v>48</v>
      </c>
      <c r="AA2" t="s">
        <v>49</v>
      </c>
    </row>
    <row r="3" spans="1:29" x14ac:dyDescent="0.3">
      <c r="A3" t="s">
        <v>40</v>
      </c>
    </row>
    <row r="4" spans="1:29" x14ac:dyDescent="0.3">
      <c r="A4">
        <v>2022</v>
      </c>
      <c r="B4">
        <f>'Background graphCON'!B5+'Background graphEXPL_CH'!O5</f>
        <v>0</v>
      </c>
      <c r="C4">
        <f>'Background graphCON'!C5+'Background graphEXPL_CH'!P5</f>
        <v>0</v>
      </c>
      <c r="D4">
        <f>'Background graphCON'!D5+'Background graphEXPL_CH'!Q5</f>
        <v>0</v>
      </c>
      <c r="E4">
        <f>'Background graphCON'!E5+'Background graphEXPL_CH'!R5</f>
        <v>0</v>
      </c>
      <c r="F4">
        <f>'Background graphCON'!F5+'Background graphEXPL_CH'!S5</f>
        <v>0</v>
      </c>
      <c r="G4">
        <f>'Background graphCON'!G5+'Background graphEXPL_CH'!T5</f>
        <v>0</v>
      </c>
      <c r="H4">
        <f>'Background graphCON'!H5+'Background graphEXPL_CH'!U5</f>
        <v>0</v>
      </c>
      <c r="I4">
        <f>'Background graphCON'!I5+'Background graphEXPL_CH'!V5</f>
        <v>0</v>
      </c>
      <c r="J4">
        <f>'Background graphCON'!J5+'Background graphEXPL_CH'!W5</f>
        <v>0</v>
      </c>
      <c r="K4">
        <f>'Background graphCON'!K5+'Background graphEXPL_CH'!X5</f>
        <v>0</v>
      </c>
      <c r="L4">
        <f>SUM(B4:K4)</f>
        <v>0</v>
      </c>
      <c r="M4">
        <f>M3+(L4/60)</f>
        <v>0</v>
      </c>
      <c r="N4">
        <f>IF(A4='Outil Cibles'!$D$7, 'Outil Cibles'!$D$8, 0)</f>
        <v>0</v>
      </c>
      <c r="O4">
        <f>IF(A4='Outil Cibles'!$E$7, 'Outil Cibles'!$E$8, 0)</f>
        <v>0</v>
      </c>
      <c r="P4">
        <f>IF(A4='Outil Cibles'!$F$7, 'Outil Cibles'!$F$8, 0)</f>
        <v>0</v>
      </c>
      <c r="Q4">
        <f>IF(A4='Outil Cibles'!$G$7, 'Outil Cibles'!$G$8, 0)</f>
        <v>0</v>
      </c>
      <c r="R4">
        <f>IF(A4='Outil Cibles'!$H$7, 'Outil Cibles'!$H$8, 0)</f>
        <v>0</v>
      </c>
      <c r="S4">
        <f>IF(A4='Outil Cibles'!$I$7, 'Outil Cibles'!$I$8, 0)</f>
        <v>0</v>
      </c>
      <c r="T4">
        <f>IF(A4='Outil Cibles'!$J$7, 'Outil Cibles'!$J$8, 0)</f>
        <v>0</v>
      </c>
      <c r="U4">
        <f>IF(A4='Outil Cibles'!$K$7, 'Outil Cibles'!$K$8, 0)</f>
        <v>0</v>
      </c>
      <c r="V4">
        <f>IF(A4='Outil Cibles'!$L$7, 'Outil Cibles'!$L$8, 0)</f>
        <v>0</v>
      </c>
      <c r="W4">
        <f>IF(A4='Outil Cibles'!$M$7, 'Outil Cibles'!$M$8, 0)</f>
        <v>0</v>
      </c>
      <c r="X4">
        <f>SUM(N4:W4)</f>
        <v>0</v>
      </c>
      <c r="Y4">
        <f>Y3+X4</f>
        <v>0</v>
      </c>
      <c r="AA4" t="e">
        <f>M4/Y4</f>
        <v>#DIV/0!</v>
      </c>
      <c r="AB4" s="23">
        <f>'Background graphCON'!L88+'Background graphEXPL_CH'!Y5</f>
        <v>0</v>
      </c>
      <c r="AC4" t="e">
        <f>AB4/Y4</f>
        <v>#DIV/0!</v>
      </c>
    </row>
    <row r="5" spans="1:29" x14ac:dyDescent="0.3">
      <c r="A5">
        <v>2023</v>
      </c>
      <c r="B5">
        <f>'Background graphCON'!B6+'Background graphEXPL_CH'!O6</f>
        <v>0</v>
      </c>
      <c r="C5">
        <f>'Background graphCON'!C6+'Background graphEXPL_CH'!P6</f>
        <v>0</v>
      </c>
      <c r="D5">
        <f>'Background graphCON'!D6+'Background graphEXPL_CH'!Q6</f>
        <v>0</v>
      </c>
      <c r="E5">
        <f>'Background graphCON'!E6+'Background graphEXPL_CH'!R6</f>
        <v>0</v>
      </c>
      <c r="F5">
        <f>'Background graphCON'!F6+'Background graphEXPL_CH'!S6</f>
        <v>0</v>
      </c>
      <c r="G5">
        <f>'Background graphCON'!G6+'Background graphEXPL_CH'!T6</f>
        <v>0</v>
      </c>
      <c r="H5">
        <f>'Background graphCON'!H6+'Background graphEXPL_CH'!U6</f>
        <v>0</v>
      </c>
      <c r="I5">
        <f>'Background graphCON'!I6+'Background graphEXPL_CH'!V6</f>
        <v>0</v>
      </c>
      <c r="J5">
        <f>'Background graphCON'!J6+'Background graphEXPL_CH'!W6</f>
        <v>0</v>
      </c>
      <c r="K5">
        <f>'Background graphCON'!K6+'Background graphEXPL_CH'!X6</f>
        <v>0</v>
      </c>
      <c r="L5">
        <f t="shared" ref="L5:L68" si="0">SUM(B5:K5)</f>
        <v>0</v>
      </c>
      <c r="M5">
        <f t="shared" ref="M5:M68" si="1">M4+(L5/60)</f>
        <v>0</v>
      </c>
      <c r="N5">
        <f>IF(A5='Outil Cibles'!$D$7, 'Outil Cibles'!$D$8, 0)</f>
        <v>0</v>
      </c>
      <c r="O5">
        <f>IF(A5='Outil Cibles'!$E$7, 'Outil Cibles'!$E$8, 0)</f>
        <v>0</v>
      </c>
      <c r="P5">
        <f>IF(A5='Outil Cibles'!$F$7, 'Outil Cibles'!$F$8, 0)</f>
        <v>0</v>
      </c>
      <c r="Q5">
        <f>IF(A5='Outil Cibles'!$G$7, 'Outil Cibles'!$G$8, 0)</f>
        <v>0</v>
      </c>
      <c r="R5">
        <f>IF(A5='Outil Cibles'!$H$7, 'Outil Cibles'!$H$8, 0)</f>
        <v>0</v>
      </c>
      <c r="S5">
        <f>IF(A5='Outil Cibles'!$I$7, 'Outil Cibles'!$I$8, 0)</f>
        <v>0</v>
      </c>
      <c r="T5">
        <f>IF(A5='Outil Cibles'!$J$7, 'Outil Cibles'!$J$8, 0)</f>
        <v>0</v>
      </c>
      <c r="U5">
        <f>IF(A5='Outil Cibles'!$K$7, 'Outil Cibles'!$K$8, 0)</f>
        <v>0</v>
      </c>
      <c r="V5">
        <f>IF(A5='Outil Cibles'!$L$7, 'Outil Cibles'!$L$8, 0)</f>
        <v>0</v>
      </c>
      <c r="W5">
        <f>IF(A5='Outil Cibles'!$M$7, 'Outil Cibles'!$M$8, 0)</f>
        <v>0</v>
      </c>
      <c r="X5">
        <f t="shared" ref="X5:X32" si="2">SUM(N5:W5)</f>
        <v>0</v>
      </c>
      <c r="Y5">
        <f t="shared" ref="Y5:Y12" si="3">Y4+X5</f>
        <v>0</v>
      </c>
      <c r="AA5" t="e">
        <f t="shared" ref="AA5:AA31" si="4">M5/Y5</f>
        <v>#DIV/0!</v>
      </c>
      <c r="AB5" s="23">
        <f>'Background graphCON'!L89+'Background graphEXPL_CH'!Y6</f>
        <v>0</v>
      </c>
      <c r="AC5" t="e">
        <f t="shared" ref="AC5:AC68" si="5">AB5/Y5</f>
        <v>#DIV/0!</v>
      </c>
    </row>
    <row r="6" spans="1:29" x14ac:dyDescent="0.3">
      <c r="A6">
        <v>2024</v>
      </c>
      <c r="B6">
        <f>'Background graphCON'!B7+'Background graphEXPL_CH'!O7</f>
        <v>481547.62829170714</v>
      </c>
      <c r="C6">
        <f>'Background graphCON'!C7+'Background graphEXPL_CH'!P7</f>
        <v>0</v>
      </c>
      <c r="D6">
        <f>'Background graphCON'!D7+'Background graphEXPL_CH'!Q7</f>
        <v>0</v>
      </c>
      <c r="E6">
        <f>'Background graphCON'!E7+'Background graphEXPL_CH'!R7</f>
        <v>0</v>
      </c>
      <c r="F6">
        <f>'Background graphCON'!F7+'Background graphEXPL_CH'!S7</f>
        <v>0</v>
      </c>
      <c r="G6">
        <f>'Background graphCON'!G7+'Background graphEXPL_CH'!T7</f>
        <v>0</v>
      </c>
      <c r="H6">
        <f>'Background graphCON'!H7+'Background graphEXPL_CH'!U7</f>
        <v>0</v>
      </c>
      <c r="I6">
        <f>'Background graphCON'!I7+'Background graphEXPL_CH'!V7</f>
        <v>0</v>
      </c>
      <c r="J6">
        <f>'Background graphCON'!J7+'Background graphEXPL_CH'!W7</f>
        <v>0</v>
      </c>
      <c r="K6">
        <f>'Background graphCON'!K7+'Background graphEXPL_CH'!X7</f>
        <v>0</v>
      </c>
      <c r="L6">
        <f t="shared" si="0"/>
        <v>481547.62829170714</v>
      </c>
      <c r="M6">
        <f t="shared" si="1"/>
        <v>8025.7938048617852</v>
      </c>
      <c r="N6">
        <f>IF(A6='Outil Cibles'!$D$7, 'Outil Cibles'!$D$8, 0)</f>
        <v>1000</v>
      </c>
      <c r="O6">
        <f>IF(A6='Outil Cibles'!$E$7, 'Outil Cibles'!$E$8, 0)</f>
        <v>0</v>
      </c>
      <c r="P6">
        <f>IF(A6='Outil Cibles'!$F$7, 'Outil Cibles'!$F$8, 0)</f>
        <v>0</v>
      </c>
      <c r="Q6">
        <f>IF(A6='Outil Cibles'!$G$7, 'Outil Cibles'!$G$8, 0)</f>
        <v>0</v>
      </c>
      <c r="R6">
        <f>IF(A6='Outil Cibles'!$H$7, 'Outil Cibles'!$H$8, 0)</f>
        <v>0</v>
      </c>
      <c r="S6">
        <f>IF(A6='Outil Cibles'!$I$7, 'Outil Cibles'!$I$8, 0)</f>
        <v>0</v>
      </c>
      <c r="T6">
        <f>IF(A6='Outil Cibles'!$J$7, 'Outil Cibles'!$J$8, 0)</f>
        <v>0</v>
      </c>
      <c r="U6">
        <f>IF(A6='Outil Cibles'!$K$7, 'Outil Cibles'!$K$8, 0)</f>
        <v>0</v>
      </c>
      <c r="V6">
        <f>IF(A6='Outil Cibles'!$L$7, 'Outil Cibles'!$L$8, 0)</f>
        <v>0</v>
      </c>
      <c r="W6">
        <f>IF(A6='Outil Cibles'!$M$7, 'Outil Cibles'!$M$8, 0)</f>
        <v>0</v>
      </c>
      <c r="X6">
        <f t="shared" si="2"/>
        <v>1000</v>
      </c>
      <c r="Y6">
        <f t="shared" si="3"/>
        <v>1000</v>
      </c>
      <c r="AA6">
        <f t="shared" si="4"/>
        <v>8.0257938048617845</v>
      </c>
      <c r="AB6" s="23">
        <f>'Background graphCON'!L90+'Background graphEXPL_CH'!Y7</f>
        <v>11196.248542436899</v>
      </c>
      <c r="AC6">
        <f t="shared" si="5"/>
        <v>11.1962485424369</v>
      </c>
    </row>
    <row r="7" spans="1:29" x14ac:dyDescent="0.3">
      <c r="A7" s="10">
        <v>2025</v>
      </c>
      <c r="B7">
        <f>'Background graphCON'!B8+'Background graphEXPL_CH'!O8</f>
        <v>2585.5157380365981</v>
      </c>
      <c r="C7">
        <f>'Background graphCON'!C8+'Background graphEXPL_CH'!P8</f>
        <v>0</v>
      </c>
      <c r="D7">
        <f>'Background graphCON'!D8+'Background graphEXPL_CH'!Q8</f>
        <v>0</v>
      </c>
      <c r="E7">
        <f>'Background graphCON'!E8+'Background graphEXPL_CH'!R8</f>
        <v>0</v>
      </c>
      <c r="F7">
        <f>'Background graphCON'!F8+'Background graphEXPL_CH'!S8</f>
        <v>0</v>
      </c>
      <c r="G7">
        <f>'Background graphCON'!G8+'Background graphEXPL_CH'!T8</f>
        <v>0</v>
      </c>
      <c r="H7">
        <f>'Background graphCON'!H8+'Background graphEXPL_CH'!U8</f>
        <v>0</v>
      </c>
      <c r="I7">
        <f>'Background graphCON'!I8+'Background graphEXPL_CH'!V8</f>
        <v>0</v>
      </c>
      <c r="J7">
        <f>'Background graphCON'!J8+'Background graphEXPL_CH'!W8</f>
        <v>0</v>
      </c>
      <c r="K7">
        <f>'Background graphCON'!K8+'Background graphEXPL_CH'!X8</f>
        <v>0</v>
      </c>
      <c r="L7">
        <f t="shared" si="0"/>
        <v>2585.5157380365981</v>
      </c>
      <c r="M7">
        <f t="shared" si="1"/>
        <v>8068.8857338290618</v>
      </c>
      <c r="N7">
        <f>IF(A7='Outil Cibles'!$D$7, 'Outil Cibles'!$D$8, 0)</f>
        <v>0</v>
      </c>
      <c r="O7">
        <f>IF(A7='Outil Cibles'!$E$7, 'Outil Cibles'!$E$8, 0)</f>
        <v>0</v>
      </c>
      <c r="P7">
        <f>IF(A7='Outil Cibles'!$F$7, 'Outil Cibles'!$F$8, 0)</f>
        <v>0</v>
      </c>
      <c r="Q7">
        <f>IF(A7='Outil Cibles'!$G$7, 'Outil Cibles'!$G$8, 0)</f>
        <v>0</v>
      </c>
      <c r="R7">
        <f>IF(A7='Outil Cibles'!$H$7, 'Outil Cibles'!$H$8, 0)</f>
        <v>0</v>
      </c>
      <c r="S7">
        <f>IF(A7='Outil Cibles'!$I$7, 'Outil Cibles'!$I$8, 0)</f>
        <v>0</v>
      </c>
      <c r="T7">
        <f>IF(A7='Outil Cibles'!$J$7, 'Outil Cibles'!$J$8, 0)</f>
        <v>0</v>
      </c>
      <c r="U7">
        <f>IF(A7='Outil Cibles'!$K$7, 'Outil Cibles'!$K$8, 0)</f>
        <v>0</v>
      </c>
      <c r="V7">
        <f>IF(A7='Outil Cibles'!$L$7, 'Outil Cibles'!$L$8, 0)</f>
        <v>0</v>
      </c>
      <c r="W7">
        <f>IF(A7='Outil Cibles'!$M$7, 'Outil Cibles'!$M$8, 0)</f>
        <v>0</v>
      </c>
      <c r="X7">
        <f t="shared" si="2"/>
        <v>0</v>
      </c>
      <c r="Y7">
        <f t="shared" si="3"/>
        <v>1000</v>
      </c>
      <c r="AA7">
        <f t="shared" si="4"/>
        <v>8.0688857338290614</v>
      </c>
      <c r="AB7" s="23">
        <f>'Background graphCON'!L91+'Background graphEXPL_CH'!Y8</f>
        <v>11196.248542436899</v>
      </c>
      <c r="AC7">
        <f t="shared" si="5"/>
        <v>11.1962485424369</v>
      </c>
    </row>
    <row r="8" spans="1:29" x14ac:dyDescent="0.3">
      <c r="A8">
        <v>2026</v>
      </c>
      <c r="B8">
        <f>'Background graphCON'!B9+'Background graphEXPL_CH'!O9</f>
        <v>2585.5157380365981</v>
      </c>
      <c r="C8">
        <f>'Background graphCON'!C9+'Background graphEXPL_CH'!P9</f>
        <v>430451.58061379311</v>
      </c>
      <c r="D8">
        <f>'Background graphCON'!D9+'Background graphEXPL_CH'!Q9</f>
        <v>0</v>
      </c>
      <c r="E8">
        <f>'Background graphCON'!E9+'Background graphEXPL_CH'!R9</f>
        <v>0</v>
      </c>
      <c r="F8">
        <f>'Background graphCON'!F9+'Background graphEXPL_CH'!S9</f>
        <v>0</v>
      </c>
      <c r="G8">
        <f>'Background graphCON'!G9+'Background graphEXPL_CH'!T9</f>
        <v>0</v>
      </c>
      <c r="H8">
        <f>'Background graphCON'!H9+'Background graphEXPL_CH'!U9</f>
        <v>0</v>
      </c>
      <c r="I8">
        <f>'Background graphCON'!I9+'Background graphEXPL_CH'!V9</f>
        <v>0</v>
      </c>
      <c r="J8">
        <f>'Background graphCON'!J9+'Background graphEXPL_CH'!W9</f>
        <v>0</v>
      </c>
      <c r="K8">
        <f>'Background graphCON'!K9+'Background graphEXPL_CH'!X9</f>
        <v>0</v>
      </c>
      <c r="L8">
        <f t="shared" si="0"/>
        <v>433037.09635182971</v>
      </c>
      <c r="M8">
        <f t="shared" si="1"/>
        <v>15286.170673026223</v>
      </c>
      <c r="N8">
        <f>IF(A8='Outil Cibles'!$D$7, 'Outil Cibles'!$D$8, 0)</f>
        <v>0</v>
      </c>
      <c r="O8">
        <f>IF(A8='Outil Cibles'!$E$7, 'Outil Cibles'!$E$8, 0)</f>
        <v>1000</v>
      </c>
      <c r="P8">
        <f>IF(A8='Outil Cibles'!$F$7, 'Outil Cibles'!$F$8, 0)</f>
        <v>0</v>
      </c>
      <c r="Q8">
        <f>IF(A8='Outil Cibles'!$G$7, 'Outil Cibles'!$G$8, 0)</f>
        <v>0</v>
      </c>
      <c r="R8">
        <f>IF(A8='Outil Cibles'!$H$7, 'Outil Cibles'!$H$8, 0)</f>
        <v>0</v>
      </c>
      <c r="S8">
        <f>IF(A8='Outil Cibles'!$I$7, 'Outil Cibles'!$I$8, 0)</f>
        <v>0</v>
      </c>
      <c r="T8">
        <f>IF(A8='Outil Cibles'!$J$7, 'Outil Cibles'!$J$8, 0)</f>
        <v>0</v>
      </c>
      <c r="U8">
        <f>IF(A8='Outil Cibles'!$K$7, 'Outil Cibles'!$K$8, 0)</f>
        <v>0</v>
      </c>
      <c r="V8">
        <f>IF(A8='Outil Cibles'!$L$7, 'Outil Cibles'!$L$8, 0)</f>
        <v>0</v>
      </c>
      <c r="W8">
        <f>IF(A8='Outil Cibles'!$M$7, 'Outil Cibles'!$M$8, 0)</f>
        <v>0</v>
      </c>
      <c r="X8">
        <f t="shared" si="2"/>
        <v>1000</v>
      </c>
      <c r="Y8">
        <f t="shared" si="3"/>
        <v>2000</v>
      </c>
      <c r="AA8">
        <f t="shared" si="4"/>
        <v>7.6430853365131117</v>
      </c>
      <c r="AB8" s="23">
        <f>'Background graphCON'!L92+'Background graphEXPL_CH'!Y9</f>
        <v>25746.913819644869</v>
      </c>
      <c r="AC8">
        <f t="shared" si="5"/>
        <v>12.873456909822435</v>
      </c>
    </row>
    <row r="9" spans="1:29" x14ac:dyDescent="0.3">
      <c r="A9">
        <v>2027</v>
      </c>
      <c r="B9">
        <f>'Background graphCON'!B10+'Background graphEXPL_CH'!O10</f>
        <v>2585.5157380365981</v>
      </c>
      <c r="C9">
        <f>'Background graphCON'!C10+'Background graphEXPL_CH'!P10</f>
        <v>6962.6722623861624</v>
      </c>
      <c r="D9">
        <f>'Background graphCON'!D10+'Background graphEXPL_CH'!Q10</f>
        <v>0</v>
      </c>
      <c r="E9">
        <f>'Background graphCON'!E10+'Background graphEXPL_CH'!R10</f>
        <v>0</v>
      </c>
      <c r="F9">
        <f>'Background graphCON'!F10+'Background graphEXPL_CH'!S10</f>
        <v>0</v>
      </c>
      <c r="G9">
        <f>'Background graphCON'!G10+'Background graphEXPL_CH'!T10</f>
        <v>0</v>
      </c>
      <c r="H9">
        <f>'Background graphCON'!H10+'Background graphEXPL_CH'!U10</f>
        <v>0</v>
      </c>
      <c r="I9">
        <f>'Background graphCON'!I10+'Background graphEXPL_CH'!V10</f>
        <v>0</v>
      </c>
      <c r="J9">
        <f>'Background graphCON'!J10+'Background graphEXPL_CH'!W10</f>
        <v>0</v>
      </c>
      <c r="K9">
        <f>'Background graphCON'!K10+'Background graphEXPL_CH'!X10</f>
        <v>0</v>
      </c>
      <c r="L9">
        <f t="shared" si="0"/>
        <v>9548.1880004227605</v>
      </c>
      <c r="M9">
        <f t="shared" si="1"/>
        <v>15445.307139699937</v>
      </c>
      <c r="N9">
        <f>IF(A9='Outil Cibles'!$D$7, 'Outil Cibles'!$D$8, 0)</f>
        <v>0</v>
      </c>
      <c r="O9">
        <f>IF(A9='Outil Cibles'!$E$7, 'Outil Cibles'!$E$8, 0)</f>
        <v>0</v>
      </c>
      <c r="P9">
        <f>IF(A9='Outil Cibles'!$F$7, 'Outil Cibles'!$F$8, 0)</f>
        <v>0</v>
      </c>
      <c r="Q9">
        <f>IF(A9='Outil Cibles'!$G$7, 'Outil Cibles'!$G$8, 0)</f>
        <v>0</v>
      </c>
      <c r="R9">
        <f>IF(A9='Outil Cibles'!$H$7, 'Outil Cibles'!$H$8, 0)</f>
        <v>0</v>
      </c>
      <c r="S9">
        <f>IF(A9='Outil Cibles'!$I$7, 'Outil Cibles'!$I$8, 0)</f>
        <v>0</v>
      </c>
      <c r="T9">
        <f>IF(A9='Outil Cibles'!$J$7, 'Outil Cibles'!$J$8, 0)</f>
        <v>0</v>
      </c>
      <c r="U9">
        <f>IF(A9='Outil Cibles'!$K$7, 'Outil Cibles'!$K$8, 0)</f>
        <v>0</v>
      </c>
      <c r="V9">
        <f>IF(A9='Outil Cibles'!$L$7, 'Outil Cibles'!$L$8, 0)</f>
        <v>0</v>
      </c>
      <c r="W9">
        <f>IF(A9='Outil Cibles'!$M$7, 'Outil Cibles'!$M$8, 0)</f>
        <v>0</v>
      </c>
      <c r="X9">
        <f t="shared" si="2"/>
        <v>0</v>
      </c>
      <c r="Y9">
        <f t="shared" si="3"/>
        <v>2000</v>
      </c>
      <c r="AA9">
        <f t="shared" si="4"/>
        <v>7.7226535698499683</v>
      </c>
      <c r="AB9" s="23">
        <f>'Background graphCON'!L93+'Background graphEXPL_CH'!Y10</f>
        <v>25746.913819644869</v>
      </c>
      <c r="AC9">
        <f t="shared" si="5"/>
        <v>12.873456909822435</v>
      </c>
    </row>
    <row r="10" spans="1:29" x14ac:dyDescent="0.3">
      <c r="A10">
        <v>2028</v>
      </c>
      <c r="B10">
        <f>'Background graphCON'!B11+'Background graphEXPL_CH'!O11</f>
        <v>2585.5157380365981</v>
      </c>
      <c r="C10">
        <f>'Background graphCON'!C11+'Background graphEXPL_CH'!P11</f>
        <v>6962.6722623861624</v>
      </c>
      <c r="D10">
        <f>'Background graphCON'!D11+'Background graphEXPL_CH'!Q11</f>
        <v>0</v>
      </c>
      <c r="E10">
        <f>'Background graphCON'!E11+'Background graphEXPL_CH'!R11</f>
        <v>0</v>
      </c>
      <c r="F10">
        <f>'Background graphCON'!F11+'Background graphEXPL_CH'!S11</f>
        <v>0</v>
      </c>
      <c r="G10">
        <f>'Background graphCON'!G11+'Background graphEXPL_CH'!T11</f>
        <v>0</v>
      </c>
      <c r="H10">
        <f>'Background graphCON'!H11+'Background graphEXPL_CH'!U11</f>
        <v>0</v>
      </c>
      <c r="I10">
        <f>'Background graphCON'!I11+'Background graphEXPL_CH'!V11</f>
        <v>0</v>
      </c>
      <c r="J10">
        <f>'Background graphCON'!J11+'Background graphEXPL_CH'!W11</f>
        <v>0</v>
      </c>
      <c r="K10">
        <f>'Background graphCON'!K11+'Background graphEXPL_CH'!X11</f>
        <v>0</v>
      </c>
      <c r="L10">
        <f t="shared" si="0"/>
        <v>9548.1880004227605</v>
      </c>
      <c r="M10">
        <f t="shared" si="1"/>
        <v>15604.44360637365</v>
      </c>
      <c r="N10">
        <f>IF(A10='Outil Cibles'!$D$7, 'Outil Cibles'!$D$8, 0)</f>
        <v>0</v>
      </c>
      <c r="O10">
        <f>IF(A10='Outil Cibles'!$E$7, 'Outil Cibles'!$E$8, 0)</f>
        <v>0</v>
      </c>
      <c r="P10">
        <f>IF(A10='Outil Cibles'!$F$7, 'Outil Cibles'!$F$8, 0)</f>
        <v>0</v>
      </c>
      <c r="Q10">
        <f>IF(A10='Outil Cibles'!$G$7, 'Outil Cibles'!$G$8, 0)</f>
        <v>0</v>
      </c>
      <c r="R10">
        <f>IF(A10='Outil Cibles'!$H$7, 'Outil Cibles'!$H$8, 0)</f>
        <v>0</v>
      </c>
      <c r="S10">
        <f>IF(A10='Outil Cibles'!$I$7, 'Outil Cibles'!$I$8, 0)</f>
        <v>0</v>
      </c>
      <c r="T10">
        <f>IF(A10='Outil Cibles'!$J$7, 'Outil Cibles'!$J$8, 0)</f>
        <v>0</v>
      </c>
      <c r="U10">
        <f>IF(A10='Outil Cibles'!$K$7, 'Outil Cibles'!$K$8, 0)</f>
        <v>0</v>
      </c>
      <c r="V10">
        <f>IF(A10='Outil Cibles'!$L$7, 'Outil Cibles'!$L$8, 0)</f>
        <v>0</v>
      </c>
      <c r="W10">
        <f>IF(A10='Outil Cibles'!$M$7, 'Outil Cibles'!$M$8, 0)</f>
        <v>0</v>
      </c>
      <c r="X10">
        <f t="shared" si="2"/>
        <v>0</v>
      </c>
      <c r="Y10">
        <f t="shared" si="3"/>
        <v>2000</v>
      </c>
      <c r="AA10">
        <f t="shared" si="4"/>
        <v>7.8022218031868249</v>
      </c>
      <c r="AB10" s="23">
        <f>'Background graphCON'!L94+'Background graphEXPL_CH'!Y11</f>
        <v>25746.913819644869</v>
      </c>
      <c r="AC10">
        <f t="shared" si="5"/>
        <v>12.873456909822435</v>
      </c>
    </row>
    <row r="11" spans="1:29" x14ac:dyDescent="0.3">
      <c r="A11">
        <v>2029</v>
      </c>
      <c r="B11">
        <f>'Background graphCON'!B12+'Background graphEXPL_CH'!O12</f>
        <v>2585.5157380365981</v>
      </c>
      <c r="C11">
        <f>'Background graphCON'!C12+'Background graphEXPL_CH'!P12</f>
        <v>6962.6722623861624</v>
      </c>
      <c r="D11">
        <f>'Background graphCON'!D12+'Background graphEXPL_CH'!Q12</f>
        <v>0</v>
      </c>
      <c r="E11">
        <f>'Background graphCON'!E12+'Background graphEXPL_CH'!R12</f>
        <v>0</v>
      </c>
      <c r="F11">
        <f>'Background graphCON'!F12+'Background graphEXPL_CH'!S12</f>
        <v>0</v>
      </c>
      <c r="G11">
        <f>'Background graphCON'!G12+'Background graphEXPL_CH'!T12</f>
        <v>0</v>
      </c>
      <c r="H11">
        <f>'Background graphCON'!H12+'Background graphEXPL_CH'!U12</f>
        <v>0</v>
      </c>
      <c r="I11">
        <f>'Background graphCON'!I12+'Background graphEXPL_CH'!V12</f>
        <v>0</v>
      </c>
      <c r="J11">
        <f>'Background graphCON'!J12+'Background graphEXPL_CH'!W12</f>
        <v>0</v>
      </c>
      <c r="K11">
        <f>'Background graphCON'!K12+'Background graphEXPL_CH'!X12</f>
        <v>0</v>
      </c>
      <c r="L11">
        <f t="shared" si="0"/>
        <v>9548.1880004227605</v>
      </c>
      <c r="M11">
        <f t="shared" si="1"/>
        <v>15763.580073047364</v>
      </c>
      <c r="N11">
        <f>IF(A11='Outil Cibles'!$D$7, 'Outil Cibles'!$D$8, 0)</f>
        <v>0</v>
      </c>
      <c r="O11">
        <f>IF(A11='Outil Cibles'!$E$7, 'Outil Cibles'!$E$8, 0)</f>
        <v>0</v>
      </c>
      <c r="P11">
        <f>IF(A11='Outil Cibles'!$F$7, 'Outil Cibles'!$F$8, 0)</f>
        <v>0</v>
      </c>
      <c r="Q11">
        <f>IF(A11='Outil Cibles'!$G$7, 'Outil Cibles'!$G$8, 0)</f>
        <v>0</v>
      </c>
      <c r="R11">
        <f>IF(A11='Outil Cibles'!$H$7, 'Outil Cibles'!$H$8, 0)</f>
        <v>0</v>
      </c>
      <c r="S11">
        <f>IF(A11='Outil Cibles'!$I$7, 'Outil Cibles'!$I$8, 0)</f>
        <v>0</v>
      </c>
      <c r="T11">
        <f>IF(A11='Outil Cibles'!$J$7, 'Outil Cibles'!$J$8, 0)</f>
        <v>0</v>
      </c>
      <c r="U11">
        <f>IF(A11='Outil Cibles'!$K$7, 'Outil Cibles'!$K$8, 0)</f>
        <v>0</v>
      </c>
      <c r="V11">
        <f>IF(A11='Outil Cibles'!$L$7, 'Outil Cibles'!$L$8, 0)</f>
        <v>0</v>
      </c>
      <c r="W11">
        <f>IF(A11='Outil Cibles'!$M$7, 'Outil Cibles'!$M$8, 0)</f>
        <v>0</v>
      </c>
      <c r="X11">
        <f t="shared" si="2"/>
        <v>0</v>
      </c>
      <c r="Y11">
        <f t="shared" si="3"/>
        <v>2000</v>
      </c>
      <c r="AA11">
        <f t="shared" si="4"/>
        <v>7.8817900365236815</v>
      </c>
      <c r="AB11" s="23">
        <f>'Background graphCON'!L95+'Background graphEXPL_CH'!Y12</f>
        <v>25746.913819644869</v>
      </c>
      <c r="AC11">
        <f t="shared" si="5"/>
        <v>12.873456909822435</v>
      </c>
    </row>
    <row r="12" spans="1:29" x14ac:dyDescent="0.3">
      <c r="A12" s="10">
        <v>2030</v>
      </c>
      <c r="B12">
        <f>'Background graphCON'!B13+'Background graphEXPL_CH'!O13</f>
        <v>2585.5157380365981</v>
      </c>
      <c r="C12">
        <f>'Background graphCON'!C13+'Background graphEXPL_CH'!P13</f>
        <v>6962.6722623861624</v>
      </c>
      <c r="D12">
        <f>'Background graphCON'!D13+'Background graphEXPL_CH'!Q13</f>
        <v>379253.55928675138</v>
      </c>
      <c r="E12">
        <f>'Background graphCON'!E13+'Background graphEXPL_CH'!R13</f>
        <v>0</v>
      </c>
      <c r="F12">
        <f>'Background graphCON'!F13+'Background graphEXPL_CH'!S13</f>
        <v>0</v>
      </c>
      <c r="G12">
        <f>'Background graphCON'!G13+'Background graphEXPL_CH'!T13</f>
        <v>0</v>
      </c>
      <c r="H12">
        <f>'Background graphCON'!H13+'Background graphEXPL_CH'!U13</f>
        <v>0</v>
      </c>
      <c r="I12">
        <f>'Background graphCON'!I13+'Background graphEXPL_CH'!V13</f>
        <v>0</v>
      </c>
      <c r="J12">
        <f>'Background graphCON'!J13+'Background graphEXPL_CH'!W13</f>
        <v>0</v>
      </c>
      <c r="K12">
        <f>'Background graphCON'!K13+'Background graphEXPL_CH'!X13</f>
        <v>0</v>
      </c>
      <c r="L12">
        <f>SUM(B12:K12)</f>
        <v>388801.74728717416</v>
      </c>
      <c r="M12">
        <f t="shared" si="1"/>
        <v>22243.609194500266</v>
      </c>
      <c r="N12">
        <f>IF(A12='Outil Cibles'!$D$7, 'Outil Cibles'!$D$8, 0)</f>
        <v>0</v>
      </c>
      <c r="O12">
        <f>IF(A12='Outil Cibles'!$E$7, 'Outil Cibles'!$E$8, 0)</f>
        <v>0</v>
      </c>
      <c r="P12">
        <f>IF(A12='Outil Cibles'!$F$7, 'Outil Cibles'!$F$8, 0)</f>
        <v>1000</v>
      </c>
      <c r="Q12">
        <f>IF(A12='Outil Cibles'!$G$7, 'Outil Cibles'!$G$8, 0)</f>
        <v>0</v>
      </c>
      <c r="R12">
        <f>IF(A12='Outil Cibles'!$H$7, 'Outil Cibles'!$H$8, 0)</f>
        <v>0</v>
      </c>
      <c r="S12">
        <f>IF(A12='Outil Cibles'!$I$7, 'Outil Cibles'!$I$8, 0)</f>
        <v>0</v>
      </c>
      <c r="T12">
        <f>IF(A12='Outil Cibles'!$J$7, 'Outil Cibles'!$J$8, 0)</f>
        <v>0</v>
      </c>
      <c r="U12">
        <f>IF(A12='Outil Cibles'!$K$7, 'Outil Cibles'!$K$8, 0)</f>
        <v>0</v>
      </c>
      <c r="V12">
        <f>IF(A12='Outil Cibles'!$L$7, 'Outil Cibles'!$L$8, 0)</f>
        <v>0</v>
      </c>
      <c r="W12">
        <f>IF(A12='Outil Cibles'!$M$7, 'Outil Cibles'!$M$8, 0)</f>
        <v>0</v>
      </c>
      <c r="X12">
        <f t="shared" si="2"/>
        <v>1000</v>
      </c>
      <c r="Y12">
        <f t="shared" si="3"/>
        <v>3000</v>
      </c>
      <c r="AA12">
        <f t="shared" si="4"/>
        <v>7.4145363981667556</v>
      </c>
      <c r="AB12" s="23">
        <f>'Background graphCON'!L96+'Background graphEXPL_CH'!Y13</f>
        <v>37528.521224659387</v>
      </c>
      <c r="AC12">
        <f t="shared" si="5"/>
        <v>12.509507074886463</v>
      </c>
    </row>
    <row r="13" spans="1:29" x14ac:dyDescent="0.3">
      <c r="A13">
        <v>2031</v>
      </c>
      <c r="B13">
        <f>'Background graphCON'!B14+'Background graphEXPL_CH'!O14</f>
        <v>2585.5157380365981</v>
      </c>
      <c r="C13">
        <f>'Background graphCON'!C14+'Background graphEXPL_CH'!P14</f>
        <v>6962.6722623861624</v>
      </c>
      <c r="D13">
        <f>'Background graphCON'!D14+'Background graphEXPL_CH'!Q14</f>
        <v>5185.0137535102594</v>
      </c>
      <c r="E13">
        <f>'Background graphCON'!E14+'Background graphEXPL_CH'!R14</f>
        <v>0</v>
      </c>
      <c r="F13">
        <f>'Background graphCON'!F14+'Background graphEXPL_CH'!S14</f>
        <v>0</v>
      </c>
      <c r="G13">
        <f>'Background graphCON'!G14+'Background graphEXPL_CH'!T14</f>
        <v>0</v>
      </c>
      <c r="H13">
        <f>'Background graphCON'!H14+'Background graphEXPL_CH'!U14</f>
        <v>0</v>
      </c>
      <c r="I13">
        <f>'Background graphCON'!I14+'Background graphEXPL_CH'!V14</f>
        <v>0</v>
      </c>
      <c r="J13">
        <f>'Background graphCON'!J14+'Background graphEXPL_CH'!W14</f>
        <v>0</v>
      </c>
      <c r="K13">
        <f>'Background graphCON'!K14+'Background graphEXPL_CH'!X14</f>
        <v>0</v>
      </c>
      <c r="L13">
        <f t="shared" si="0"/>
        <v>14733.201753933019</v>
      </c>
      <c r="M13">
        <f t="shared" si="1"/>
        <v>22489.162557065818</v>
      </c>
      <c r="N13">
        <f>IF(A13='Outil Cibles'!$D$7, 'Outil Cibles'!$D$8, 0)</f>
        <v>0</v>
      </c>
      <c r="O13">
        <f>IF(A13='Outil Cibles'!$E$7, 'Outil Cibles'!$E$8, 0)</f>
        <v>0</v>
      </c>
      <c r="P13">
        <f>IF(A13='Outil Cibles'!$F$7, 'Outil Cibles'!$F$8, 0)</f>
        <v>0</v>
      </c>
      <c r="Q13">
        <f>IF(A13='Outil Cibles'!$G$7, 'Outil Cibles'!$G$8, 0)</f>
        <v>0</v>
      </c>
      <c r="R13">
        <f>IF(A13='Outil Cibles'!$H$7, 'Outil Cibles'!$H$8, 0)</f>
        <v>0</v>
      </c>
      <c r="S13">
        <f>IF(A13='Outil Cibles'!$I$7, 'Outil Cibles'!$I$8, 0)</f>
        <v>0</v>
      </c>
      <c r="T13">
        <f>IF(A13='Outil Cibles'!$J$7, 'Outil Cibles'!$J$8, 0)</f>
        <v>0</v>
      </c>
      <c r="U13">
        <f>IF(A13='Outil Cibles'!$K$7, 'Outil Cibles'!$K$8, 0)</f>
        <v>0</v>
      </c>
      <c r="V13">
        <f>IF(A13='Outil Cibles'!$L$7, 'Outil Cibles'!$L$8, 0)</f>
        <v>0</v>
      </c>
      <c r="W13">
        <f>IF(A13='Outil Cibles'!$M$7, 'Outil Cibles'!$M$8, 0)</f>
        <v>0</v>
      </c>
      <c r="X13">
        <f t="shared" si="2"/>
        <v>0</v>
      </c>
      <c r="Y13">
        <f>Y12+X13</f>
        <v>3000</v>
      </c>
      <c r="AA13">
        <f t="shared" si="4"/>
        <v>7.4963875190219396</v>
      </c>
      <c r="AB13" s="23">
        <f>'Background graphCON'!L97+'Background graphEXPL_CH'!Y14</f>
        <v>37528.521224659387</v>
      </c>
      <c r="AC13">
        <f t="shared" si="5"/>
        <v>12.509507074886463</v>
      </c>
    </row>
    <row r="14" spans="1:29" x14ac:dyDescent="0.3">
      <c r="A14">
        <v>2032</v>
      </c>
      <c r="B14">
        <f>'Background graphCON'!B15+'Background graphEXPL_CH'!O15</f>
        <v>2585.5157380365981</v>
      </c>
      <c r="C14">
        <f>'Background graphCON'!C15+'Background graphEXPL_CH'!P15</f>
        <v>6962.6722623861624</v>
      </c>
      <c r="D14">
        <f>'Background graphCON'!D15+'Background graphEXPL_CH'!Q15</f>
        <v>5185.0137535102594</v>
      </c>
      <c r="E14">
        <f>'Background graphCON'!E15+'Background graphEXPL_CH'!R15</f>
        <v>0</v>
      </c>
      <c r="F14">
        <f>'Background graphCON'!F15+'Background graphEXPL_CH'!S15</f>
        <v>0</v>
      </c>
      <c r="G14">
        <f>'Background graphCON'!G15+'Background graphEXPL_CH'!T15</f>
        <v>0</v>
      </c>
      <c r="H14">
        <f>'Background graphCON'!H15+'Background graphEXPL_CH'!U15</f>
        <v>0</v>
      </c>
      <c r="I14">
        <f>'Background graphCON'!I15+'Background graphEXPL_CH'!V15</f>
        <v>0</v>
      </c>
      <c r="J14">
        <f>'Background graphCON'!J15+'Background graphEXPL_CH'!W15</f>
        <v>0</v>
      </c>
      <c r="K14">
        <f>'Background graphCON'!K15+'Background graphEXPL_CH'!X15</f>
        <v>0</v>
      </c>
      <c r="L14">
        <f t="shared" si="0"/>
        <v>14733.201753933019</v>
      </c>
      <c r="M14">
        <f t="shared" si="1"/>
        <v>22734.71591963137</v>
      </c>
      <c r="N14">
        <f>IF(A14='Outil Cibles'!$D$7, 'Outil Cibles'!$D$8, 0)</f>
        <v>0</v>
      </c>
      <c r="O14">
        <f>IF(A14='Outil Cibles'!$E$7, 'Outil Cibles'!$E$8, 0)</f>
        <v>0</v>
      </c>
      <c r="P14">
        <f>IF(A14='Outil Cibles'!$F$7, 'Outil Cibles'!$F$8, 0)</f>
        <v>0</v>
      </c>
      <c r="Q14">
        <f>IF(A14='Outil Cibles'!$G$7, 'Outil Cibles'!$G$8, 0)</f>
        <v>0</v>
      </c>
      <c r="R14">
        <f>IF(A14='Outil Cibles'!$H$7, 'Outil Cibles'!$H$8, 0)</f>
        <v>0</v>
      </c>
      <c r="S14">
        <f>IF(A14='Outil Cibles'!$I$7, 'Outil Cibles'!$I$8, 0)</f>
        <v>0</v>
      </c>
      <c r="T14">
        <f>IF(A14='Outil Cibles'!$J$7, 'Outil Cibles'!$J$8, 0)</f>
        <v>0</v>
      </c>
      <c r="U14">
        <f>IF(A14='Outil Cibles'!$K$7, 'Outil Cibles'!$K$8, 0)</f>
        <v>0</v>
      </c>
      <c r="V14">
        <f>IF(A14='Outil Cibles'!$L$7, 'Outil Cibles'!$L$8, 0)</f>
        <v>0</v>
      </c>
      <c r="W14">
        <f>IF(A14='Outil Cibles'!$M$7, 'Outil Cibles'!$M$8, 0)</f>
        <v>0</v>
      </c>
      <c r="X14">
        <f t="shared" si="2"/>
        <v>0</v>
      </c>
      <c r="Y14">
        <f t="shared" ref="Y14:Y77" si="6">Y13+X14</f>
        <v>3000</v>
      </c>
      <c r="AA14">
        <f t="shared" si="4"/>
        <v>7.5782386398771235</v>
      </c>
      <c r="AB14" s="23">
        <f>'Background graphCON'!L98+'Background graphEXPL_CH'!Y15</f>
        <v>37528.521224659387</v>
      </c>
      <c r="AC14">
        <f t="shared" si="5"/>
        <v>12.509507074886463</v>
      </c>
    </row>
    <row r="15" spans="1:29" x14ac:dyDescent="0.3">
      <c r="A15">
        <v>2033</v>
      </c>
      <c r="B15">
        <f>'Background graphCON'!B16+'Background graphEXPL_CH'!O16</f>
        <v>2585.5157380365981</v>
      </c>
      <c r="C15">
        <f>'Background graphCON'!C16+'Background graphEXPL_CH'!P16</f>
        <v>6962.6722623861624</v>
      </c>
      <c r="D15">
        <f>'Background graphCON'!D16+'Background graphEXPL_CH'!Q16</f>
        <v>5185.0137535102594</v>
      </c>
      <c r="E15">
        <f>'Background graphCON'!E16+'Background graphEXPL_CH'!R16</f>
        <v>0</v>
      </c>
      <c r="F15">
        <f>'Background graphCON'!F16+'Background graphEXPL_CH'!S16</f>
        <v>0</v>
      </c>
      <c r="G15">
        <f>'Background graphCON'!G16+'Background graphEXPL_CH'!T16</f>
        <v>0</v>
      </c>
      <c r="H15">
        <f>'Background graphCON'!H16+'Background graphEXPL_CH'!U16</f>
        <v>0</v>
      </c>
      <c r="I15">
        <f>'Background graphCON'!I16+'Background graphEXPL_CH'!V16</f>
        <v>0</v>
      </c>
      <c r="J15">
        <f>'Background graphCON'!J16+'Background graphEXPL_CH'!W16</f>
        <v>0</v>
      </c>
      <c r="K15">
        <f>'Background graphCON'!K16+'Background graphEXPL_CH'!X16</f>
        <v>0</v>
      </c>
      <c r="L15">
        <f t="shared" si="0"/>
        <v>14733.201753933019</v>
      </c>
      <c r="M15">
        <f t="shared" si="1"/>
        <v>22980.269282196921</v>
      </c>
      <c r="N15">
        <f>IF(A15='Outil Cibles'!$D$7, 'Outil Cibles'!$D$8, 0)</f>
        <v>0</v>
      </c>
      <c r="O15">
        <f>IF(A15='Outil Cibles'!$E$7, 'Outil Cibles'!$E$8, 0)</f>
        <v>0</v>
      </c>
      <c r="P15">
        <f>IF(A15='Outil Cibles'!$F$7, 'Outil Cibles'!$F$8, 0)</f>
        <v>0</v>
      </c>
      <c r="Q15">
        <f>IF(A15='Outil Cibles'!$G$7, 'Outil Cibles'!$G$8, 0)</f>
        <v>0</v>
      </c>
      <c r="R15">
        <f>IF(A15='Outil Cibles'!$H$7, 'Outil Cibles'!$H$8, 0)</f>
        <v>0</v>
      </c>
      <c r="S15">
        <f>IF(A15='Outil Cibles'!$I$7, 'Outil Cibles'!$I$8, 0)</f>
        <v>0</v>
      </c>
      <c r="T15">
        <f>IF(A15='Outil Cibles'!$J$7, 'Outil Cibles'!$J$8, 0)</f>
        <v>0</v>
      </c>
      <c r="U15">
        <f>IF(A15='Outil Cibles'!$K$7, 'Outil Cibles'!$K$8, 0)</f>
        <v>0</v>
      </c>
      <c r="V15">
        <f>IF(A15='Outil Cibles'!$L$7, 'Outil Cibles'!$L$8, 0)</f>
        <v>0</v>
      </c>
      <c r="W15">
        <f>IF(A15='Outil Cibles'!$M$7, 'Outil Cibles'!$M$8, 0)</f>
        <v>0</v>
      </c>
      <c r="X15">
        <f t="shared" si="2"/>
        <v>0</v>
      </c>
      <c r="Y15">
        <f t="shared" si="6"/>
        <v>3000</v>
      </c>
      <c r="AA15">
        <f t="shared" si="4"/>
        <v>7.6600897607323075</v>
      </c>
      <c r="AB15" s="23">
        <f>'Background graphCON'!L99+'Background graphEXPL_CH'!Y16</f>
        <v>37528.521224659387</v>
      </c>
      <c r="AC15">
        <f t="shared" si="5"/>
        <v>12.509507074886463</v>
      </c>
    </row>
    <row r="16" spans="1:29" x14ac:dyDescent="0.3">
      <c r="A16">
        <v>2034</v>
      </c>
      <c r="B16">
        <f>'Background graphCON'!B17+'Background graphEXPL_CH'!O17</f>
        <v>2585.5157380365981</v>
      </c>
      <c r="C16">
        <f>'Background graphCON'!C17+'Background graphEXPL_CH'!P17</f>
        <v>6962.6722623861624</v>
      </c>
      <c r="D16">
        <f>'Background graphCON'!D17+'Background graphEXPL_CH'!Q17</f>
        <v>5185.0137535102594</v>
      </c>
      <c r="E16">
        <f>'Background graphCON'!E17+'Background graphEXPL_CH'!R17</f>
        <v>0</v>
      </c>
      <c r="F16">
        <f>'Background graphCON'!F17+'Background graphEXPL_CH'!S17</f>
        <v>0</v>
      </c>
      <c r="G16">
        <f>'Background graphCON'!G17+'Background graphEXPL_CH'!T17</f>
        <v>0</v>
      </c>
      <c r="H16">
        <f>'Background graphCON'!H17+'Background graphEXPL_CH'!U17</f>
        <v>0</v>
      </c>
      <c r="I16">
        <f>'Background graphCON'!I17+'Background graphEXPL_CH'!V17</f>
        <v>0</v>
      </c>
      <c r="J16">
        <f>'Background graphCON'!J17+'Background graphEXPL_CH'!W17</f>
        <v>0</v>
      </c>
      <c r="K16">
        <f>'Background graphCON'!K17+'Background graphEXPL_CH'!X17</f>
        <v>0</v>
      </c>
      <c r="L16">
        <f t="shared" si="0"/>
        <v>14733.201753933019</v>
      </c>
      <c r="M16">
        <f t="shared" si="1"/>
        <v>23225.822644762473</v>
      </c>
      <c r="N16">
        <f>IF(A16='Outil Cibles'!$D$7, 'Outil Cibles'!$D$8, 0)</f>
        <v>0</v>
      </c>
      <c r="O16">
        <f>IF(A16='Outil Cibles'!$E$7, 'Outil Cibles'!$E$8, 0)</f>
        <v>0</v>
      </c>
      <c r="P16">
        <f>IF(A16='Outil Cibles'!$F$7, 'Outil Cibles'!$F$8, 0)</f>
        <v>0</v>
      </c>
      <c r="Q16">
        <f>IF(A16='Outil Cibles'!$G$7, 'Outil Cibles'!$G$8, 0)</f>
        <v>0</v>
      </c>
      <c r="R16">
        <f>IF(A16='Outil Cibles'!$H$7, 'Outil Cibles'!$H$8, 0)</f>
        <v>0</v>
      </c>
      <c r="S16">
        <f>IF(A16='Outil Cibles'!$I$7, 'Outil Cibles'!$I$8, 0)</f>
        <v>0</v>
      </c>
      <c r="T16">
        <f>IF(A16='Outil Cibles'!$J$7, 'Outil Cibles'!$J$8, 0)</f>
        <v>0</v>
      </c>
      <c r="U16">
        <f>IF(A16='Outil Cibles'!$K$7, 'Outil Cibles'!$K$8, 0)</f>
        <v>0</v>
      </c>
      <c r="V16">
        <f>IF(A16='Outil Cibles'!$L$7, 'Outil Cibles'!$L$8, 0)</f>
        <v>0</v>
      </c>
      <c r="W16">
        <f>IF(A16='Outil Cibles'!$M$7, 'Outil Cibles'!$M$8, 0)</f>
        <v>0</v>
      </c>
      <c r="X16">
        <f t="shared" si="2"/>
        <v>0</v>
      </c>
      <c r="Y16">
        <f t="shared" si="6"/>
        <v>3000</v>
      </c>
      <c r="AA16">
        <f t="shared" si="4"/>
        <v>7.7419408815874906</v>
      </c>
      <c r="AB16" s="23">
        <f>'Background graphCON'!L100+'Background graphEXPL_CH'!Y17</f>
        <v>37528.521224659387</v>
      </c>
      <c r="AC16">
        <f t="shared" si="5"/>
        <v>12.509507074886463</v>
      </c>
    </row>
    <row r="17" spans="1:29" x14ac:dyDescent="0.3">
      <c r="A17" s="10">
        <v>2035</v>
      </c>
      <c r="B17">
        <f>'Background graphCON'!B18+'Background graphEXPL_CH'!O18</f>
        <v>2585.5157380365981</v>
      </c>
      <c r="C17">
        <f>'Background graphCON'!C18+'Background graphEXPL_CH'!P18</f>
        <v>6962.6722623861624</v>
      </c>
      <c r="D17">
        <f>'Background graphCON'!D18+'Background graphEXPL_CH'!Q18</f>
        <v>5185.0137535102594</v>
      </c>
      <c r="E17">
        <f>'Background graphCON'!E18+'Background graphEXPL_CH'!R18</f>
        <v>314634.64822372107</v>
      </c>
      <c r="F17">
        <f>'Background graphCON'!F18+'Background graphEXPL_CH'!S18</f>
        <v>0</v>
      </c>
      <c r="G17">
        <f>'Background graphCON'!G18+'Background graphEXPL_CH'!T18</f>
        <v>0</v>
      </c>
      <c r="H17">
        <f>'Background graphCON'!H18+'Background graphEXPL_CH'!U18</f>
        <v>0</v>
      </c>
      <c r="I17">
        <f>'Background graphCON'!I18+'Background graphEXPL_CH'!V18</f>
        <v>0</v>
      </c>
      <c r="J17">
        <f>'Background graphCON'!J18+'Background graphEXPL_CH'!W18</f>
        <v>0</v>
      </c>
      <c r="K17">
        <f>'Background graphCON'!K18+'Background graphEXPL_CH'!X18</f>
        <v>0</v>
      </c>
      <c r="L17">
        <f t="shared" si="0"/>
        <v>329367.84997765411</v>
      </c>
      <c r="M17">
        <f t="shared" si="1"/>
        <v>28715.286811056707</v>
      </c>
      <c r="N17">
        <f>IF(A17='Outil Cibles'!$D$7, 'Outil Cibles'!$D$8, 0)</f>
        <v>0</v>
      </c>
      <c r="O17">
        <f>IF(A17='Outil Cibles'!$E$7, 'Outil Cibles'!$E$8, 0)</f>
        <v>0</v>
      </c>
      <c r="P17">
        <f>IF(A17='Outil Cibles'!$F$7, 'Outil Cibles'!$F$8, 0)</f>
        <v>0</v>
      </c>
      <c r="Q17">
        <f>IF(A17='Outil Cibles'!$G$7, 'Outil Cibles'!$G$8, 0)</f>
        <v>1000</v>
      </c>
      <c r="R17">
        <f>IF(A17='Outil Cibles'!$H$7, 'Outil Cibles'!$H$8, 0)</f>
        <v>0</v>
      </c>
      <c r="S17">
        <f>IF(A17='Outil Cibles'!$I$7, 'Outil Cibles'!$I$8, 0)</f>
        <v>0</v>
      </c>
      <c r="T17">
        <f>IF(A17='Outil Cibles'!$J$7, 'Outil Cibles'!$J$8, 0)</f>
        <v>0</v>
      </c>
      <c r="U17">
        <f>IF(A17='Outil Cibles'!$K$7, 'Outil Cibles'!$K$8, 0)</f>
        <v>0</v>
      </c>
      <c r="V17">
        <f>IF(A17='Outil Cibles'!$L$7, 'Outil Cibles'!$L$8, 0)</f>
        <v>0</v>
      </c>
      <c r="W17">
        <f>IF(A17='Outil Cibles'!$M$7, 'Outil Cibles'!$M$8, 0)</f>
        <v>0</v>
      </c>
      <c r="X17">
        <f t="shared" si="2"/>
        <v>1000</v>
      </c>
      <c r="Y17">
        <f t="shared" si="6"/>
        <v>4000</v>
      </c>
      <c r="AA17">
        <f t="shared" si="4"/>
        <v>7.1788217027641767</v>
      </c>
      <c r="AB17" s="23">
        <f>'Background graphCON'!L101+'Background graphEXPL_CH'!Y18</f>
        <v>46502.284783442708</v>
      </c>
      <c r="AC17">
        <f t="shared" si="5"/>
        <v>11.625571195860678</v>
      </c>
    </row>
    <row r="18" spans="1:29" x14ac:dyDescent="0.3">
      <c r="A18">
        <v>2036</v>
      </c>
      <c r="B18">
        <f>'Background graphCON'!B19+'Background graphEXPL_CH'!O19</f>
        <v>2585.5157380365981</v>
      </c>
      <c r="C18">
        <f>'Background graphCON'!C19+'Background graphEXPL_CH'!P19</f>
        <v>6962.6722623861624</v>
      </c>
      <c r="D18">
        <f>'Background graphCON'!D19+'Background graphEXPL_CH'!Q19</f>
        <v>5185.0137535102594</v>
      </c>
      <c r="E18">
        <f>'Background graphCON'!E19+'Background graphEXPL_CH'!R19</f>
        <v>3591.4413199390674</v>
      </c>
      <c r="F18">
        <f>'Background graphCON'!F19+'Background graphEXPL_CH'!S19</f>
        <v>0</v>
      </c>
      <c r="G18">
        <f>'Background graphCON'!G19+'Background graphEXPL_CH'!T19</f>
        <v>0</v>
      </c>
      <c r="H18">
        <f>'Background graphCON'!H19+'Background graphEXPL_CH'!U19</f>
        <v>0</v>
      </c>
      <c r="I18">
        <f>'Background graphCON'!I19+'Background graphEXPL_CH'!V19</f>
        <v>0</v>
      </c>
      <c r="J18">
        <f>'Background graphCON'!J19+'Background graphEXPL_CH'!W19</f>
        <v>0</v>
      </c>
      <c r="K18">
        <f>'Background graphCON'!K19+'Background graphEXPL_CH'!X19</f>
        <v>0</v>
      </c>
      <c r="L18">
        <f t="shared" si="0"/>
        <v>18324.643073872088</v>
      </c>
      <c r="M18">
        <f t="shared" si="1"/>
        <v>29020.697528954573</v>
      </c>
      <c r="N18">
        <f>IF(A18='Outil Cibles'!$D$7, 'Outil Cibles'!$D$8, 0)</f>
        <v>0</v>
      </c>
      <c r="O18">
        <f>IF(A18='Outil Cibles'!$E$7, 'Outil Cibles'!$E$8, 0)</f>
        <v>0</v>
      </c>
      <c r="P18">
        <f>IF(A18='Outil Cibles'!$F$7, 'Outil Cibles'!$F$8, 0)</f>
        <v>0</v>
      </c>
      <c r="Q18">
        <f>IF(A18='Outil Cibles'!$G$7, 'Outil Cibles'!$G$8, 0)</f>
        <v>0</v>
      </c>
      <c r="R18">
        <f>IF(A18='Outil Cibles'!$H$7, 'Outil Cibles'!$H$8, 0)</f>
        <v>0</v>
      </c>
      <c r="S18">
        <f>IF(A18='Outil Cibles'!$I$7, 'Outil Cibles'!$I$8, 0)</f>
        <v>0</v>
      </c>
      <c r="T18">
        <f>IF(A18='Outil Cibles'!$J$7, 'Outil Cibles'!$J$8, 0)</f>
        <v>0</v>
      </c>
      <c r="U18">
        <f>IF(A18='Outil Cibles'!$K$7, 'Outil Cibles'!$K$8, 0)</f>
        <v>0</v>
      </c>
      <c r="V18">
        <f>IF(A18='Outil Cibles'!$L$7, 'Outil Cibles'!$L$8, 0)</f>
        <v>0</v>
      </c>
      <c r="W18">
        <f>IF(A18='Outil Cibles'!$M$7, 'Outil Cibles'!$M$8, 0)</f>
        <v>0</v>
      </c>
      <c r="X18">
        <f t="shared" si="2"/>
        <v>0</v>
      </c>
      <c r="Y18">
        <f t="shared" si="6"/>
        <v>4000</v>
      </c>
      <c r="AA18">
        <f t="shared" si="4"/>
        <v>7.2551743822386436</v>
      </c>
      <c r="AB18" s="23">
        <f>'Background graphCON'!L102+'Background graphEXPL_CH'!Y19</f>
        <v>46502.284783442708</v>
      </c>
      <c r="AC18">
        <f t="shared" si="5"/>
        <v>11.625571195860678</v>
      </c>
    </row>
    <row r="19" spans="1:29" x14ac:dyDescent="0.3">
      <c r="A19">
        <v>2037</v>
      </c>
      <c r="B19">
        <f>'Background graphCON'!B20+'Background graphEXPL_CH'!O20</f>
        <v>2585.5157380365981</v>
      </c>
      <c r="C19">
        <f>'Background graphCON'!C20+'Background graphEXPL_CH'!P20</f>
        <v>6962.6722623861624</v>
      </c>
      <c r="D19">
        <f>'Background graphCON'!D20+'Background graphEXPL_CH'!Q20</f>
        <v>5185.0137535102594</v>
      </c>
      <c r="E19">
        <f>'Background graphCON'!E20+'Background graphEXPL_CH'!R20</f>
        <v>3591.4413199390674</v>
      </c>
      <c r="F19">
        <f>'Background graphCON'!F20+'Background graphEXPL_CH'!S20</f>
        <v>0</v>
      </c>
      <c r="G19">
        <f>'Background graphCON'!G20+'Background graphEXPL_CH'!T20</f>
        <v>0</v>
      </c>
      <c r="H19">
        <f>'Background graphCON'!H20+'Background graphEXPL_CH'!U20</f>
        <v>0</v>
      </c>
      <c r="I19">
        <f>'Background graphCON'!I20+'Background graphEXPL_CH'!V20</f>
        <v>0</v>
      </c>
      <c r="J19">
        <f>'Background graphCON'!J20+'Background graphEXPL_CH'!W20</f>
        <v>0</v>
      </c>
      <c r="K19">
        <f>'Background graphCON'!K20+'Background graphEXPL_CH'!X20</f>
        <v>0</v>
      </c>
      <c r="L19">
        <f t="shared" si="0"/>
        <v>18324.643073872088</v>
      </c>
      <c r="M19">
        <f t="shared" si="1"/>
        <v>29326.10824685244</v>
      </c>
      <c r="N19">
        <f>IF(A19='Outil Cibles'!$D$7, 'Outil Cibles'!$D$8, 0)</f>
        <v>0</v>
      </c>
      <c r="O19">
        <f>IF(A19='Outil Cibles'!$E$7, 'Outil Cibles'!$E$8, 0)</f>
        <v>0</v>
      </c>
      <c r="P19">
        <f>IF(A19='Outil Cibles'!$F$7, 'Outil Cibles'!$F$8, 0)</f>
        <v>0</v>
      </c>
      <c r="Q19">
        <f>IF(A19='Outil Cibles'!$G$7, 'Outil Cibles'!$G$8, 0)</f>
        <v>0</v>
      </c>
      <c r="R19">
        <f>IF(A19='Outil Cibles'!$H$7, 'Outil Cibles'!$H$8, 0)</f>
        <v>0</v>
      </c>
      <c r="S19">
        <f>IF(A19='Outil Cibles'!$I$7, 'Outil Cibles'!$I$8, 0)</f>
        <v>0</v>
      </c>
      <c r="T19">
        <f>IF(A19='Outil Cibles'!$J$7, 'Outil Cibles'!$J$8, 0)</f>
        <v>0</v>
      </c>
      <c r="U19">
        <f>IF(A19='Outil Cibles'!$K$7, 'Outil Cibles'!$K$8, 0)</f>
        <v>0</v>
      </c>
      <c r="V19">
        <f>IF(A19='Outil Cibles'!$L$7, 'Outil Cibles'!$L$8, 0)</f>
        <v>0</v>
      </c>
      <c r="W19">
        <f>IF(A19='Outil Cibles'!$M$7, 'Outil Cibles'!$M$8, 0)</f>
        <v>0</v>
      </c>
      <c r="X19">
        <f t="shared" si="2"/>
        <v>0</v>
      </c>
      <c r="Y19">
        <f t="shared" si="6"/>
        <v>4000</v>
      </c>
      <c r="AA19">
        <f t="shared" si="4"/>
        <v>7.3315270617131096</v>
      </c>
      <c r="AB19" s="23">
        <f>'Background graphCON'!L103+'Background graphEXPL_CH'!Y20</f>
        <v>46502.284783442708</v>
      </c>
      <c r="AC19">
        <f t="shared" si="5"/>
        <v>11.625571195860678</v>
      </c>
    </row>
    <row r="20" spans="1:29" x14ac:dyDescent="0.3">
      <c r="A20">
        <v>2038</v>
      </c>
      <c r="B20">
        <f>'Background graphCON'!B21+'Background graphEXPL_CH'!O21</f>
        <v>2585.5157380365981</v>
      </c>
      <c r="C20">
        <f>'Background graphCON'!C21+'Background graphEXPL_CH'!P21</f>
        <v>6962.6722623861624</v>
      </c>
      <c r="D20">
        <f>'Background graphCON'!D21+'Background graphEXPL_CH'!Q21</f>
        <v>5185.0137535102594</v>
      </c>
      <c r="E20">
        <f>'Background graphCON'!E21+'Background graphEXPL_CH'!R21</f>
        <v>3591.4413199390674</v>
      </c>
      <c r="F20">
        <f>'Background graphCON'!F21+'Background graphEXPL_CH'!S21</f>
        <v>278379.37538797135</v>
      </c>
      <c r="G20">
        <f>'Background graphCON'!G21+'Background graphEXPL_CH'!T21</f>
        <v>0</v>
      </c>
      <c r="H20">
        <f>'Background graphCON'!H21+'Background graphEXPL_CH'!U21</f>
        <v>0</v>
      </c>
      <c r="I20">
        <f>'Background graphCON'!I21+'Background graphEXPL_CH'!V21</f>
        <v>0</v>
      </c>
      <c r="J20">
        <f>'Background graphCON'!J21+'Background graphEXPL_CH'!W21</f>
        <v>0</v>
      </c>
      <c r="K20">
        <f>'Background graphCON'!K21+'Background graphEXPL_CH'!X21</f>
        <v>0</v>
      </c>
      <c r="L20">
        <f t="shared" si="0"/>
        <v>296704.01846184343</v>
      </c>
      <c r="M20">
        <f t="shared" si="1"/>
        <v>34271.175221216501</v>
      </c>
      <c r="N20">
        <f>IF(A20='Outil Cibles'!$D$7, 'Outil Cibles'!$D$8, 0)</f>
        <v>0</v>
      </c>
      <c r="O20">
        <f>IF(A20='Outil Cibles'!$E$7, 'Outil Cibles'!$E$8, 0)</f>
        <v>0</v>
      </c>
      <c r="P20">
        <f>IF(A20='Outil Cibles'!$F$7, 'Outil Cibles'!$F$8, 0)</f>
        <v>0</v>
      </c>
      <c r="Q20">
        <f>IF(A20='Outil Cibles'!$G$7, 'Outil Cibles'!$G$8, 0)</f>
        <v>0</v>
      </c>
      <c r="R20">
        <f>IF(A20='Outil Cibles'!$H$7, 'Outil Cibles'!$H$8, 0)</f>
        <v>1000</v>
      </c>
      <c r="S20">
        <f>IF(A20='Outil Cibles'!$I$7, 'Outil Cibles'!$I$8, 0)</f>
        <v>0</v>
      </c>
      <c r="T20">
        <f>IF(A20='Outil Cibles'!$J$7, 'Outil Cibles'!$J$8, 0)</f>
        <v>0</v>
      </c>
      <c r="U20">
        <f>IF(A20='Outil Cibles'!$K$7, 'Outil Cibles'!$K$8, 0)</f>
        <v>0</v>
      </c>
      <c r="V20">
        <f>IF(A20='Outil Cibles'!$L$7, 'Outil Cibles'!$L$8, 0)</f>
        <v>0</v>
      </c>
      <c r="W20">
        <f>IF(A20='Outil Cibles'!$M$7, 'Outil Cibles'!$M$8, 0)</f>
        <v>0</v>
      </c>
      <c r="X20">
        <f t="shared" si="2"/>
        <v>1000</v>
      </c>
      <c r="Y20">
        <f t="shared" si="6"/>
        <v>5000</v>
      </c>
      <c r="AA20">
        <f t="shared" si="4"/>
        <v>6.8542350442433007</v>
      </c>
      <c r="AB20" s="23">
        <f>'Background graphCON'!L104+'Background graphEXPL_CH'!Y21</f>
        <v>54018.515514178784</v>
      </c>
      <c r="AC20">
        <f t="shared" si="5"/>
        <v>10.803703102835756</v>
      </c>
    </row>
    <row r="21" spans="1:29" x14ac:dyDescent="0.3">
      <c r="A21">
        <v>2039</v>
      </c>
      <c r="B21">
        <f>'Background graphCON'!B22+'Background graphEXPL_CH'!O22</f>
        <v>2585.5157380365981</v>
      </c>
      <c r="C21">
        <f>'Background graphCON'!C22+'Background graphEXPL_CH'!P22</f>
        <v>6962.6722623861624</v>
      </c>
      <c r="D21">
        <f>'Background graphCON'!D22+'Background graphEXPL_CH'!Q22</f>
        <v>5185.0137535102594</v>
      </c>
      <c r="E21">
        <f>'Background graphCON'!E22+'Background graphEXPL_CH'!R22</f>
        <v>3591.4413199390674</v>
      </c>
      <c r="F21">
        <f>'Background graphCON'!F22+'Background graphEXPL_CH'!S22</f>
        <v>2818.747111896801</v>
      </c>
      <c r="G21">
        <f>'Background graphCON'!G22+'Background graphEXPL_CH'!T22</f>
        <v>0</v>
      </c>
      <c r="H21">
        <f>'Background graphCON'!H22+'Background graphEXPL_CH'!U22</f>
        <v>0</v>
      </c>
      <c r="I21">
        <f>'Background graphCON'!I22+'Background graphEXPL_CH'!V22</f>
        <v>0</v>
      </c>
      <c r="J21">
        <f>'Background graphCON'!J22+'Background graphEXPL_CH'!W22</f>
        <v>0</v>
      </c>
      <c r="K21">
        <f>'Background graphCON'!K22+'Background graphEXPL_CH'!X22</f>
        <v>0</v>
      </c>
      <c r="L21">
        <f t="shared" si="0"/>
        <v>21143.390185768891</v>
      </c>
      <c r="M21">
        <f t="shared" si="1"/>
        <v>34623.565057645981</v>
      </c>
      <c r="N21">
        <f>IF(A21='Outil Cibles'!$D$7, 'Outil Cibles'!$D$8, 0)</f>
        <v>0</v>
      </c>
      <c r="O21">
        <f>IF(A21='Outil Cibles'!$E$7, 'Outil Cibles'!$E$8, 0)</f>
        <v>0</v>
      </c>
      <c r="P21">
        <f>IF(A21='Outil Cibles'!$F$7, 'Outil Cibles'!$F$8, 0)</f>
        <v>0</v>
      </c>
      <c r="Q21">
        <f>IF(A21='Outil Cibles'!$G$7, 'Outil Cibles'!$G$8, 0)</f>
        <v>0</v>
      </c>
      <c r="R21">
        <f>IF(A21='Outil Cibles'!$H$7, 'Outil Cibles'!$H$8, 0)</f>
        <v>0</v>
      </c>
      <c r="S21">
        <f>IF(A21='Outil Cibles'!$I$7, 'Outil Cibles'!$I$8, 0)</f>
        <v>0</v>
      </c>
      <c r="T21">
        <f>IF(A21='Outil Cibles'!$J$7, 'Outil Cibles'!$J$8, 0)</f>
        <v>0</v>
      </c>
      <c r="U21">
        <f>IF(A21='Outil Cibles'!$K$7, 'Outil Cibles'!$K$8, 0)</f>
        <v>0</v>
      </c>
      <c r="V21">
        <f>IF(A21='Outil Cibles'!$L$7, 'Outil Cibles'!$L$8, 0)</f>
        <v>0</v>
      </c>
      <c r="W21">
        <f>IF(A21='Outil Cibles'!$M$7, 'Outil Cibles'!$M$8, 0)</f>
        <v>0</v>
      </c>
      <c r="X21">
        <f t="shared" si="2"/>
        <v>0</v>
      </c>
      <c r="Y21">
        <f t="shared" si="6"/>
        <v>5000</v>
      </c>
      <c r="AA21">
        <f t="shared" si="4"/>
        <v>6.9247130115291959</v>
      </c>
      <c r="AB21" s="23">
        <f>'Background graphCON'!L105+'Background graphEXPL_CH'!Y22</f>
        <v>54018.515514178784</v>
      </c>
      <c r="AC21">
        <f t="shared" si="5"/>
        <v>10.803703102835756</v>
      </c>
    </row>
    <row r="22" spans="1:29" x14ac:dyDescent="0.3">
      <c r="A22" s="10">
        <v>2040</v>
      </c>
      <c r="B22">
        <f>'Background graphCON'!B23+'Background graphEXPL_CH'!O23</f>
        <v>2585.5157380365981</v>
      </c>
      <c r="C22">
        <f>'Background graphCON'!C23+'Background graphEXPL_CH'!P23</f>
        <v>6962.6722623861624</v>
      </c>
      <c r="D22">
        <f>'Background graphCON'!D23+'Background graphEXPL_CH'!Q23</f>
        <v>5185.0137535102594</v>
      </c>
      <c r="E22">
        <f>'Background graphCON'!E23+'Background graphEXPL_CH'!R23</f>
        <v>3591.4413199390674</v>
      </c>
      <c r="F22">
        <f>'Background graphCON'!F23+'Background graphEXPL_CH'!S23</f>
        <v>2818.747111896801</v>
      </c>
      <c r="G22">
        <f>'Background graphCON'!G23+'Background graphEXPL_CH'!T23</f>
        <v>254729.23990502348</v>
      </c>
      <c r="H22">
        <f>'Background graphCON'!H23+'Background graphEXPL_CH'!U23</f>
        <v>0</v>
      </c>
      <c r="I22">
        <f>'Background graphCON'!I23+'Background graphEXPL_CH'!V23</f>
        <v>0</v>
      </c>
      <c r="J22">
        <f>'Background graphCON'!J23+'Background graphEXPL_CH'!W23</f>
        <v>0</v>
      </c>
      <c r="K22">
        <f>'Background graphCON'!K23+'Background graphEXPL_CH'!X23</f>
        <v>0</v>
      </c>
      <c r="L22">
        <f t="shared" si="0"/>
        <v>275872.63009079237</v>
      </c>
      <c r="M22">
        <f t="shared" si="1"/>
        <v>39221.442225825856</v>
      </c>
      <c r="N22">
        <f>IF(A22='Outil Cibles'!$D$7, 'Outil Cibles'!$D$8, 0)</f>
        <v>0</v>
      </c>
      <c r="O22">
        <f>IF(A22='Outil Cibles'!$E$7, 'Outil Cibles'!$E$8, 0)</f>
        <v>0</v>
      </c>
      <c r="P22">
        <f>IF(A22='Outil Cibles'!$F$7, 'Outil Cibles'!$F$8, 0)</f>
        <v>0</v>
      </c>
      <c r="Q22">
        <f>IF(A22='Outil Cibles'!$G$7, 'Outil Cibles'!$G$8, 0)</f>
        <v>0</v>
      </c>
      <c r="R22">
        <f>IF(A22='Outil Cibles'!$H$7, 'Outil Cibles'!$H$8, 0)</f>
        <v>0</v>
      </c>
      <c r="S22">
        <f>IF(A22='Outil Cibles'!$I$7, 'Outil Cibles'!$I$8, 0)</f>
        <v>1000</v>
      </c>
      <c r="T22">
        <f>IF(A22='Outil Cibles'!$J$7, 'Outil Cibles'!$J$8, 0)</f>
        <v>0</v>
      </c>
      <c r="U22">
        <f>IF(A22='Outil Cibles'!$K$7, 'Outil Cibles'!$K$8, 0)</f>
        <v>0</v>
      </c>
      <c r="V22">
        <f>IF(A22='Outil Cibles'!$L$7, 'Outil Cibles'!$L$8, 0)</f>
        <v>0</v>
      </c>
      <c r="W22">
        <f>IF(A22='Outil Cibles'!$M$7, 'Outil Cibles'!$M$8, 0)</f>
        <v>0</v>
      </c>
      <c r="X22">
        <f t="shared" si="2"/>
        <v>1000</v>
      </c>
      <c r="Y22">
        <f t="shared" si="6"/>
        <v>6000</v>
      </c>
      <c r="AA22">
        <f t="shared" si="4"/>
        <v>6.5369070376376426</v>
      </c>
      <c r="AB22" s="23">
        <f>'Background graphCON'!L106+'Background graphEXPL_CH'!Y23</f>
        <v>60641.776236397971</v>
      </c>
      <c r="AC22">
        <f t="shared" si="5"/>
        <v>10.106962706066328</v>
      </c>
    </row>
    <row r="23" spans="1:29" x14ac:dyDescent="0.3">
      <c r="A23">
        <v>2041</v>
      </c>
      <c r="B23">
        <f>'Background graphCON'!B24+'Background graphEXPL_CH'!O24</f>
        <v>2585.5157380365981</v>
      </c>
      <c r="C23">
        <f>'Background graphCON'!C24+'Background graphEXPL_CH'!P24</f>
        <v>6962.6722623861624</v>
      </c>
      <c r="D23">
        <f>'Background graphCON'!D24+'Background graphEXPL_CH'!Q24</f>
        <v>5185.0137535102594</v>
      </c>
      <c r="E23">
        <f>'Background graphCON'!E24+'Background graphEXPL_CH'!R24</f>
        <v>3591.4413199390674</v>
      </c>
      <c r="F23">
        <f>'Background graphCON'!F24+'Background graphEXPL_CH'!S24</f>
        <v>2818.747111896801</v>
      </c>
      <c r="G23">
        <f>'Background graphCON'!G24+'Background graphEXPL_CH'!T24</f>
        <v>2373.2147362230471</v>
      </c>
      <c r="H23">
        <f>'Background graphCON'!H24+'Background graphEXPL_CH'!U24</f>
        <v>0</v>
      </c>
      <c r="I23">
        <f>'Background graphCON'!I24+'Background graphEXPL_CH'!V24</f>
        <v>0</v>
      </c>
      <c r="J23">
        <f>'Background graphCON'!J24+'Background graphEXPL_CH'!W24</f>
        <v>0</v>
      </c>
      <c r="K23">
        <f>'Background graphCON'!K24+'Background graphEXPL_CH'!X24</f>
        <v>0</v>
      </c>
      <c r="L23">
        <f t="shared" si="0"/>
        <v>23516.604921991937</v>
      </c>
      <c r="M23">
        <f t="shared" si="1"/>
        <v>39613.385641192392</v>
      </c>
      <c r="N23">
        <f>IF(A23='Outil Cibles'!$D$7, 'Outil Cibles'!$D$8, 0)</f>
        <v>0</v>
      </c>
      <c r="O23">
        <f>IF(A23='Outil Cibles'!$E$7, 'Outil Cibles'!$E$8, 0)</f>
        <v>0</v>
      </c>
      <c r="P23">
        <f>IF(A23='Outil Cibles'!$F$7, 'Outil Cibles'!$F$8, 0)</f>
        <v>0</v>
      </c>
      <c r="Q23">
        <f>IF(A23='Outil Cibles'!$G$7, 'Outil Cibles'!$G$8, 0)</f>
        <v>0</v>
      </c>
      <c r="R23">
        <f>IF(A23='Outil Cibles'!$H$7, 'Outil Cibles'!$H$8, 0)</f>
        <v>0</v>
      </c>
      <c r="S23">
        <f>IF(A23='Outil Cibles'!$I$7, 'Outil Cibles'!$I$8, 0)</f>
        <v>0</v>
      </c>
      <c r="T23">
        <f>IF(A23='Outil Cibles'!$J$7, 'Outil Cibles'!$J$8, 0)</f>
        <v>0</v>
      </c>
      <c r="U23">
        <f>IF(A23='Outil Cibles'!$K$7, 'Outil Cibles'!$K$8, 0)</f>
        <v>0</v>
      </c>
      <c r="V23">
        <f>IF(A23='Outil Cibles'!$L$7, 'Outil Cibles'!$L$8, 0)</f>
        <v>0</v>
      </c>
      <c r="W23">
        <f>IF(A23='Outil Cibles'!$M$7, 'Outil Cibles'!$M$8, 0)</f>
        <v>0</v>
      </c>
      <c r="X23">
        <f t="shared" si="2"/>
        <v>0</v>
      </c>
      <c r="Y23">
        <f t="shared" si="6"/>
        <v>6000</v>
      </c>
      <c r="AA23">
        <f t="shared" si="4"/>
        <v>6.6022309401987318</v>
      </c>
      <c r="AB23" s="23">
        <f>'Background graphCON'!L107+'Background graphEXPL_CH'!Y24</f>
        <v>60641.776236397971</v>
      </c>
      <c r="AC23">
        <f t="shared" si="5"/>
        <v>10.106962706066328</v>
      </c>
    </row>
    <row r="24" spans="1:29" x14ac:dyDescent="0.3">
      <c r="A24">
        <v>2042</v>
      </c>
      <c r="B24">
        <f>'Background graphCON'!B25+'Background graphEXPL_CH'!O25</f>
        <v>2585.5157380365981</v>
      </c>
      <c r="C24">
        <f>'Background graphCON'!C25+'Background graphEXPL_CH'!P25</f>
        <v>6962.6722623861624</v>
      </c>
      <c r="D24">
        <f>'Background graphCON'!D25+'Background graphEXPL_CH'!Q25</f>
        <v>5185.0137535102594</v>
      </c>
      <c r="E24">
        <f>'Background graphCON'!E25+'Background graphEXPL_CH'!R25</f>
        <v>3591.4413199390674</v>
      </c>
      <c r="F24">
        <f>'Background graphCON'!F25+'Background graphEXPL_CH'!S25</f>
        <v>2818.747111896801</v>
      </c>
      <c r="G24">
        <f>'Background graphCON'!G25+'Background graphEXPL_CH'!T25</f>
        <v>2373.2147362230471</v>
      </c>
      <c r="H24">
        <f>'Background graphCON'!H25+'Background graphEXPL_CH'!U25</f>
        <v>232743.30577893002</v>
      </c>
      <c r="I24">
        <f>'Background graphCON'!I25+'Background graphEXPL_CH'!V25</f>
        <v>0</v>
      </c>
      <c r="J24">
        <f>'Background graphCON'!J25+'Background graphEXPL_CH'!W25</f>
        <v>0</v>
      </c>
      <c r="K24">
        <f>'Background graphCON'!K25+'Background graphEXPL_CH'!X25</f>
        <v>0</v>
      </c>
      <c r="L24">
        <f t="shared" si="0"/>
        <v>256259.91070092196</v>
      </c>
      <c r="M24">
        <f t="shared" si="1"/>
        <v>43884.384152874423</v>
      </c>
      <c r="N24">
        <f>IF(A24='Outil Cibles'!$D$7, 'Outil Cibles'!$D$8, 0)</f>
        <v>0</v>
      </c>
      <c r="O24">
        <f>IF(A24='Outil Cibles'!$E$7, 'Outil Cibles'!$E$8, 0)</f>
        <v>0</v>
      </c>
      <c r="P24">
        <f>IF(A24='Outil Cibles'!$F$7, 'Outil Cibles'!$F$8, 0)</f>
        <v>0</v>
      </c>
      <c r="Q24">
        <f>IF(A24='Outil Cibles'!$G$7, 'Outil Cibles'!$G$8, 0)</f>
        <v>0</v>
      </c>
      <c r="R24">
        <f>IF(A24='Outil Cibles'!$H$7, 'Outil Cibles'!$H$8, 0)</f>
        <v>0</v>
      </c>
      <c r="S24">
        <f>IF(A24='Outil Cibles'!$I$7, 'Outil Cibles'!$I$8, 0)</f>
        <v>0</v>
      </c>
      <c r="T24">
        <f>IF(A24='Outil Cibles'!$J$7, 'Outil Cibles'!$J$8, 0)</f>
        <v>1000</v>
      </c>
      <c r="U24">
        <f>IF(A24='Outil Cibles'!$K$7, 'Outil Cibles'!$K$8, 0)</f>
        <v>0</v>
      </c>
      <c r="V24">
        <f>IF(A24='Outil Cibles'!$L$7, 'Outil Cibles'!$L$8, 0)</f>
        <v>0</v>
      </c>
      <c r="W24">
        <f>IF(A24='Outil Cibles'!$M$7, 'Outil Cibles'!$M$8, 0)</f>
        <v>0</v>
      </c>
      <c r="X24">
        <f t="shared" si="2"/>
        <v>1000</v>
      </c>
      <c r="Y24">
        <f t="shared" si="6"/>
        <v>7000</v>
      </c>
      <c r="AA24">
        <f t="shared" si="4"/>
        <v>6.2691977361249176</v>
      </c>
      <c r="AB24" s="23">
        <f>'Background graphCON'!L108+'Background graphEXPL_CH'!Y25</f>
        <v>66465.422103681354</v>
      </c>
      <c r="AC24">
        <f t="shared" si="5"/>
        <v>9.4950603005259069</v>
      </c>
    </row>
    <row r="25" spans="1:29" x14ac:dyDescent="0.3">
      <c r="A25">
        <v>2043</v>
      </c>
      <c r="B25">
        <f>'Background graphCON'!B26+'Background graphEXPL_CH'!O26</f>
        <v>2585.5157380365981</v>
      </c>
      <c r="C25">
        <f>'Background graphCON'!C26+'Background graphEXPL_CH'!P26</f>
        <v>6962.6722623861624</v>
      </c>
      <c r="D25">
        <f>'Background graphCON'!D26+'Background graphEXPL_CH'!Q26</f>
        <v>5185.0137535102594</v>
      </c>
      <c r="E25">
        <f>'Background graphCON'!E26+'Background graphEXPL_CH'!R26</f>
        <v>3591.4413199390674</v>
      </c>
      <c r="F25">
        <f>'Background graphCON'!F26+'Background graphEXPL_CH'!S26</f>
        <v>2818.747111896801</v>
      </c>
      <c r="G25">
        <f>'Background graphCON'!G26+'Background graphEXPL_CH'!T26</f>
        <v>2373.2147362230471</v>
      </c>
      <c r="H25">
        <f>'Background graphCON'!H26+'Background graphEXPL_CH'!U26</f>
        <v>1945.4894525084028</v>
      </c>
      <c r="I25">
        <f>'Background graphCON'!I26+'Background graphEXPL_CH'!V26</f>
        <v>0</v>
      </c>
      <c r="J25">
        <f>'Background graphCON'!J26+'Background graphEXPL_CH'!W26</f>
        <v>0</v>
      </c>
      <c r="K25">
        <f>'Background graphCON'!K26+'Background graphEXPL_CH'!X26</f>
        <v>0</v>
      </c>
      <c r="L25">
        <f t="shared" si="0"/>
        <v>25462.094374500339</v>
      </c>
      <c r="M25">
        <f t="shared" si="1"/>
        <v>44308.752392449431</v>
      </c>
      <c r="N25">
        <f>IF(A25='Outil Cibles'!$D$7, 'Outil Cibles'!$D$8, 0)</f>
        <v>0</v>
      </c>
      <c r="O25">
        <f>IF(A25='Outil Cibles'!$E$7, 'Outil Cibles'!$E$8, 0)</f>
        <v>0</v>
      </c>
      <c r="P25">
        <f>IF(A25='Outil Cibles'!$F$7, 'Outil Cibles'!$F$8, 0)</f>
        <v>0</v>
      </c>
      <c r="Q25">
        <f>IF(A25='Outil Cibles'!$G$7, 'Outil Cibles'!$G$8, 0)</f>
        <v>0</v>
      </c>
      <c r="R25">
        <f>IF(A25='Outil Cibles'!$H$7, 'Outil Cibles'!$H$8, 0)</f>
        <v>0</v>
      </c>
      <c r="S25">
        <f>IF(A25='Outil Cibles'!$I$7, 'Outil Cibles'!$I$8, 0)</f>
        <v>0</v>
      </c>
      <c r="T25">
        <f>IF(A25='Outil Cibles'!$J$7, 'Outil Cibles'!$J$8, 0)</f>
        <v>0</v>
      </c>
      <c r="U25">
        <f>IF(A25='Outil Cibles'!$K$7, 'Outil Cibles'!$K$8, 0)</f>
        <v>0</v>
      </c>
      <c r="V25">
        <f>IF(A25='Outil Cibles'!$L$7, 'Outil Cibles'!$L$8, 0)</f>
        <v>0</v>
      </c>
      <c r="W25">
        <f>IF(A25='Outil Cibles'!$M$7, 'Outil Cibles'!$M$8, 0)</f>
        <v>0</v>
      </c>
      <c r="X25">
        <f t="shared" si="2"/>
        <v>0</v>
      </c>
      <c r="Y25">
        <f t="shared" si="6"/>
        <v>7000</v>
      </c>
      <c r="AA25">
        <f t="shared" si="4"/>
        <v>6.3298217703499189</v>
      </c>
      <c r="AB25" s="23">
        <f>'Background graphCON'!L109+'Background graphEXPL_CH'!Y26</f>
        <v>66465.422103681354</v>
      </c>
      <c r="AC25">
        <f t="shared" si="5"/>
        <v>9.4950603005259069</v>
      </c>
    </row>
    <row r="26" spans="1:29" x14ac:dyDescent="0.3">
      <c r="A26">
        <v>2044</v>
      </c>
      <c r="B26">
        <f>'Background graphCON'!B27+'Background graphEXPL_CH'!O27</f>
        <v>10062.003458634312</v>
      </c>
      <c r="C26">
        <f>'Background graphCON'!C27+'Background graphEXPL_CH'!P27</f>
        <v>6962.6722623861624</v>
      </c>
      <c r="D26">
        <f>'Background graphCON'!D27+'Background graphEXPL_CH'!Q27</f>
        <v>5185.0137535102594</v>
      </c>
      <c r="E26">
        <f>'Background graphCON'!E27+'Background graphEXPL_CH'!R27</f>
        <v>3591.4413199390674</v>
      </c>
      <c r="F26">
        <f>'Background graphCON'!F27+'Background graphEXPL_CH'!S27</f>
        <v>2818.747111896801</v>
      </c>
      <c r="G26">
        <f>'Background graphCON'!G27+'Background graphEXPL_CH'!T27</f>
        <v>2373.2147362230471</v>
      </c>
      <c r="H26">
        <f>'Background graphCON'!H27+'Background graphEXPL_CH'!U27</f>
        <v>1945.4894525084028</v>
      </c>
      <c r="I26">
        <f>'Background graphCON'!I27+'Background graphEXPL_CH'!V27</f>
        <v>214278.13171318924</v>
      </c>
      <c r="J26">
        <f>'Background graphCON'!J27+'Background graphEXPL_CH'!W27</f>
        <v>0</v>
      </c>
      <c r="K26">
        <f>'Background graphCON'!K27+'Background graphEXPL_CH'!X27</f>
        <v>0</v>
      </c>
      <c r="L26">
        <f t="shared" si="0"/>
        <v>247216.71380828728</v>
      </c>
      <c r="M26">
        <f t="shared" si="1"/>
        <v>48429.030955920884</v>
      </c>
      <c r="N26">
        <f>IF(A26='Outil Cibles'!$D$7, 'Outil Cibles'!$D$8, 0)</f>
        <v>0</v>
      </c>
      <c r="O26">
        <f>IF(A26='Outil Cibles'!$E$7, 'Outil Cibles'!$E$8, 0)</f>
        <v>0</v>
      </c>
      <c r="P26">
        <f>IF(A26='Outil Cibles'!$F$7, 'Outil Cibles'!$F$8, 0)</f>
        <v>0</v>
      </c>
      <c r="Q26">
        <f>IF(A26='Outil Cibles'!$G$7, 'Outil Cibles'!$G$8, 0)</f>
        <v>0</v>
      </c>
      <c r="R26">
        <f>IF(A26='Outil Cibles'!$H$7, 'Outil Cibles'!$H$8, 0)</f>
        <v>0</v>
      </c>
      <c r="S26">
        <f>IF(A26='Outil Cibles'!$I$7, 'Outil Cibles'!$I$8, 0)</f>
        <v>0</v>
      </c>
      <c r="T26">
        <f>IF(A26='Outil Cibles'!$J$7, 'Outil Cibles'!$J$8, 0)</f>
        <v>0</v>
      </c>
      <c r="U26">
        <f>IF(A26='Outil Cibles'!$K$7, 'Outil Cibles'!$K$8, 0)</f>
        <v>1000</v>
      </c>
      <c r="V26">
        <f>IF(A26='Outil Cibles'!$L$7, 'Outil Cibles'!$L$8, 0)</f>
        <v>0</v>
      </c>
      <c r="W26">
        <f>IF(A26='Outil Cibles'!$M$7, 'Outil Cibles'!$M$8, 0)</f>
        <v>0</v>
      </c>
      <c r="X26">
        <f t="shared" si="2"/>
        <v>1000</v>
      </c>
      <c r="Y26">
        <f t="shared" si="6"/>
        <v>8000</v>
      </c>
      <c r="AA26">
        <f t="shared" si="4"/>
        <v>6.0536288694901108</v>
      </c>
      <c r="AB26" s="23">
        <f>'Background graphCON'!L110+'Background graphEXPL_CH'!Y27</f>
        <v>71521.307526969642</v>
      </c>
      <c r="AC26">
        <f t="shared" si="5"/>
        <v>8.9401634408712045</v>
      </c>
    </row>
    <row r="27" spans="1:29" x14ac:dyDescent="0.3">
      <c r="A27" s="10">
        <v>2045</v>
      </c>
      <c r="B27">
        <f>'Background graphCON'!B28+'Background graphEXPL_CH'!O28</f>
        <v>414.69957764721318</v>
      </c>
      <c r="C27">
        <f>'Background graphCON'!C28+'Background graphEXPL_CH'!P28</f>
        <v>6962.6722623861624</v>
      </c>
      <c r="D27">
        <f>'Background graphCON'!D28+'Background graphEXPL_CH'!Q28</f>
        <v>5185.0137535102594</v>
      </c>
      <c r="E27">
        <f>'Background graphCON'!E28+'Background graphEXPL_CH'!R28</f>
        <v>3591.4413199390674</v>
      </c>
      <c r="F27">
        <f>'Background graphCON'!F28+'Background graphEXPL_CH'!S28</f>
        <v>2818.747111896801</v>
      </c>
      <c r="G27">
        <f>'Background graphCON'!G28+'Background graphEXPL_CH'!T28</f>
        <v>2373.2147362230471</v>
      </c>
      <c r="H27">
        <f>'Background graphCON'!H28+'Background graphEXPL_CH'!U28</f>
        <v>1945.4894525084028</v>
      </c>
      <c r="I27">
        <f>'Background graphCON'!I28+'Background graphEXPL_CH'!V28</f>
        <v>1485.7888961774443</v>
      </c>
      <c r="J27">
        <f>'Background graphCON'!J28+'Background graphEXPL_CH'!W28</f>
        <v>0</v>
      </c>
      <c r="K27">
        <f>'Background graphCON'!K28+'Background graphEXPL_CH'!X28</f>
        <v>0</v>
      </c>
      <c r="L27">
        <f t="shared" si="0"/>
        <v>24777.067110288397</v>
      </c>
      <c r="M27">
        <f t="shared" si="1"/>
        <v>48841.982074425687</v>
      </c>
      <c r="N27">
        <f>IF(A27='Outil Cibles'!$D$7, 'Outil Cibles'!$D$8, 0)</f>
        <v>0</v>
      </c>
      <c r="O27">
        <f>IF(A27='Outil Cibles'!$E$7, 'Outil Cibles'!$E$8, 0)</f>
        <v>0</v>
      </c>
      <c r="P27">
        <f>IF(A27='Outil Cibles'!$F$7, 'Outil Cibles'!$F$8, 0)</f>
        <v>0</v>
      </c>
      <c r="Q27">
        <f>IF(A27='Outil Cibles'!$G$7, 'Outil Cibles'!$G$8, 0)</f>
        <v>0</v>
      </c>
      <c r="R27">
        <f>IF(A27='Outil Cibles'!$H$7, 'Outil Cibles'!$H$8, 0)</f>
        <v>0</v>
      </c>
      <c r="S27">
        <f>IF(A27='Outil Cibles'!$I$7, 'Outil Cibles'!$I$8, 0)</f>
        <v>0</v>
      </c>
      <c r="T27">
        <f>IF(A27='Outil Cibles'!$J$7, 'Outil Cibles'!$J$8, 0)</f>
        <v>0</v>
      </c>
      <c r="U27">
        <f>IF(A27='Outil Cibles'!$K$7, 'Outil Cibles'!$K$8, 0)</f>
        <v>0</v>
      </c>
      <c r="V27">
        <f>IF(A27='Outil Cibles'!$L$7, 'Outil Cibles'!$L$8, 0)</f>
        <v>0</v>
      </c>
      <c r="W27">
        <f>IF(A27='Outil Cibles'!$M$7, 'Outil Cibles'!$M$8, 0)</f>
        <v>0</v>
      </c>
      <c r="X27">
        <f t="shared" si="2"/>
        <v>0</v>
      </c>
      <c r="Y27">
        <f t="shared" si="6"/>
        <v>8000</v>
      </c>
      <c r="AA27">
        <f t="shared" si="4"/>
        <v>6.1052477593032108</v>
      </c>
      <c r="AB27" s="23">
        <f>'Background graphCON'!L111+'Background graphEXPL_CH'!Y28</f>
        <v>69350.49136658026</v>
      </c>
      <c r="AC27">
        <f t="shared" si="5"/>
        <v>8.6688114208225322</v>
      </c>
    </row>
    <row r="28" spans="1:29" x14ac:dyDescent="0.3">
      <c r="A28">
        <v>2046</v>
      </c>
      <c r="B28">
        <f>'Background graphCON'!B29+'Background graphEXPL_CH'!O29</f>
        <v>414.69957764721318</v>
      </c>
      <c r="C28">
        <f>'Background graphCON'!C29+'Background graphEXPL_CH'!P29</f>
        <v>13136.01538687056</v>
      </c>
      <c r="D28">
        <f>'Background graphCON'!D29+'Background graphEXPL_CH'!Q29</f>
        <v>5185.0137535102594</v>
      </c>
      <c r="E28">
        <f>'Background graphCON'!E29+'Background graphEXPL_CH'!R29</f>
        <v>3591.4413199390674</v>
      </c>
      <c r="F28">
        <f>'Background graphCON'!F29+'Background graphEXPL_CH'!S29</f>
        <v>2818.747111896801</v>
      </c>
      <c r="G28">
        <f>'Background graphCON'!G29+'Background graphEXPL_CH'!T29</f>
        <v>2373.2147362230471</v>
      </c>
      <c r="H28">
        <f>'Background graphCON'!H29+'Background graphEXPL_CH'!U29</f>
        <v>1945.4894525084028</v>
      </c>
      <c r="I28">
        <f>'Background graphCON'!I29+'Background graphEXPL_CH'!V29</f>
        <v>1485.7888961774443</v>
      </c>
      <c r="J28">
        <f>'Background graphCON'!J29+'Background graphEXPL_CH'!W29</f>
        <v>0</v>
      </c>
      <c r="K28">
        <f>'Background graphCON'!K29+'Background graphEXPL_CH'!X29</f>
        <v>0</v>
      </c>
      <c r="L28">
        <f t="shared" si="0"/>
        <v>30950.410234772797</v>
      </c>
      <c r="M28">
        <f t="shared" si="1"/>
        <v>49357.822245005234</v>
      </c>
      <c r="N28">
        <f>IF(A28='Outil Cibles'!$D$7, 'Outil Cibles'!$D$8, 0)</f>
        <v>0</v>
      </c>
      <c r="O28">
        <f>IF(A28='Outil Cibles'!$E$7, 'Outil Cibles'!$E$8, 0)</f>
        <v>0</v>
      </c>
      <c r="P28">
        <f>IF(A28='Outil Cibles'!$F$7, 'Outil Cibles'!$F$8, 0)</f>
        <v>0</v>
      </c>
      <c r="Q28">
        <f>IF(A28='Outil Cibles'!$G$7, 'Outil Cibles'!$G$8, 0)</f>
        <v>0</v>
      </c>
      <c r="R28">
        <f>IF(A28='Outil Cibles'!$H$7, 'Outil Cibles'!$H$8, 0)</f>
        <v>0</v>
      </c>
      <c r="S28">
        <f>IF(A28='Outil Cibles'!$I$7, 'Outil Cibles'!$I$8, 0)</f>
        <v>0</v>
      </c>
      <c r="T28">
        <f>IF(A28='Outil Cibles'!$J$7, 'Outil Cibles'!$J$8, 0)</f>
        <v>0</v>
      </c>
      <c r="U28">
        <f>IF(A28='Outil Cibles'!$K$7, 'Outil Cibles'!$K$8, 0)</f>
        <v>0</v>
      </c>
      <c r="V28">
        <f>IF(A28='Outil Cibles'!$L$7, 'Outil Cibles'!$L$8, 0)</f>
        <v>0</v>
      </c>
      <c r="W28">
        <f>IF(A28='Outil Cibles'!$M$7, 'Outil Cibles'!$M$8, 0)</f>
        <v>0</v>
      </c>
      <c r="X28">
        <f t="shared" si="2"/>
        <v>0</v>
      </c>
      <c r="Y28">
        <f t="shared" si="6"/>
        <v>8000</v>
      </c>
      <c r="AA28">
        <f t="shared" si="4"/>
        <v>6.1697277806256547</v>
      </c>
      <c r="AB28" s="23">
        <f>'Background graphCON'!L112+'Background graphEXPL_CH'!Y29</f>
        <v>69350.49136658026</v>
      </c>
      <c r="AC28">
        <f t="shared" si="5"/>
        <v>8.6688114208225322</v>
      </c>
    </row>
    <row r="29" spans="1:29" x14ac:dyDescent="0.3">
      <c r="A29">
        <v>2047</v>
      </c>
      <c r="B29">
        <f>'Background graphCON'!B30+'Background graphEXPL_CH'!O30</f>
        <v>414.69957764721318</v>
      </c>
      <c r="C29">
        <f>'Background graphCON'!C30+'Background graphEXPL_CH'!P30</f>
        <v>999.44040982840659</v>
      </c>
      <c r="D29">
        <f>'Background graphCON'!D30+'Background graphEXPL_CH'!Q30</f>
        <v>5185.0137535102594</v>
      </c>
      <c r="E29">
        <f>'Background graphCON'!E30+'Background graphEXPL_CH'!R30</f>
        <v>3591.4413199390674</v>
      </c>
      <c r="F29">
        <f>'Background graphCON'!F30+'Background graphEXPL_CH'!S30</f>
        <v>2818.747111896801</v>
      </c>
      <c r="G29">
        <f>'Background graphCON'!G30+'Background graphEXPL_CH'!T30</f>
        <v>2373.2147362230471</v>
      </c>
      <c r="H29">
        <f>'Background graphCON'!H30+'Background graphEXPL_CH'!U30</f>
        <v>1945.4894525084028</v>
      </c>
      <c r="I29">
        <f>'Background graphCON'!I30+'Background graphEXPL_CH'!V30</f>
        <v>1485.7888961774443</v>
      </c>
      <c r="J29">
        <f>'Background graphCON'!J30+'Background graphEXPL_CH'!W30</f>
        <v>0</v>
      </c>
      <c r="K29">
        <f>'Background graphCON'!K30+'Background graphEXPL_CH'!X30</f>
        <v>0</v>
      </c>
      <c r="L29">
        <f t="shared" si="0"/>
        <v>18813.83525773064</v>
      </c>
      <c r="M29">
        <f t="shared" si="1"/>
        <v>49671.386165967415</v>
      </c>
      <c r="N29">
        <f>IF(A29='Outil Cibles'!$D$7, 'Outil Cibles'!$D$8, 0)</f>
        <v>0</v>
      </c>
      <c r="O29">
        <f>IF(A29='Outil Cibles'!$E$7, 'Outil Cibles'!$E$8, 0)</f>
        <v>0</v>
      </c>
      <c r="P29">
        <f>IF(A29='Outil Cibles'!$F$7, 'Outil Cibles'!$F$8, 0)</f>
        <v>0</v>
      </c>
      <c r="Q29">
        <f>IF(A29='Outil Cibles'!$G$7, 'Outil Cibles'!$G$8, 0)</f>
        <v>0</v>
      </c>
      <c r="R29">
        <f>IF(A29='Outil Cibles'!$H$7, 'Outil Cibles'!$H$8, 0)</f>
        <v>0</v>
      </c>
      <c r="S29">
        <f>IF(A29='Outil Cibles'!$I$7, 'Outil Cibles'!$I$8, 0)</f>
        <v>0</v>
      </c>
      <c r="T29">
        <f>IF(A29='Outil Cibles'!$J$7, 'Outil Cibles'!$J$8, 0)</f>
        <v>0</v>
      </c>
      <c r="U29">
        <f>IF(A29='Outil Cibles'!$K$7, 'Outil Cibles'!$K$8, 0)</f>
        <v>0</v>
      </c>
      <c r="V29">
        <f>IF(A29='Outil Cibles'!$L$7, 'Outil Cibles'!$L$8, 0)</f>
        <v>0</v>
      </c>
      <c r="W29">
        <f>IF(A29='Outil Cibles'!$M$7, 'Outil Cibles'!$M$8, 0)</f>
        <v>0</v>
      </c>
      <c r="X29">
        <f t="shared" si="2"/>
        <v>0</v>
      </c>
      <c r="Y29">
        <f t="shared" si="6"/>
        <v>8000</v>
      </c>
      <c r="AA29">
        <f t="shared" si="4"/>
        <v>6.2089232707459265</v>
      </c>
      <c r="AB29" s="23">
        <f>'Background graphCON'!L113+'Background graphEXPL_CH'!Y30</f>
        <v>63387.259514022502</v>
      </c>
      <c r="AC29">
        <f t="shared" si="5"/>
        <v>7.9234074392528129</v>
      </c>
    </row>
    <row r="30" spans="1:29" x14ac:dyDescent="0.3">
      <c r="A30">
        <v>2048</v>
      </c>
      <c r="B30">
        <f>'Background graphCON'!B31+'Background graphEXPL_CH'!O31</f>
        <v>414.69957764721318</v>
      </c>
      <c r="C30">
        <f>'Background graphCON'!C31+'Background graphEXPL_CH'!P31</f>
        <v>999.44040982840659</v>
      </c>
      <c r="D30">
        <f>'Background graphCON'!D31+'Background graphEXPL_CH'!Q31</f>
        <v>5185.0137535102594</v>
      </c>
      <c r="E30">
        <f>'Background graphCON'!E31+'Background graphEXPL_CH'!R31</f>
        <v>3591.4413199390674</v>
      </c>
      <c r="F30">
        <f>'Background graphCON'!F31+'Background graphEXPL_CH'!S31</f>
        <v>2818.747111896801</v>
      </c>
      <c r="G30">
        <f>'Background graphCON'!G31+'Background graphEXPL_CH'!T31</f>
        <v>2373.2147362230471</v>
      </c>
      <c r="H30">
        <f>'Background graphCON'!H31+'Background graphEXPL_CH'!U31</f>
        <v>1945.4894525084028</v>
      </c>
      <c r="I30">
        <f>'Background graphCON'!I31+'Background graphEXPL_CH'!V31</f>
        <v>1485.7888961774443</v>
      </c>
      <c r="J30">
        <f>'Background graphCON'!J31+'Background graphEXPL_CH'!W31</f>
        <v>158257.95084988745</v>
      </c>
      <c r="K30">
        <f>'Background graphCON'!K31+'Background graphEXPL_CH'!X31</f>
        <v>0</v>
      </c>
      <c r="L30">
        <f t="shared" si="0"/>
        <v>177071.7861076181</v>
      </c>
      <c r="M30">
        <f t="shared" si="1"/>
        <v>52622.582601094386</v>
      </c>
      <c r="N30">
        <f>IF(A30='Outil Cibles'!$D$7, 'Outil Cibles'!$D$8, 0)</f>
        <v>0</v>
      </c>
      <c r="O30">
        <f>IF(A30='Outil Cibles'!$E$7, 'Outil Cibles'!$E$8, 0)</f>
        <v>0</v>
      </c>
      <c r="P30">
        <f>IF(A30='Outil Cibles'!$F$7, 'Outil Cibles'!$F$8, 0)</f>
        <v>0</v>
      </c>
      <c r="Q30">
        <f>IF(A30='Outil Cibles'!$G$7, 'Outil Cibles'!$G$8, 0)</f>
        <v>0</v>
      </c>
      <c r="R30">
        <f>IF(A30='Outil Cibles'!$H$7, 'Outil Cibles'!$H$8, 0)</f>
        <v>0</v>
      </c>
      <c r="S30">
        <f>IF(A30='Outil Cibles'!$I$7, 'Outil Cibles'!$I$8, 0)</f>
        <v>0</v>
      </c>
      <c r="T30">
        <f>IF(A30='Outil Cibles'!$J$7, 'Outil Cibles'!$J$8, 0)</f>
        <v>0</v>
      </c>
      <c r="U30">
        <f>IF(A30='Outil Cibles'!$K$7, 'Outil Cibles'!$K$8, 0)</f>
        <v>0</v>
      </c>
      <c r="V30">
        <f>IF(A30='Outil Cibles'!$L$7, 'Outil Cibles'!$L$8, 0)</f>
        <v>1000</v>
      </c>
      <c r="W30">
        <f>IF(A30='Outil Cibles'!$M$7, 'Outil Cibles'!$M$8, 0)</f>
        <v>0</v>
      </c>
      <c r="X30">
        <f t="shared" si="2"/>
        <v>1000</v>
      </c>
      <c r="Y30">
        <f t="shared" si="6"/>
        <v>9000</v>
      </c>
      <c r="AA30">
        <f t="shared" si="4"/>
        <v>5.846953622343821</v>
      </c>
      <c r="AB30" s="23">
        <f>'Background graphCON'!L114+'Background graphEXPL_CH'!Y31</f>
        <v>66593.493336578103</v>
      </c>
      <c r="AC30">
        <f t="shared" si="5"/>
        <v>7.3992770373975674</v>
      </c>
    </row>
    <row r="31" spans="1:29" x14ac:dyDescent="0.3">
      <c r="A31">
        <v>2049</v>
      </c>
      <c r="B31">
        <f>'Background graphCON'!B32+'Background graphEXPL_CH'!O32</f>
        <v>414.69957764721318</v>
      </c>
      <c r="C31">
        <f>'Background graphCON'!C32+'Background graphEXPL_CH'!P32</f>
        <v>999.44040982840659</v>
      </c>
      <c r="D31">
        <f>'Background graphCON'!D32+'Background graphEXPL_CH'!Q32</f>
        <v>5185.0137535102594</v>
      </c>
      <c r="E31">
        <f>'Background graphCON'!E32+'Background graphEXPL_CH'!R32</f>
        <v>3591.4413199390674</v>
      </c>
      <c r="F31">
        <f>'Background graphCON'!F32+'Background graphEXPL_CH'!S32</f>
        <v>2818.747111896801</v>
      </c>
      <c r="G31">
        <f>'Background graphCON'!G32+'Background graphEXPL_CH'!T32</f>
        <v>2373.2147362230471</v>
      </c>
      <c r="H31">
        <f>'Background graphCON'!H32+'Background graphEXPL_CH'!U32</f>
        <v>1945.4894525084028</v>
      </c>
      <c r="I31">
        <f>'Background graphCON'!I32+'Background graphEXPL_CH'!V32</f>
        <v>1485.7888961774443</v>
      </c>
      <c r="J31">
        <f>'Background graphCON'!J32+'Background graphEXPL_CH'!W32</f>
        <v>569.9840501554462</v>
      </c>
      <c r="K31">
        <f>'Background graphCON'!K32+'Background graphEXPL_CH'!X32</f>
        <v>0</v>
      </c>
      <c r="L31">
        <f t="shared" si="0"/>
        <v>19383.819307886086</v>
      </c>
      <c r="M31">
        <f t="shared" si="1"/>
        <v>52945.646256225824</v>
      </c>
      <c r="N31">
        <f>IF(A31='Outil Cibles'!$D$7, 'Outil Cibles'!$D$8, 0)</f>
        <v>0</v>
      </c>
      <c r="O31">
        <f>IF(A31='Outil Cibles'!$E$7, 'Outil Cibles'!$E$8, 0)</f>
        <v>0</v>
      </c>
      <c r="P31">
        <f>IF(A31='Outil Cibles'!$F$7, 'Outil Cibles'!$F$8, 0)</f>
        <v>0</v>
      </c>
      <c r="Q31">
        <f>IF(A31='Outil Cibles'!$G$7, 'Outil Cibles'!$G$8, 0)</f>
        <v>0</v>
      </c>
      <c r="R31">
        <f>IF(A31='Outil Cibles'!$H$7, 'Outil Cibles'!$H$8, 0)</f>
        <v>0</v>
      </c>
      <c r="S31">
        <f>IF(A31='Outil Cibles'!$I$7, 'Outil Cibles'!$I$8, 0)</f>
        <v>0</v>
      </c>
      <c r="T31">
        <f>IF(A31='Outil Cibles'!$J$7, 'Outil Cibles'!$J$8, 0)</f>
        <v>0</v>
      </c>
      <c r="U31">
        <f>IF(A31='Outil Cibles'!$K$7, 'Outil Cibles'!$K$8, 0)</f>
        <v>0</v>
      </c>
      <c r="V31">
        <f>IF(A31='Outil Cibles'!$L$7, 'Outil Cibles'!$L$8, 0)</f>
        <v>0</v>
      </c>
      <c r="W31">
        <f>IF(A31='Outil Cibles'!$M$7, 'Outil Cibles'!$M$8, 0)</f>
        <v>0</v>
      </c>
      <c r="X31">
        <f t="shared" si="2"/>
        <v>0</v>
      </c>
      <c r="Y31">
        <f t="shared" si="6"/>
        <v>9000</v>
      </c>
      <c r="AA31">
        <f t="shared" si="4"/>
        <v>5.8828495840250916</v>
      </c>
      <c r="AB31" s="23">
        <f>'Background graphCON'!L115+'Background graphEXPL_CH'!Y32</f>
        <v>66593.493336578103</v>
      </c>
      <c r="AC31">
        <f t="shared" si="5"/>
        <v>7.3992770373975674</v>
      </c>
    </row>
    <row r="32" spans="1:29" x14ac:dyDescent="0.3">
      <c r="A32" s="10">
        <v>2050</v>
      </c>
      <c r="B32">
        <f>'Background graphCON'!B33+'Background graphEXPL_CH'!O33</f>
        <v>414.69957764721318</v>
      </c>
      <c r="C32">
        <f>'Background graphCON'!C33+'Background graphEXPL_CH'!P33</f>
        <v>999.44040982840659</v>
      </c>
      <c r="D32">
        <f>'Background graphCON'!D33+'Background graphEXPL_CH'!Q33</f>
        <v>10175.501610691868</v>
      </c>
      <c r="E32">
        <f>'Background graphCON'!E33+'Background graphEXPL_CH'!R33</f>
        <v>3591.4413199390674</v>
      </c>
      <c r="F32">
        <f>'Background graphCON'!F33+'Background graphEXPL_CH'!S33</f>
        <v>2818.747111896801</v>
      </c>
      <c r="G32">
        <f>'Background graphCON'!G33+'Background graphEXPL_CH'!T33</f>
        <v>2373.2147362230471</v>
      </c>
      <c r="H32">
        <f>'Background graphCON'!H33+'Background graphEXPL_CH'!U33</f>
        <v>1945.4894525084028</v>
      </c>
      <c r="I32">
        <f>'Background graphCON'!I33+'Background graphEXPL_CH'!V33</f>
        <v>1485.7888961774443</v>
      </c>
      <c r="J32">
        <f>'Background graphCON'!J33+'Background graphEXPL_CH'!W33</f>
        <v>569.9840501554462</v>
      </c>
      <c r="K32">
        <f>'Background graphCON'!K33+'Background graphEXPL_CH'!X33</f>
        <v>142320.18541379613</v>
      </c>
      <c r="L32">
        <f t="shared" si="0"/>
        <v>166694.49257886384</v>
      </c>
      <c r="M32">
        <f t="shared" si="1"/>
        <v>55723.887799206888</v>
      </c>
      <c r="N32">
        <f>IF(A32='Outil Cibles'!$D$7, 'Outil Cibles'!$D$8, 0)</f>
        <v>0</v>
      </c>
      <c r="O32">
        <f>IF(A32='Outil Cibles'!$E$7, 'Outil Cibles'!$E$8, 0)</f>
        <v>0</v>
      </c>
      <c r="P32">
        <f>IF(A32='Outil Cibles'!$F$7, 'Outil Cibles'!$F$8, 0)</f>
        <v>0</v>
      </c>
      <c r="Q32">
        <f>IF(A32='Outil Cibles'!$G$7, 'Outil Cibles'!$G$8, 0)</f>
        <v>0</v>
      </c>
      <c r="R32">
        <f>IF(A32='Outil Cibles'!$H$7, 'Outil Cibles'!$H$8, 0)</f>
        <v>0</v>
      </c>
      <c r="S32">
        <f>IF(A32='Outil Cibles'!$I$7, 'Outil Cibles'!$I$8, 0)</f>
        <v>0</v>
      </c>
      <c r="T32">
        <f>IF(A32='Outil Cibles'!$J$7, 'Outil Cibles'!$J$8, 0)</f>
        <v>0</v>
      </c>
      <c r="U32">
        <f>IF(A32='Outil Cibles'!$K$7, 'Outil Cibles'!$K$8, 0)</f>
        <v>0</v>
      </c>
      <c r="V32">
        <f>IF(A32='Outil Cibles'!$L$7, 'Outil Cibles'!$L$8, 0)</f>
        <v>0</v>
      </c>
      <c r="W32">
        <f>IF(A32='Outil Cibles'!$M$7, 'Outil Cibles'!$M$8, 0)</f>
        <v>1000</v>
      </c>
      <c r="X32">
        <f t="shared" si="2"/>
        <v>1000</v>
      </c>
      <c r="Y32">
        <f t="shared" si="6"/>
        <v>10000</v>
      </c>
      <c r="AA32">
        <f>M32/Y32</f>
        <v>5.572388779920689</v>
      </c>
      <c r="AB32" s="23">
        <f>'Background graphCON'!L116+'Background graphEXPL_CH'!Y33</f>
        <v>69244.634310444555</v>
      </c>
      <c r="AC32">
        <f t="shared" si="5"/>
        <v>6.9244634310444555</v>
      </c>
    </row>
    <row r="33" spans="1:29" x14ac:dyDescent="0.3">
      <c r="A33">
        <v>2051</v>
      </c>
      <c r="B33">
        <f>'Background graphCON'!B34+'Background graphEXPL_CH'!O34</f>
        <v>414.69957764721318</v>
      </c>
      <c r="C33">
        <f>'Background graphCON'!C34+'Background graphEXPL_CH'!P34</f>
        <v>999.44040982840659</v>
      </c>
      <c r="D33">
        <f>'Background graphCON'!D34+'Background graphEXPL_CH'!Q34</f>
        <v>283.22332478112071</v>
      </c>
      <c r="E33">
        <f>'Background graphCON'!E34+'Background graphEXPL_CH'!R34</f>
        <v>3591.4413199390674</v>
      </c>
      <c r="F33">
        <f>'Background graphCON'!F34+'Background graphEXPL_CH'!S34</f>
        <v>2818.747111896801</v>
      </c>
      <c r="G33">
        <f>'Background graphCON'!G34+'Background graphEXPL_CH'!T34</f>
        <v>2373.2147362230471</v>
      </c>
      <c r="H33">
        <f>'Background graphCON'!H34+'Background graphEXPL_CH'!U34</f>
        <v>1945.4894525084028</v>
      </c>
      <c r="I33">
        <f>'Background graphCON'!I34+'Background graphEXPL_CH'!V34</f>
        <v>1485.7888961774443</v>
      </c>
      <c r="J33">
        <f>'Background graphCON'!J34+'Background graphEXPL_CH'!W34</f>
        <v>569.9840501554462</v>
      </c>
      <c r="K33">
        <f>'Background graphCON'!K34+'Background graphEXPL_CH'!X34</f>
        <v>283.22332478112071</v>
      </c>
      <c r="L33">
        <f t="shared" si="0"/>
        <v>14765.252203938067</v>
      </c>
      <c r="M33">
        <f t="shared" si="1"/>
        <v>55969.975335939191</v>
      </c>
      <c r="Y33">
        <f t="shared" si="6"/>
        <v>10000</v>
      </c>
      <c r="AA33">
        <f t="shared" ref="AA33:AA82" si="7">M33/Y33</f>
        <v>5.5969975335939193</v>
      </c>
      <c r="AB33" s="23">
        <f>'Background graphCON'!L117+'Background graphEXPL_CH'!Y34</f>
        <v>64342.843881715409</v>
      </c>
      <c r="AC33">
        <f t="shared" si="5"/>
        <v>6.434284388171541</v>
      </c>
    </row>
    <row r="34" spans="1:29" x14ac:dyDescent="0.3">
      <c r="A34">
        <v>2052</v>
      </c>
      <c r="B34">
        <f>'Background graphCON'!B35+'Background graphEXPL_CH'!O35</f>
        <v>414.69957764721318</v>
      </c>
      <c r="C34">
        <f>'Background graphCON'!C35+'Background graphEXPL_CH'!P35</f>
        <v>999.44040982840659</v>
      </c>
      <c r="D34">
        <f>'Background graphCON'!D35+'Background graphEXPL_CH'!Q35</f>
        <v>283.22332478112071</v>
      </c>
      <c r="E34">
        <f>'Background graphCON'!E35+'Background graphEXPL_CH'!R35</f>
        <v>3591.4413199390674</v>
      </c>
      <c r="F34">
        <f>'Background graphCON'!F35+'Background graphEXPL_CH'!S35</f>
        <v>2818.747111896801</v>
      </c>
      <c r="G34">
        <f>'Background graphCON'!G35+'Background graphEXPL_CH'!T35</f>
        <v>2373.2147362230471</v>
      </c>
      <c r="H34">
        <f>'Background graphCON'!H35+'Background graphEXPL_CH'!U35</f>
        <v>1945.4894525084028</v>
      </c>
      <c r="I34">
        <f>'Background graphCON'!I35+'Background graphEXPL_CH'!V35</f>
        <v>1485.7888961774443</v>
      </c>
      <c r="J34">
        <f>'Background graphCON'!J35+'Background graphEXPL_CH'!W35</f>
        <v>569.9840501554462</v>
      </c>
      <c r="K34">
        <f>'Background graphCON'!K35+'Background graphEXPL_CH'!X35</f>
        <v>283.22332478112071</v>
      </c>
      <c r="L34">
        <f t="shared" si="0"/>
        <v>14765.252203938067</v>
      </c>
      <c r="M34">
        <f t="shared" si="1"/>
        <v>56216.062872671493</v>
      </c>
      <c r="Y34">
        <f t="shared" si="6"/>
        <v>10000</v>
      </c>
      <c r="AA34">
        <f t="shared" si="7"/>
        <v>5.6216062872671495</v>
      </c>
      <c r="AB34" s="23">
        <f>'Background graphCON'!L118+'Background graphEXPL_CH'!Y35</f>
        <v>64342.843881715409</v>
      </c>
      <c r="AC34">
        <f t="shared" si="5"/>
        <v>6.434284388171541</v>
      </c>
    </row>
    <row r="35" spans="1:29" x14ac:dyDescent="0.3">
      <c r="A35">
        <v>2053</v>
      </c>
      <c r="B35">
        <f>'Background graphCON'!B36+'Background graphEXPL_CH'!O36</f>
        <v>414.69957764721318</v>
      </c>
      <c r="C35">
        <f>'Background graphCON'!C36+'Background graphEXPL_CH'!P36</f>
        <v>999.44040982840659</v>
      </c>
      <c r="D35">
        <f>'Background graphCON'!D36+'Background graphEXPL_CH'!Q36</f>
        <v>283.22332478112071</v>
      </c>
      <c r="E35">
        <f>'Background graphCON'!E36+'Background graphEXPL_CH'!R36</f>
        <v>3591.4413199390674</v>
      </c>
      <c r="F35">
        <f>'Background graphCON'!F36+'Background graphEXPL_CH'!S36</f>
        <v>2818.747111896801</v>
      </c>
      <c r="G35">
        <f>'Background graphCON'!G36+'Background graphEXPL_CH'!T36</f>
        <v>2373.2147362230471</v>
      </c>
      <c r="H35">
        <f>'Background graphCON'!H36+'Background graphEXPL_CH'!U36</f>
        <v>1945.4894525084028</v>
      </c>
      <c r="I35">
        <f>'Background graphCON'!I36+'Background graphEXPL_CH'!V36</f>
        <v>1485.7888961774443</v>
      </c>
      <c r="J35">
        <f>'Background graphCON'!J36+'Background graphEXPL_CH'!W36</f>
        <v>569.9840501554462</v>
      </c>
      <c r="K35">
        <f>'Background graphCON'!K36+'Background graphEXPL_CH'!X36</f>
        <v>283.22332478112071</v>
      </c>
      <c r="L35">
        <f t="shared" si="0"/>
        <v>14765.252203938067</v>
      </c>
      <c r="M35">
        <f t="shared" si="1"/>
        <v>56462.150409403795</v>
      </c>
      <c r="Y35">
        <f t="shared" si="6"/>
        <v>10000</v>
      </c>
      <c r="AA35">
        <f t="shared" si="7"/>
        <v>5.6462150409403797</v>
      </c>
      <c r="AB35" s="23">
        <f>'Background graphCON'!L119+'Background graphEXPL_CH'!Y36</f>
        <v>64342.843881715409</v>
      </c>
      <c r="AC35">
        <f t="shared" si="5"/>
        <v>6.434284388171541</v>
      </c>
    </row>
    <row r="36" spans="1:29" x14ac:dyDescent="0.3">
      <c r="A36" s="10">
        <v>2054</v>
      </c>
      <c r="B36">
        <f>'Background graphCON'!B37+'Background graphEXPL_CH'!O37</f>
        <v>27793.169948119405</v>
      </c>
      <c r="C36">
        <f>'Background graphCON'!C37+'Background graphEXPL_CH'!P37</f>
        <v>999.44040982840659</v>
      </c>
      <c r="D36">
        <f>'Background graphCON'!D37+'Background graphEXPL_CH'!Q37</f>
        <v>283.22332478112071</v>
      </c>
      <c r="E36">
        <f>'Background graphCON'!E37+'Background graphEXPL_CH'!R37</f>
        <v>3591.4413199390674</v>
      </c>
      <c r="F36">
        <f>'Background graphCON'!F37+'Background graphEXPL_CH'!S37</f>
        <v>2818.747111896801</v>
      </c>
      <c r="G36">
        <f>'Background graphCON'!G37+'Background graphEXPL_CH'!T37</f>
        <v>2373.2147362230471</v>
      </c>
      <c r="H36">
        <f>'Background graphCON'!H37+'Background graphEXPL_CH'!U37</f>
        <v>1945.4894525084028</v>
      </c>
      <c r="I36">
        <f>'Background graphCON'!I37+'Background graphEXPL_CH'!V37</f>
        <v>1485.7888961774443</v>
      </c>
      <c r="J36">
        <f>'Background graphCON'!J37+'Background graphEXPL_CH'!W37</f>
        <v>569.9840501554462</v>
      </c>
      <c r="K36">
        <f>'Background graphCON'!K37+'Background graphEXPL_CH'!X37</f>
        <v>283.22332478112071</v>
      </c>
      <c r="L36">
        <f t="shared" si="0"/>
        <v>42143.722574410262</v>
      </c>
      <c r="M36">
        <f t="shared" si="1"/>
        <v>57164.545785643968</v>
      </c>
      <c r="Y36">
        <f t="shared" si="6"/>
        <v>10000</v>
      </c>
      <c r="AA36">
        <f t="shared" si="7"/>
        <v>5.716454578564397</v>
      </c>
      <c r="AB36" s="23">
        <f>'Background graphCON'!L120+'Background graphEXPL_CH'!Y37</f>
        <v>64342.843881715409</v>
      </c>
      <c r="AC36">
        <f t="shared" si="5"/>
        <v>6.434284388171541</v>
      </c>
    </row>
    <row r="37" spans="1:29" x14ac:dyDescent="0.3">
      <c r="A37">
        <v>2055</v>
      </c>
      <c r="B37">
        <f>'Background graphCON'!B38+'Background graphEXPL_CH'!O38</f>
        <v>414.69957764721318</v>
      </c>
      <c r="C37">
        <f>'Background graphCON'!C38+'Background graphEXPL_CH'!P38</f>
        <v>999.44040982840659</v>
      </c>
      <c r="D37">
        <f>'Background graphCON'!D38+'Background graphEXPL_CH'!Q38</f>
        <v>283.22332478112071</v>
      </c>
      <c r="E37">
        <f>'Background graphCON'!E38+'Background graphEXPL_CH'!R38</f>
        <v>7240.3492356313018</v>
      </c>
      <c r="F37">
        <f>'Background graphCON'!F38+'Background graphEXPL_CH'!S38</f>
        <v>2818.747111896801</v>
      </c>
      <c r="G37">
        <f>'Background graphCON'!G38+'Background graphEXPL_CH'!T38</f>
        <v>2373.2147362230471</v>
      </c>
      <c r="H37">
        <f>'Background graphCON'!H38+'Background graphEXPL_CH'!U38</f>
        <v>1945.4894525084028</v>
      </c>
      <c r="I37">
        <f>'Background graphCON'!I38+'Background graphEXPL_CH'!V38</f>
        <v>1485.7888961774443</v>
      </c>
      <c r="J37">
        <f>'Background graphCON'!J38+'Background graphEXPL_CH'!W38</f>
        <v>569.9840501554462</v>
      </c>
      <c r="K37">
        <f>'Background graphCON'!K38+'Background graphEXPL_CH'!X38</f>
        <v>283.22332478112071</v>
      </c>
      <c r="L37">
        <f t="shared" si="0"/>
        <v>18414.160119630302</v>
      </c>
      <c r="M37">
        <f t="shared" si="1"/>
        <v>57471.448454304475</v>
      </c>
      <c r="Y37">
        <f t="shared" si="6"/>
        <v>10000</v>
      </c>
      <c r="AA37">
        <f t="shared" si="7"/>
        <v>5.7471448454304479</v>
      </c>
      <c r="AB37" s="23">
        <f>'Background graphCON'!L121+'Background graphEXPL_CH'!Y38</f>
        <v>64342.843881715409</v>
      </c>
      <c r="AC37">
        <f t="shared" si="5"/>
        <v>6.434284388171541</v>
      </c>
    </row>
    <row r="38" spans="1:29" x14ac:dyDescent="0.3">
      <c r="A38">
        <v>2056</v>
      </c>
      <c r="B38">
        <f>'Background graphCON'!B39+'Background graphEXPL_CH'!O39</f>
        <v>414.69957764721318</v>
      </c>
      <c r="C38">
        <f>'Background graphCON'!C39+'Background graphEXPL_CH'!P39</f>
        <v>24726.029530961085</v>
      </c>
      <c r="D38">
        <f>'Background graphCON'!D39+'Background graphEXPL_CH'!Q39</f>
        <v>283.22332478112071</v>
      </c>
      <c r="E38">
        <f>'Background graphCON'!E39+'Background graphEXPL_CH'!R39</f>
        <v>0</v>
      </c>
      <c r="F38">
        <f>'Background graphCON'!F39+'Background graphEXPL_CH'!S39</f>
        <v>2818.747111896801</v>
      </c>
      <c r="G38">
        <f>'Background graphCON'!G39+'Background graphEXPL_CH'!T39</f>
        <v>2373.2147362230471</v>
      </c>
      <c r="H38">
        <f>'Background graphCON'!H39+'Background graphEXPL_CH'!U39</f>
        <v>1945.4894525084028</v>
      </c>
      <c r="I38">
        <f>'Background graphCON'!I39+'Background graphEXPL_CH'!V39</f>
        <v>1485.7888961774443</v>
      </c>
      <c r="J38">
        <f>'Background graphCON'!J39+'Background graphEXPL_CH'!W39</f>
        <v>569.9840501554462</v>
      </c>
      <c r="K38">
        <f>'Background graphCON'!K39+'Background graphEXPL_CH'!X39</f>
        <v>283.22332478112071</v>
      </c>
      <c r="L38">
        <f t="shared" si="0"/>
        <v>34900.400005131683</v>
      </c>
      <c r="M38">
        <f t="shared" si="1"/>
        <v>58053.121787723336</v>
      </c>
      <c r="Y38">
        <f t="shared" si="6"/>
        <v>10000</v>
      </c>
      <c r="AA38">
        <f t="shared" si="7"/>
        <v>5.8053121787723336</v>
      </c>
      <c r="AB38" s="23">
        <f>'Background graphCON'!L122+'Background graphEXPL_CH'!Y39</f>
        <v>60751.402561776347</v>
      </c>
      <c r="AC38">
        <f t="shared" si="5"/>
        <v>6.0751402561776349</v>
      </c>
    </row>
    <row r="39" spans="1:29" x14ac:dyDescent="0.3">
      <c r="A39">
        <v>2057</v>
      </c>
      <c r="B39">
        <f>'Background graphCON'!B40+'Background graphEXPL_CH'!O40</f>
        <v>414.69957764721318</v>
      </c>
      <c r="C39">
        <f>'Background graphCON'!C40+'Background graphEXPL_CH'!P40</f>
        <v>999.44040982840659</v>
      </c>
      <c r="D39">
        <f>'Background graphCON'!D40+'Background graphEXPL_CH'!Q40</f>
        <v>283.22332478112071</v>
      </c>
      <c r="E39">
        <f>'Background graphCON'!E40+'Background graphEXPL_CH'!R40</f>
        <v>0</v>
      </c>
      <c r="F39">
        <f>'Background graphCON'!F40+'Background graphEXPL_CH'!S40</f>
        <v>2818.747111896801</v>
      </c>
      <c r="G39">
        <f>'Background graphCON'!G40+'Background graphEXPL_CH'!T40</f>
        <v>2373.2147362230471</v>
      </c>
      <c r="H39">
        <f>'Background graphCON'!H40+'Background graphEXPL_CH'!U40</f>
        <v>1945.4894525084028</v>
      </c>
      <c r="I39">
        <f>'Background graphCON'!I40+'Background graphEXPL_CH'!V40</f>
        <v>1485.7888961774443</v>
      </c>
      <c r="J39">
        <f>'Background graphCON'!J40+'Background graphEXPL_CH'!W40</f>
        <v>569.9840501554462</v>
      </c>
      <c r="K39">
        <f>'Background graphCON'!K40+'Background graphEXPL_CH'!X40</f>
        <v>283.22332478112071</v>
      </c>
      <c r="L39">
        <f t="shared" si="0"/>
        <v>11173.810883999002</v>
      </c>
      <c r="M39">
        <f t="shared" si="1"/>
        <v>58239.351969123316</v>
      </c>
      <c r="Y39">
        <f t="shared" si="6"/>
        <v>10000</v>
      </c>
      <c r="AA39">
        <f t="shared" si="7"/>
        <v>5.8239351969123314</v>
      </c>
      <c r="AB39" s="23">
        <f>'Background graphCON'!L123+'Background graphEXPL_CH'!Y40</f>
        <v>60751.402561776347</v>
      </c>
      <c r="AC39">
        <f t="shared" si="5"/>
        <v>6.0751402561776349</v>
      </c>
    </row>
    <row r="40" spans="1:29" x14ac:dyDescent="0.3">
      <c r="A40" s="10">
        <v>2058</v>
      </c>
      <c r="B40">
        <f>'Background graphCON'!B41+'Background graphEXPL_CH'!O41</f>
        <v>414.69957764721318</v>
      </c>
      <c r="C40">
        <f>'Background graphCON'!C41+'Background graphEXPL_CH'!P41</f>
        <v>999.44040982840659</v>
      </c>
      <c r="D40">
        <f>'Background graphCON'!D41+'Background graphEXPL_CH'!Q41</f>
        <v>283.22332478112071</v>
      </c>
      <c r="E40">
        <f>'Background graphCON'!E41+'Background graphEXPL_CH'!R41</f>
        <v>0</v>
      </c>
      <c r="F40">
        <f>'Background graphCON'!F41+'Background graphEXPL_CH'!S41</f>
        <v>5697.9991562393643</v>
      </c>
      <c r="G40">
        <f>'Background graphCON'!G41+'Background graphEXPL_CH'!T41</f>
        <v>2373.2147362230471</v>
      </c>
      <c r="H40">
        <f>'Background graphCON'!H41+'Background graphEXPL_CH'!U41</f>
        <v>1945.4894525084028</v>
      </c>
      <c r="I40">
        <f>'Background graphCON'!I41+'Background graphEXPL_CH'!V41</f>
        <v>1485.7888961774443</v>
      </c>
      <c r="J40">
        <f>'Background graphCON'!J41+'Background graphEXPL_CH'!W41</f>
        <v>569.9840501554462</v>
      </c>
      <c r="K40">
        <f>'Background graphCON'!K41+'Background graphEXPL_CH'!X41</f>
        <v>283.22332478112071</v>
      </c>
      <c r="L40">
        <f t="shared" si="0"/>
        <v>14053.062928341566</v>
      </c>
      <c r="M40">
        <f t="shared" si="1"/>
        <v>58473.569684595677</v>
      </c>
      <c r="Y40">
        <f t="shared" si="6"/>
        <v>10000</v>
      </c>
      <c r="AA40">
        <f t="shared" si="7"/>
        <v>5.8473569684595681</v>
      </c>
      <c r="AB40" s="23">
        <f>'Background graphCON'!L124+'Background graphEXPL_CH'!Y41</f>
        <v>60751.402561776347</v>
      </c>
      <c r="AC40">
        <f t="shared" si="5"/>
        <v>6.0751402561776349</v>
      </c>
    </row>
    <row r="41" spans="1:29" x14ac:dyDescent="0.3">
      <c r="A41">
        <v>2059</v>
      </c>
      <c r="B41">
        <f>'Background graphCON'!B42+'Background graphEXPL_CH'!O42</f>
        <v>414.69957764721318</v>
      </c>
      <c r="C41">
        <f>'Background graphCON'!C42+'Background graphEXPL_CH'!P42</f>
        <v>999.44040982840659</v>
      </c>
      <c r="D41">
        <f>'Background graphCON'!D42+'Background graphEXPL_CH'!Q42</f>
        <v>283.22332478112071</v>
      </c>
      <c r="E41">
        <f>'Background graphCON'!E42+'Background graphEXPL_CH'!R42</f>
        <v>0</v>
      </c>
      <c r="F41">
        <f>'Background graphCON'!F42+'Background graphEXPL_CH'!S42</f>
        <v>0</v>
      </c>
      <c r="G41">
        <f>'Background graphCON'!G42+'Background graphEXPL_CH'!T42</f>
        <v>2373.2147362230471</v>
      </c>
      <c r="H41">
        <f>'Background graphCON'!H42+'Background graphEXPL_CH'!U42</f>
        <v>1945.4894525084028</v>
      </c>
      <c r="I41">
        <f>'Background graphCON'!I42+'Background graphEXPL_CH'!V42</f>
        <v>1485.7888961774443</v>
      </c>
      <c r="J41">
        <f>'Background graphCON'!J42+'Background graphEXPL_CH'!W42</f>
        <v>569.9840501554462</v>
      </c>
      <c r="K41">
        <f>'Background graphCON'!K42+'Background graphEXPL_CH'!X42</f>
        <v>283.22332478112071</v>
      </c>
      <c r="L41">
        <f t="shared" si="0"/>
        <v>8355.0637721022013</v>
      </c>
      <c r="M41">
        <f t="shared" si="1"/>
        <v>58612.820747464044</v>
      </c>
      <c r="Y41">
        <f t="shared" si="6"/>
        <v>10000</v>
      </c>
      <c r="AA41">
        <f t="shared" si="7"/>
        <v>5.8612820747464047</v>
      </c>
      <c r="AB41" s="23">
        <f>'Background graphCON'!L125+'Background graphEXPL_CH'!Y42</f>
        <v>57932.655449879545</v>
      </c>
      <c r="AC41">
        <f t="shared" si="5"/>
        <v>5.7932655449879542</v>
      </c>
    </row>
    <row r="42" spans="1:29" x14ac:dyDescent="0.3">
      <c r="A42">
        <v>2060</v>
      </c>
      <c r="B42">
        <f>'Background graphCON'!B43+'Background graphEXPL_CH'!O43</f>
        <v>414.69957764721318</v>
      </c>
      <c r="C42">
        <f>'Background graphCON'!C43+'Background graphEXPL_CH'!P43</f>
        <v>999.44040982840659</v>
      </c>
      <c r="D42">
        <f>'Background graphCON'!D43+'Background graphEXPL_CH'!Q43</f>
        <v>16943.615312403843</v>
      </c>
      <c r="E42">
        <f>'Background graphCON'!E43+'Background graphEXPL_CH'!R43</f>
        <v>0</v>
      </c>
      <c r="F42">
        <f>'Background graphCON'!F43+'Background graphEXPL_CH'!S43</f>
        <v>0</v>
      </c>
      <c r="G42">
        <f>'Background graphCON'!G43+'Background graphEXPL_CH'!T43</f>
        <v>4753.2707344548653</v>
      </c>
      <c r="H42">
        <f>'Background graphCON'!H43+'Background graphEXPL_CH'!U43</f>
        <v>1945.4894525084028</v>
      </c>
      <c r="I42">
        <f>'Background graphCON'!I43+'Background graphEXPL_CH'!V43</f>
        <v>1485.7888961774443</v>
      </c>
      <c r="J42">
        <f>'Background graphCON'!J43+'Background graphEXPL_CH'!W43</f>
        <v>569.9840501554462</v>
      </c>
      <c r="K42">
        <f>'Background graphCON'!K43+'Background graphEXPL_CH'!X43</f>
        <v>283.22332478112071</v>
      </c>
      <c r="L42">
        <f t="shared" si="0"/>
        <v>27395.511757956741</v>
      </c>
      <c r="M42">
        <f t="shared" si="1"/>
        <v>59069.412610096653</v>
      </c>
      <c r="Y42">
        <f t="shared" si="6"/>
        <v>10000</v>
      </c>
      <c r="AA42">
        <f t="shared" si="7"/>
        <v>5.9069412610096652</v>
      </c>
      <c r="AB42" s="23">
        <f>'Background graphCON'!L126+'Background graphEXPL_CH'!Y43</f>
        <v>57932.655449879545</v>
      </c>
      <c r="AC42">
        <f t="shared" si="5"/>
        <v>5.7932655449879542</v>
      </c>
    </row>
    <row r="43" spans="1:29" x14ac:dyDescent="0.3">
      <c r="A43">
        <v>2061</v>
      </c>
      <c r="B43">
        <f>'Background graphCON'!B44+'Background graphEXPL_CH'!O44</f>
        <v>414.69957764721318</v>
      </c>
      <c r="C43">
        <f>'Background graphCON'!C44+'Background graphEXPL_CH'!P44</f>
        <v>999.44040982840659</v>
      </c>
      <c r="D43">
        <f>'Background graphCON'!D44+'Background graphEXPL_CH'!Q44</f>
        <v>283.22332478112071</v>
      </c>
      <c r="E43">
        <f>'Background graphCON'!E44+'Background graphEXPL_CH'!R44</f>
        <v>0</v>
      </c>
      <c r="F43">
        <f>'Background graphCON'!F44+'Background graphEXPL_CH'!S44</f>
        <v>0</v>
      </c>
      <c r="G43">
        <f>'Background graphCON'!G44+'Background graphEXPL_CH'!T44</f>
        <v>0</v>
      </c>
      <c r="H43">
        <f>'Background graphCON'!H44+'Background graphEXPL_CH'!U44</f>
        <v>1945.4894525084028</v>
      </c>
      <c r="I43">
        <f>'Background graphCON'!I44+'Background graphEXPL_CH'!V44</f>
        <v>1485.7888961774443</v>
      </c>
      <c r="J43">
        <f>'Background graphCON'!J44+'Background graphEXPL_CH'!W44</f>
        <v>569.9840501554462</v>
      </c>
      <c r="K43">
        <f>'Background graphCON'!K44+'Background graphEXPL_CH'!X44</f>
        <v>283.22332478112071</v>
      </c>
      <c r="L43">
        <f t="shared" si="0"/>
        <v>5981.8490358791551</v>
      </c>
      <c r="M43">
        <f t="shared" si="1"/>
        <v>59169.110094027972</v>
      </c>
      <c r="Y43">
        <f t="shared" si="6"/>
        <v>10000</v>
      </c>
      <c r="AA43">
        <f t="shared" si="7"/>
        <v>5.9169110094027975</v>
      </c>
      <c r="AB43" s="23">
        <f>'Background graphCON'!L127+'Background graphEXPL_CH'!Y44</f>
        <v>55559.440713656499</v>
      </c>
      <c r="AC43">
        <f t="shared" si="5"/>
        <v>5.5559440713656496</v>
      </c>
    </row>
    <row r="44" spans="1:29" x14ac:dyDescent="0.3">
      <c r="A44" s="10">
        <v>2062</v>
      </c>
      <c r="B44">
        <f>'Background graphCON'!B45+'Background graphEXPL_CH'!O45</f>
        <v>414.69957764721318</v>
      </c>
      <c r="C44">
        <f>'Background graphCON'!C45+'Background graphEXPL_CH'!P45</f>
        <v>999.44040982840659</v>
      </c>
      <c r="D44">
        <f>'Background graphCON'!D45+'Background graphEXPL_CH'!Q45</f>
        <v>283.22332478112071</v>
      </c>
      <c r="E44">
        <f>'Background graphCON'!E45+'Background graphEXPL_CH'!R45</f>
        <v>0</v>
      </c>
      <c r="F44">
        <f>'Background graphCON'!F45+'Background graphEXPL_CH'!S45</f>
        <v>0</v>
      </c>
      <c r="G44">
        <f>'Background graphCON'!G45+'Background graphEXPL_CH'!T45</f>
        <v>0</v>
      </c>
      <c r="H44">
        <f>'Background graphCON'!H45+'Background graphEXPL_CH'!U45</f>
        <v>3837.05801258569</v>
      </c>
      <c r="I44">
        <f>'Background graphCON'!I45+'Background graphEXPL_CH'!V45</f>
        <v>1485.7888961774443</v>
      </c>
      <c r="J44">
        <f>'Background graphCON'!J45+'Background graphEXPL_CH'!W45</f>
        <v>569.9840501554462</v>
      </c>
      <c r="K44">
        <f>'Background graphCON'!K45+'Background graphEXPL_CH'!X45</f>
        <v>283.22332478112071</v>
      </c>
      <c r="L44">
        <f t="shared" si="0"/>
        <v>7873.4175959564418</v>
      </c>
      <c r="M44">
        <f t="shared" si="1"/>
        <v>59300.333720627248</v>
      </c>
      <c r="Y44">
        <f t="shared" si="6"/>
        <v>10000</v>
      </c>
      <c r="AA44">
        <f t="shared" si="7"/>
        <v>5.9300333720627245</v>
      </c>
      <c r="AB44" s="23">
        <f>'Background graphCON'!L128+'Background graphEXPL_CH'!Y45</f>
        <v>55559.440713656499</v>
      </c>
      <c r="AC44">
        <f t="shared" si="5"/>
        <v>5.5559440713656496</v>
      </c>
    </row>
    <row r="45" spans="1:29" x14ac:dyDescent="0.3">
      <c r="A45">
        <v>2063</v>
      </c>
      <c r="B45">
        <f>'Background graphCON'!B46+'Background graphEXPL_CH'!O46</f>
        <v>414.69957764721318</v>
      </c>
      <c r="C45">
        <f>'Background graphCON'!C46+'Background graphEXPL_CH'!P46</f>
        <v>999.44040982840659</v>
      </c>
      <c r="D45">
        <f>'Background graphCON'!D46+'Background graphEXPL_CH'!Q46</f>
        <v>283.22332478112071</v>
      </c>
      <c r="E45">
        <f>'Background graphCON'!E46+'Background graphEXPL_CH'!R46</f>
        <v>0</v>
      </c>
      <c r="F45">
        <f>'Background graphCON'!F46+'Background graphEXPL_CH'!S46</f>
        <v>0</v>
      </c>
      <c r="G45">
        <f>'Background graphCON'!G46+'Background graphEXPL_CH'!T46</f>
        <v>0</v>
      </c>
      <c r="H45">
        <f>'Background graphCON'!H46+'Background graphEXPL_CH'!U46</f>
        <v>0</v>
      </c>
      <c r="I45">
        <f>'Background graphCON'!I46+'Background graphEXPL_CH'!V46</f>
        <v>1485.7888961774443</v>
      </c>
      <c r="J45">
        <f>'Background graphCON'!J46+'Background graphEXPL_CH'!W46</f>
        <v>569.9840501554462</v>
      </c>
      <c r="K45">
        <f>'Background graphCON'!K46+'Background graphEXPL_CH'!X46</f>
        <v>283.22332478112071</v>
      </c>
      <c r="L45">
        <f t="shared" si="0"/>
        <v>4036.3595833707523</v>
      </c>
      <c r="M45">
        <f t="shared" si="1"/>
        <v>59367.606380350095</v>
      </c>
      <c r="Y45">
        <f t="shared" si="6"/>
        <v>10000</v>
      </c>
      <c r="AA45">
        <f t="shared" si="7"/>
        <v>5.9367606380350093</v>
      </c>
      <c r="AB45" s="23">
        <f>'Background graphCON'!L129+'Background graphEXPL_CH'!Y46</f>
        <v>53613.951261148097</v>
      </c>
      <c r="AC45">
        <f t="shared" si="5"/>
        <v>5.3613951261148101</v>
      </c>
    </row>
    <row r="46" spans="1:29" x14ac:dyDescent="0.3">
      <c r="A46">
        <v>2064</v>
      </c>
      <c r="B46">
        <f>'Background graphCON'!B47+'Background graphEXPL_CH'!O47</f>
        <v>3241.5971969247762</v>
      </c>
      <c r="C46">
        <f>'Background graphCON'!C47+'Background graphEXPL_CH'!P47</f>
        <v>999.44040982840659</v>
      </c>
      <c r="D46">
        <f>'Background graphCON'!D47+'Background graphEXPL_CH'!Q47</f>
        <v>283.22332478112071</v>
      </c>
      <c r="E46">
        <f>'Background graphCON'!E47+'Background graphEXPL_CH'!R47</f>
        <v>0</v>
      </c>
      <c r="F46">
        <f>'Background graphCON'!F47+'Background graphEXPL_CH'!S47</f>
        <v>0</v>
      </c>
      <c r="G46">
        <f>'Background graphCON'!G47+'Background graphEXPL_CH'!T47</f>
        <v>0</v>
      </c>
      <c r="H46">
        <f>'Background graphCON'!H47+'Background graphEXPL_CH'!U47</f>
        <v>0</v>
      </c>
      <c r="I46">
        <f>'Background graphCON'!I47+'Background graphEXPL_CH'!V47</f>
        <v>2899.2377058162256</v>
      </c>
      <c r="J46">
        <f>'Background graphCON'!J47+'Background graphEXPL_CH'!W47</f>
        <v>569.9840501554462</v>
      </c>
      <c r="K46">
        <f>'Background graphCON'!K47+'Background graphEXPL_CH'!X47</f>
        <v>283.22332478112071</v>
      </c>
      <c r="L46">
        <f t="shared" si="0"/>
        <v>8276.7060122870953</v>
      </c>
      <c r="M46">
        <f t="shared" si="1"/>
        <v>59505.551480554881</v>
      </c>
      <c r="Y46">
        <f t="shared" si="6"/>
        <v>10000</v>
      </c>
      <c r="AA46">
        <f t="shared" si="7"/>
        <v>5.9505551480554884</v>
      </c>
      <c r="AB46" s="23">
        <f>'Background graphCON'!L130+'Background graphEXPL_CH'!Y47</f>
        <v>53613.951261148097</v>
      </c>
      <c r="AC46">
        <f t="shared" si="5"/>
        <v>5.3613951261148101</v>
      </c>
    </row>
    <row r="47" spans="1:29" x14ac:dyDescent="0.3">
      <c r="A47">
        <v>2065</v>
      </c>
      <c r="B47">
        <f>'Background graphCON'!B48+'Background graphEXPL_CH'!O48</f>
        <v>0</v>
      </c>
      <c r="C47">
        <f>'Background graphCON'!C48+'Background graphEXPL_CH'!P48</f>
        <v>999.44040982840659</v>
      </c>
      <c r="D47">
        <f>'Background graphCON'!D48+'Background graphEXPL_CH'!Q48</f>
        <v>283.22332478112071</v>
      </c>
      <c r="E47">
        <f>'Background graphCON'!E48+'Background graphEXPL_CH'!R48</f>
        <v>8247.2195111804449</v>
      </c>
      <c r="F47">
        <f>'Background graphCON'!F48+'Background graphEXPL_CH'!S48</f>
        <v>0</v>
      </c>
      <c r="G47">
        <f>'Background graphCON'!G48+'Background graphEXPL_CH'!T48</f>
        <v>0</v>
      </c>
      <c r="H47">
        <f>'Background graphCON'!H48+'Background graphEXPL_CH'!U48</f>
        <v>0</v>
      </c>
      <c r="I47">
        <f>'Background graphCON'!I48+'Background graphEXPL_CH'!V48</f>
        <v>0</v>
      </c>
      <c r="J47">
        <f>'Background graphCON'!J48+'Background graphEXPL_CH'!W48</f>
        <v>569.9840501554462</v>
      </c>
      <c r="K47">
        <f>'Background graphCON'!K48+'Background graphEXPL_CH'!X48</f>
        <v>283.22332478112071</v>
      </c>
      <c r="L47">
        <f t="shared" si="0"/>
        <v>10383.090620726538</v>
      </c>
      <c r="M47">
        <f t="shared" si="1"/>
        <v>59678.602990900326</v>
      </c>
      <c r="Y47">
        <f t="shared" si="6"/>
        <v>10000</v>
      </c>
      <c r="AA47">
        <f t="shared" si="7"/>
        <v>5.9678602990900327</v>
      </c>
      <c r="AB47" s="23">
        <f>'Background graphCON'!L131+'Background graphEXPL_CH'!Y48</f>
        <v>51713.462787323442</v>
      </c>
      <c r="AC47">
        <f t="shared" si="5"/>
        <v>5.1713462787323445</v>
      </c>
    </row>
    <row r="48" spans="1:29" x14ac:dyDescent="0.3">
      <c r="A48" s="10">
        <v>2066</v>
      </c>
      <c r="B48">
        <f>'Background graphCON'!B49+'Background graphEXPL_CH'!O49</f>
        <v>0</v>
      </c>
      <c r="C48">
        <f>'Background graphCON'!C49+'Background graphEXPL_CH'!P49</f>
        <v>2890.1807021127697</v>
      </c>
      <c r="D48">
        <f>'Background graphCON'!D49+'Background graphEXPL_CH'!Q49</f>
        <v>283.22332478112071</v>
      </c>
      <c r="E48">
        <f>'Background graphCON'!E49+'Background graphEXPL_CH'!R49</f>
        <v>0</v>
      </c>
      <c r="F48">
        <f>'Background graphCON'!F49+'Background graphEXPL_CH'!S49</f>
        <v>0</v>
      </c>
      <c r="G48">
        <f>'Background graphCON'!G49+'Background graphEXPL_CH'!T49</f>
        <v>0</v>
      </c>
      <c r="H48">
        <f>'Background graphCON'!H49+'Background graphEXPL_CH'!U49</f>
        <v>0</v>
      </c>
      <c r="I48">
        <f>'Background graphCON'!I49+'Background graphEXPL_CH'!V49</f>
        <v>0</v>
      </c>
      <c r="J48">
        <f>'Background graphCON'!J49+'Background graphEXPL_CH'!W49</f>
        <v>569.9840501554462</v>
      </c>
      <c r="K48">
        <f>'Background graphCON'!K49+'Background graphEXPL_CH'!X49</f>
        <v>283.22332478112071</v>
      </c>
      <c r="L48">
        <f t="shared" si="0"/>
        <v>4026.6114018304579</v>
      </c>
      <c r="M48">
        <f t="shared" si="1"/>
        <v>59745.713180930834</v>
      </c>
      <c r="Y48">
        <f t="shared" si="6"/>
        <v>10000</v>
      </c>
      <c r="AA48">
        <f t="shared" si="7"/>
        <v>5.9745713180930835</v>
      </c>
      <c r="AB48" s="23">
        <f>'Background graphCON'!L132+'Background graphEXPL_CH'!Y49</f>
        <v>51713.462787323442</v>
      </c>
      <c r="AC48">
        <f t="shared" si="5"/>
        <v>5.1713462787323445</v>
      </c>
    </row>
    <row r="49" spans="1:29" x14ac:dyDescent="0.3">
      <c r="A49">
        <v>2067</v>
      </c>
      <c r="B49">
        <f>'Background graphCON'!B50+'Background graphEXPL_CH'!O50</f>
        <v>0</v>
      </c>
      <c r="C49">
        <f>'Background graphCON'!C50+'Background graphEXPL_CH'!P50</f>
        <v>0</v>
      </c>
      <c r="D49">
        <f>'Background graphCON'!D50+'Background graphEXPL_CH'!Q50</f>
        <v>283.22332478112071</v>
      </c>
      <c r="E49">
        <f>'Background graphCON'!E50+'Background graphEXPL_CH'!R50</f>
        <v>0</v>
      </c>
      <c r="F49">
        <f>'Background graphCON'!F50+'Background graphEXPL_CH'!S50</f>
        <v>0</v>
      </c>
      <c r="G49">
        <f>'Background graphCON'!G50+'Background graphEXPL_CH'!T50</f>
        <v>0</v>
      </c>
      <c r="H49">
        <f>'Background graphCON'!H50+'Background graphEXPL_CH'!U50</f>
        <v>0</v>
      </c>
      <c r="I49">
        <f>'Background graphCON'!I50+'Background graphEXPL_CH'!V50</f>
        <v>0</v>
      </c>
      <c r="J49">
        <f>'Background graphCON'!J50+'Background graphEXPL_CH'!W50</f>
        <v>569.9840501554462</v>
      </c>
      <c r="K49">
        <f>'Background graphCON'!K50+'Background graphEXPL_CH'!X50</f>
        <v>283.22332478112071</v>
      </c>
      <c r="L49">
        <f t="shared" si="0"/>
        <v>1136.4306997176877</v>
      </c>
      <c r="M49">
        <f t="shared" si="1"/>
        <v>59764.653692592794</v>
      </c>
      <c r="Y49">
        <f t="shared" si="6"/>
        <v>10000</v>
      </c>
      <c r="AA49">
        <f t="shared" si="7"/>
        <v>5.9764653692592793</v>
      </c>
      <c r="AB49" s="23">
        <f>'Background graphCON'!L133+'Background graphEXPL_CH'!Y50</f>
        <v>50714.022377495035</v>
      </c>
      <c r="AC49">
        <f t="shared" si="5"/>
        <v>5.0714022377495036</v>
      </c>
    </row>
    <row r="50" spans="1:29" x14ac:dyDescent="0.3">
      <c r="A50">
        <v>2068</v>
      </c>
      <c r="B50">
        <f>'Background graphCON'!B51+'Background graphEXPL_CH'!O51</f>
        <v>0</v>
      </c>
      <c r="C50">
        <f>'Background graphCON'!C51+'Background graphEXPL_CH'!P51</f>
        <v>0</v>
      </c>
      <c r="D50">
        <f>'Background graphCON'!D51+'Background graphEXPL_CH'!Q51</f>
        <v>283.22332478112071</v>
      </c>
      <c r="E50">
        <f>'Background graphCON'!E51+'Background graphEXPL_CH'!R51</f>
        <v>0</v>
      </c>
      <c r="F50">
        <f>'Background graphCON'!F51+'Background graphEXPL_CH'!S51</f>
        <v>3409.1368099396891</v>
      </c>
      <c r="G50">
        <f>'Background graphCON'!G51+'Background graphEXPL_CH'!T51</f>
        <v>0</v>
      </c>
      <c r="H50">
        <f>'Background graphCON'!H51+'Background graphEXPL_CH'!U51</f>
        <v>0</v>
      </c>
      <c r="I50">
        <f>'Background graphCON'!I51+'Background graphEXPL_CH'!V51</f>
        <v>0</v>
      </c>
      <c r="J50">
        <f>'Background graphCON'!J51+'Background graphEXPL_CH'!W51</f>
        <v>1057.0035944325448</v>
      </c>
      <c r="K50">
        <f>'Background graphCON'!K51+'Background graphEXPL_CH'!X51</f>
        <v>283.22332478112071</v>
      </c>
      <c r="L50">
        <f t="shared" si="0"/>
        <v>5032.5870539344751</v>
      </c>
      <c r="M50">
        <f t="shared" si="1"/>
        <v>59848.530143491698</v>
      </c>
      <c r="Y50">
        <f t="shared" si="6"/>
        <v>10000</v>
      </c>
      <c r="AA50">
        <f t="shared" si="7"/>
        <v>5.9848530143491701</v>
      </c>
      <c r="AB50" s="23">
        <f>'Background graphCON'!L134+'Background graphEXPL_CH'!Y51</f>
        <v>50714.022377495035</v>
      </c>
      <c r="AC50">
        <f t="shared" si="5"/>
        <v>5.0714022377495036</v>
      </c>
    </row>
    <row r="51" spans="1:29" x14ac:dyDescent="0.3">
      <c r="A51">
        <v>2069</v>
      </c>
      <c r="B51">
        <f>'Background graphCON'!B52+'Background graphEXPL_CH'!O52</f>
        <v>0</v>
      </c>
      <c r="C51">
        <f>'Background graphCON'!C52+'Background graphEXPL_CH'!P52</f>
        <v>0</v>
      </c>
      <c r="D51">
        <f>'Background graphCON'!D52+'Background graphEXPL_CH'!Q52</f>
        <v>283.22332478112071</v>
      </c>
      <c r="E51">
        <f>'Background graphCON'!E52+'Background graphEXPL_CH'!R52</f>
        <v>0</v>
      </c>
      <c r="F51">
        <f>'Background graphCON'!F52+'Background graphEXPL_CH'!S52</f>
        <v>0</v>
      </c>
      <c r="G51">
        <f>'Background graphCON'!G52+'Background graphEXPL_CH'!T52</f>
        <v>0</v>
      </c>
      <c r="H51">
        <f>'Background graphCON'!H52+'Background graphEXPL_CH'!U52</f>
        <v>0</v>
      </c>
      <c r="I51">
        <f>'Background graphCON'!I52+'Background graphEXPL_CH'!V52</f>
        <v>0</v>
      </c>
      <c r="J51">
        <f>'Background graphCON'!J52+'Background graphEXPL_CH'!W52</f>
        <v>0</v>
      </c>
      <c r="K51">
        <f>'Background graphCON'!K52+'Background graphEXPL_CH'!X52</f>
        <v>283.22332478112071</v>
      </c>
      <c r="L51">
        <f t="shared" si="0"/>
        <v>566.44664956224142</v>
      </c>
      <c r="M51">
        <f t="shared" si="1"/>
        <v>59857.9709209844</v>
      </c>
      <c r="Y51">
        <f t="shared" si="6"/>
        <v>10000</v>
      </c>
      <c r="AA51">
        <f t="shared" si="7"/>
        <v>5.9857970920984398</v>
      </c>
      <c r="AB51" s="23">
        <f>'Background graphCON'!L135+'Background graphEXPL_CH'!Y52</f>
        <v>50144.038327339586</v>
      </c>
      <c r="AC51">
        <f t="shared" si="5"/>
        <v>5.0144038327339588</v>
      </c>
    </row>
    <row r="52" spans="1:29" x14ac:dyDescent="0.3">
      <c r="A52">
        <v>2070</v>
      </c>
      <c r="B52">
        <f>'Background graphCON'!B53+'Background graphEXPL_CH'!O53</f>
        <v>0</v>
      </c>
      <c r="C52">
        <f>'Background graphCON'!C53+'Background graphEXPL_CH'!P53</f>
        <v>0</v>
      </c>
      <c r="D52">
        <f>'Background graphCON'!D53+'Background graphEXPL_CH'!Q53</f>
        <v>359.41703699146797</v>
      </c>
      <c r="E52">
        <f>'Background graphCON'!E53+'Background graphEXPL_CH'!R53</f>
        <v>0</v>
      </c>
      <c r="F52">
        <f>'Background graphCON'!F53+'Background graphEXPL_CH'!S53</f>
        <v>0</v>
      </c>
      <c r="G52">
        <f>'Background graphCON'!G53+'Background graphEXPL_CH'!T53</f>
        <v>266.67799273621523</v>
      </c>
      <c r="H52">
        <f>'Background graphCON'!H53+'Background graphEXPL_CH'!U53</f>
        <v>0</v>
      </c>
      <c r="I52">
        <f>'Background graphCON'!I53+'Background graphEXPL_CH'!V53</f>
        <v>0</v>
      </c>
      <c r="J52">
        <f>'Background graphCON'!J53+'Background graphEXPL_CH'!W53</f>
        <v>0</v>
      </c>
      <c r="K52">
        <f>'Background graphCON'!K53+'Background graphEXPL_CH'!X53</f>
        <v>321.32018088629434</v>
      </c>
      <c r="L52">
        <f t="shared" si="0"/>
        <v>947.41521061397748</v>
      </c>
      <c r="M52">
        <f t="shared" si="1"/>
        <v>59873.761174494633</v>
      </c>
      <c r="Y52">
        <f t="shared" si="6"/>
        <v>10000</v>
      </c>
      <c r="AA52">
        <f t="shared" si="7"/>
        <v>5.9873761174494637</v>
      </c>
      <c r="AB52" s="23">
        <f>'Background graphCON'!L136+'Background graphEXPL_CH'!Y53</f>
        <v>50144.038327339586</v>
      </c>
      <c r="AC52">
        <f t="shared" si="5"/>
        <v>5.0144038327339588</v>
      </c>
    </row>
    <row r="53" spans="1:29" x14ac:dyDescent="0.3">
      <c r="A53">
        <v>2071</v>
      </c>
      <c r="B53">
        <f>'Background graphCON'!B54+'Background graphEXPL_CH'!O54</f>
        <v>0</v>
      </c>
      <c r="C53">
        <f>'Background graphCON'!C54+'Background graphEXPL_CH'!P54</f>
        <v>0</v>
      </c>
      <c r="D53">
        <f>'Background graphCON'!D54+'Background graphEXPL_CH'!Q54</f>
        <v>0</v>
      </c>
      <c r="E53">
        <f>'Background graphCON'!E54+'Background graphEXPL_CH'!R54</f>
        <v>0</v>
      </c>
      <c r="F53">
        <f>'Background graphCON'!F54+'Background graphEXPL_CH'!S54</f>
        <v>0</v>
      </c>
      <c r="G53">
        <f>'Background graphCON'!G54+'Background graphEXPL_CH'!T54</f>
        <v>0</v>
      </c>
      <c r="H53">
        <f>'Background graphCON'!H54+'Background graphEXPL_CH'!U54</f>
        <v>0</v>
      </c>
      <c r="I53">
        <f>'Background graphCON'!I54+'Background graphEXPL_CH'!V54</f>
        <v>0</v>
      </c>
      <c r="J53">
        <f>'Background graphCON'!J54+'Background graphEXPL_CH'!W54</f>
        <v>0</v>
      </c>
      <c r="K53">
        <f>'Background graphCON'!K54+'Background graphEXPL_CH'!X54</f>
        <v>0</v>
      </c>
      <c r="L53">
        <f t="shared" si="0"/>
        <v>0</v>
      </c>
      <c r="M53">
        <f t="shared" si="1"/>
        <v>59873.761174494633</v>
      </c>
      <c r="Y53">
        <f t="shared" si="6"/>
        <v>10000</v>
      </c>
      <c r="AA53">
        <f t="shared" si="7"/>
        <v>5.9873761174494637</v>
      </c>
      <c r="AB53" s="23">
        <f>'Background graphCON'!L137+'Background graphEXPL_CH'!Y54</f>
        <v>49577.591677777345</v>
      </c>
      <c r="AC53">
        <f t="shared" si="5"/>
        <v>4.9577591677777342</v>
      </c>
    </row>
    <row r="54" spans="1:29" x14ac:dyDescent="0.3">
      <c r="A54">
        <v>2072</v>
      </c>
      <c r="B54">
        <f>'Background graphCON'!B55+'Background graphEXPL_CH'!O55</f>
        <v>0</v>
      </c>
      <c r="C54">
        <f>'Background graphCON'!C55+'Background graphEXPL_CH'!P55</f>
        <v>0</v>
      </c>
      <c r="D54">
        <f>'Background graphCON'!D55+'Background graphEXPL_CH'!Q55</f>
        <v>0</v>
      </c>
      <c r="E54">
        <f>'Background graphCON'!E55+'Background graphEXPL_CH'!R55</f>
        <v>0</v>
      </c>
      <c r="F54">
        <f>'Background graphCON'!F55+'Background graphEXPL_CH'!S55</f>
        <v>0</v>
      </c>
      <c r="G54">
        <f>'Background graphCON'!G55+'Background graphEXPL_CH'!T55</f>
        <v>0</v>
      </c>
      <c r="H54">
        <f>'Background graphCON'!H55+'Background graphEXPL_CH'!U55</f>
        <v>0</v>
      </c>
      <c r="I54">
        <f>'Background graphCON'!I55+'Background graphEXPL_CH'!V55</f>
        <v>0</v>
      </c>
      <c r="J54">
        <f>'Background graphCON'!J55+'Background graphEXPL_CH'!W55</f>
        <v>0</v>
      </c>
      <c r="K54">
        <f>'Background graphCON'!K55+'Background graphEXPL_CH'!X55</f>
        <v>0</v>
      </c>
      <c r="L54">
        <f t="shared" si="0"/>
        <v>0</v>
      </c>
      <c r="M54">
        <f t="shared" si="1"/>
        <v>59873.761174494633</v>
      </c>
      <c r="Y54">
        <f t="shared" si="6"/>
        <v>10000</v>
      </c>
      <c r="AA54">
        <f t="shared" si="7"/>
        <v>5.9873761174494637</v>
      </c>
      <c r="AB54" s="23">
        <f>'Background graphCON'!L138+'Background graphEXPL_CH'!Y55</f>
        <v>49577.591677777345</v>
      </c>
      <c r="AC54">
        <f t="shared" si="5"/>
        <v>4.9577591677777342</v>
      </c>
    </row>
    <row r="55" spans="1:29" x14ac:dyDescent="0.3">
      <c r="A55" s="10">
        <v>2073</v>
      </c>
      <c r="B55">
        <f>'Background graphCON'!B56+'Background graphEXPL_CH'!O56</f>
        <v>0</v>
      </c>
      <c r="C55">
        <f>'Background graphCON'!C56+'Background graphEXPL_CH'!P56</f>
        <v>0</v>
      </c>
      <c r="D55">
        <f>'Background graphCON'!D56+'Background graphEXPL_CH'!Q56</f>
        <v>0</v>
      </c>
      <c r="E55">
        <f>'Background graphCON'!E56+'Background graphEXPL_CH'!R56</f>
        <v>0</v>
      </c>
      <c r="F55">
        <f>'Background graphCON'!F56+'Background graphEXPL_CH'!S56</f>
        <v>0</v>
      </c>
      <c r="G55">
        <f>'Background graphCON'!G56+'Background graphEXPL_CH'!T56</f>
        <v>0</v>
      </c>
      <c r="H55">
        <f>'Background graphCON'!H56+'Background graphEXPL_CH'!U56</f>
        <v>0</v>
      </c>
      <c r="I55">
        <f>'Background graphCON'!I56+'Background graphEXPL_CH'!V56</f>
        <v>0</v>
      </c>
      <c r="J55">
        <f>'Background graphCON'!J56+'Background graphEXPL_CH'!W56</f>
        <v>0</v>
      </c>
      <c r="K55">
        <f>'Background graphCON'!K56+'Background graphEXPL_CH'!X56</f>
        <v>0</v>
      </c>
      <c r="L55">
        <f t="shared" si="0"/>
        <v>0</v>
      </c>
      <c r="M55">
        <f t="shared" si="1"/>
        <v>59873.761174494633</v>
      </c>
      <c r="Y55">
        <f t="shared" si="6"/>
        <v>10000</v>
      </c>
      <c r="AA55">
        <f t="shared" si="7"/>
        <v>5.9873761174494637</v>
      </c>
      <c r="AB55" s="23">
        <f>'Background graphCON'!L139+'Background graphEXPL_CH'!Y56</f>
        <v>49577.591677777345</v>
      </c>
      <c r="AC55">
        <f t="shared" si="5"/>
        <v>4.9577591677777342</v>
      </c>
    </row>
    <row r="56" spans="1:29" x14ac:dyDescent="0.3">
      <c r="A56">
        <v>2074</v>
      </c>
      <c r="B56">
        <f>'Background graphCON'!B57+'Background graphEXPL_CH'!O57</f>
        <v>0</v>
      </c>
      <c r="C56">
        <f>'Background graphCON'!C57+'Background graphEXPL_CH'!P57</f>
        <v>0</v>
      </c>
      <c r="D56">
        <f>'Background graphCON'!D57+'Background graphEXPL_CH'!Q57</f>
        <v>0</v>
      </c>
      <c r="E56">
        <f>'Background graphCON'!E57+'Background graphEXPL_CH'!R57</f>
        <v>0</v>
      </c>
      <c r="F56">
        <f>'Background graphCON'!F57+'Background graphEXPL_CH'!S57</f>
        <v>0</v>
      </c>
      <c r="G56">
        <f>'Background graphCON'!G57+'Background graphEXPL_CH'!T57</f>
        <v>0</v>
      </c>
      <c r="H56">
        <f>'Background graphCON'!H57+'Background graphEXPL_CH'!U57</f>
        <v>0</v>
      </c>
      <c r="I56">
        <f>'Background graphCON'!I57+'Background graphEXPL_CH'!V57</f>
        <v>0</v>
      </c>
      <c r="J56">
        <f>'Background graphCON'!J57+'Background graphEXPL_CH'!W57</f>
        <v>0</v>
      </c>
      <c r="K56">
        <f>'Background graphCON'!K57+'Background graphEXPL_CH'!X57</f>
        <v>0</v>
      </c>
      <c r="L56">
        <f t="shared" si="0"/>
        <v>0</v>
      </c>
      <c r="M56">
        <f t="shared" si="1"/>
        <v>59873.761174494633</v>
      </c>
      <c r="Y56">
        <f t="shared" si="6"/>
        <v>10000</v>
      </c>
      <c r="AA56">
        <f t="shared" si="7"/>
        <v>5.9873761174494637</v>
      </c>
      <c r="AB56" s="23">
        <f>'Background graphCON'!L140+'Background graphEXPL_CH'!Y57</f>
        <v>49577.591677777345</v>
      </c>
      <c r="AC56">
        <f t="shared" si="5"/>
        <v>4.9577591677777342</v>
      </c>
    </row>
    <row r="57" spans="1:29" x14ac:dyDescent="0.3">
      <c r="A57">
        <v>2075</v>
      </c>
      <c r="B57">
        <f>'Background graphCON'!B58+'Background graphEXPL_CH'!O58</f>
        <v>0</v>
      </c>
      <c r="C57">
        <f>'Background graphCON'!C58+'Background graphEXPL_CH'!P58</f>
        <v>0</v>
      </c>
      <c r="D57">
        <f>'Background graphCON'!D58+'Background graphEXPL_CH'!Q58</f>
        <v>0</v>
      </c>
      <c r="E57">
        <f>'Background graphCON'!E58+'Background graphEXPL_CH'!R58</f>
        <v>0</v>
      </c>
      <c r="F57">
        <f>'Background graphCON'!F58+'Background graphEXPL_CH'!S58</f>
        <v>0</v>
      </c>
      <c r="G57">
        <f>'Background graphCON'!G58+'Background graphEXPL_CH'!T58</f>
        <v>0</v>
      </c>
      <c r="H57">
        <f>'Background graphCON'!H58+'Background graphEXPL_CH'!U58</f>
        <v>0</v>
      </c>
      <c r="I57">
        <f>'Background graphCON'!I58+'Background graphEXPL_CH'!V58</f>
        <v>0</v>
      </c>
      <c r="J57">
        <f>'Background graphCON'!J58+'Background graphEXPL_CH'!W58</f>
        <v>0</v>
      </c>
      <c r="K57">
        <f>'Background graphCON'!K58+'Background graphEXPL_CH'!X58</f>
        <v>0</v>
      </c>
      <c r="L57">
        <f t="shared" si="0"/>
        <v>0</v>
      </c>
      <c r="M57">
        <f t="shared" si="1"/>
        <v>59873.761174494633</v>
      </c>
      <c r="Y57">
        <f t="shared" si="6"/>
        <v>10000</v>
      </c>
      <c r="AA57">
        <f t="shared" si="7"/>
        <v>5.9873761174494637</v>
      </c>
      <c r="AB57" s="23">
        <f>'Background graphCON'!L141+'Background graphEXPL_CH'!Y58</f>
        <v>49577.591677777345</v>
      </c>
      <c r="AC57">
        <f t="shared" si="5"/>
        <v>4.9577591677777342</v>
      </c>
    </row>
    <row r="58" spans="1:29" x14ac:dyDescent="0.3">
      <c r="A58">
        <v>2076</v>
      </c>
      <c r="B58">
        <f>'Background graphCON'!B59+'Background graphEXPL_CH'!O59</f>
        <v>0</v>
      </c>
      <c r="C58">
        <f>'Background graphCON'!C59+'Background graphEXPL_CH'!P59</f>
        <v>0</v>
      </c>
      <c r="D58">
        <f>'Background graphCON'!D59+'Background graphEXPL_CH'!Q59</f>
        <v>0</v>
      </c>
      <c r="E58">
        <f>'Background graphCON'!E59+'Background graphEXPL_CH'!R59</f>
        <v>0</v>
      </c>
      <c r="F58">
        <f>'Background graphCON'!F59+'Background graphEXPL_CH'!S59</f>
        <v>0</v>
      </c>
      <c r="G58">
        <f>'Background graphCON'!G59+'Background graphEXPL_CH'!T59</f>
        <v>0</v>
      </c>
      <c r="H58">
        <f>'Background graphCON'!H59+'Background graphEXPL_CH'!U59</f>
        <v>0</v>
      </c>
      <c r="I58">
        <f>'Background graphCON'!I59+'Background graphEXPL_CH'!V59</f>
        <v>0</v>
      </c>
      <c r="J58">
        <f>'Background graphCON'!J59+'Background graphEXPL_CH'!W59</f>
        <v>0</v>
      </c>
      <c r="K58">
        <f>'Background graphCON'!K59+'Background graphEXPL_CH'!X59</f>
        <v>0</v>
      </c>
      <c r="L58">
        <f t="shared" si="0"/>
        <v>0</v>
      </c>
      <c r="M58">
        <f t="shared" si="1"/>
        <v>59873.761174494633</v>
      </c>
      <c r="Y58">
        <f t="shared" si="6"/>
        <v>10000</v>
      </c>
      <c r="AA58">
        <f t="shared" si="7"/>
        <v>5.9873761174494637</v>
      </c>
      <c r="AB58" s="23">
        <f>'Background graphCON'!L142+'Background graphEXPL_CH'!Y59</f>
        <v>49577.591677777345</v>
      </c>
      <c r="AC58">
        <f t="shared" si="5"/>
        <v>4.9577591677777342</v>
      </c>
    </row>
    <row r="59" spans="1:29" x14ac:dyDescent="0.3">
      <c r="A59" s="10">
        <v>2077</v>
      </c>
      <c r="B59">
        <f>'Background graphCON'!B60+'Background graphEXPL_CH'!O60</f>
        <v>0</v>
      </c>
      <c r="C59">
        <f>'Background graphCON'!C60+'Background graphEXPL_CH'!P60</f>
        <v>0</v>
      </c>
      <c r="D59">
        <f>'Background graphCON'!D60+'Background graphEXPL_CH'!Q60</f>
        <v>0</v>
      </c>
      <c r="E59">
        <f>'Background graphCON'!E60+'Background graphEXPL_CH'!R60</f>
        <v>0</v>
      </c>
      <c r="F59">
        <f>'Background graphCON'!F60+'Background graphEXPL_CH'!S60</f>
        <v>0</v>
      </c>
      <c r="G59">
        <f>'Background graphCON'!G60+'Background graphEXPL_CH'!T60</f>
        <v>0</v>
      </c>
      <c r="H59">
        <f>'Background graphCON'!H60+'Background graphEXPL_CH'!U60</f>
        <v>0</v>
      </c>
      <c r="I59">
        <f>'Background graphCON'!I60+'Background graphEXPL_CH'!V60</f>
        <v>0</v>
      </c>
      <c r="J59">
        <f>'Background graphCON'!J60+'Background graphEXPL_CH'!W60</f>
        <v>0</v>
      </c>
      <c r="K59">
        <f>'Background graphCON'!K60+'Background graphEXPL_CH'!X60</f>
        <v>0</v>
      </c>
      <c r="L59">
        <f t="shared" si="0"/>
        <v>0</v>
      </c>
      <c r="M59">
        <f t="shared" si="1"/>
        <v>59873.761174494633</v>
      </c>
      <c r="Y59">
        <f t="shared" si="6"/>
        <v>10000</v>
      </c>
      <c r="AA59">
        <f t="shared" si="7"/>
        <v>5.9873761174494637</v>
      </c>
      <c r="AB59" s="23">
        <f>'Background graphCON'!L143+'Background graphEXPL_CH'!Y60</f>
        <v>49577.591677777345</v>
      </c>
      <c r="AC59">
        <f t="shared" si="5"/>
        <v>4.9577591677777342</v>
      </c>
    </row>
    <row r="60" spans="1:29" x14ac:dyDescent="0.3">
      <c r="A60">
        <v>2078</v>
      </c>
      <c r="B60">
        <f>'Background graphCON'!B61+'Background graphEXPL_CH'!O61</f>
        <v>0</v>
      </c>
      <c r="C60">
        <f>'Background graphCON'!C61+'Background graphEXPL_CH'!P61</f>
        <v>0</v>
      </c>
      <c r="D60">
        <f>'Background graphCON'!D61+'Background graphEXPL_CH'!Q61</f>
        <v>0</v>
      </c>
      <c r="E60">
        <f>'Background graphCON'!E61+'Background graphEXPL_CH'!R61</f>
        <v>0</v>
      </c>
      <c r="F60">
        <f>'Background graphCON'!F61+'Background graphEXPL_CH'!S61</f>
        <v>0</v>
      </c>
      <c r="G60">
        <f>'Background graphCON'!G61+'Background graphEXPL_CH'!T61</f>
        <v>0</v>
      </c>
      <c r="H60">
        <f>'Background graphCON'!H61+'Background graphEXPL_CH'!U61</f>
        <v>0</v>
      </c>
      <c r="I60">
        <f>'Background graphCON'!I61+'Background graphEXPL_CH'!V61</f>
        <v>0</v>
      </c>
      <c r="J60">
        <f>'Background graphCON'!J61+'Background graphEXPL_CH'!W61</f>
        <v>0</v>
      </c>
      <c r="K60">
        <f>'Background graphCON'!K61+'Background graphEXPL_CH'!X61</f>
        <v>0</v>
      </c>
      <c r="L60">
        <f t="shared" si="0"/>
        <v>0</v>
      </c>
      <c r="M60">
        <f t="shared" si="1"/>
        <v>59873.761174494633</v>
      </c>
      <c r="Y60">
        <f t="shared" si="6"/>
        <v>10000</v>
      </c>
      <c r="AA60">
        <f t="shared" si="7"/>
        <v>5.9873761174494637</v>
      </c>
      <c r="AB60" s="23">
        <f>'Background graphCON'!L144+'Background graphEXPL_CH'!Y61</f>
        <v>49577.591677777345</v>
      </c>
      <c r="AC60">
        <f t="shared" si="5"/>
        <v>4.9577591677777342</v>
      </c>
    </row>
    <row r="61" spans="1:29" x14ac:dyDescent="0.3">
      <c r="A61">
        <v>2079</v>
      </c>
      <c r="B61">
        <f>'Background graphCON'!B62+'Background graphEXPL_CH'!O62</f>
        <v>0</v>
      </c>
      <c r="C61">
        <f>'Background graphCON'!C62+'Background graphEXPL_CH'!P62</f>
        <v>0</v>
      </c>
      <c r="D61">
        <f>'Background graphCON'!D62+'Background graphEXPL_CH'!Q62</f>
        <v>0</v>
      </c>
      <c r="E61">
        <f>'Background graphCON'!E62+'Background graphEXPL_CH'!R62</f>
        <v>0</v>
      </c>
      <c r="F61">
        <f>'Background graphCON'!F62+'Background graphEXPL_CH'!S62</f>
        <v>0</v>
      </c>
      <c r="G61">
        <f>'Background graphCON'!G62+'Background graphEXPL_CH'!T62</f>
        <v>0</v>
      </c>
      <c r="H61">
        <f>'Background graphCON'!H62+'Background graphEXPL_CH'!U62</f>
        <v>0</v>
      </c>
      <c r="I61">
        <f>'Background graphCON'!I62+'Background graphEXPL_CH'!V62</f>
        <v>0</v>
      </c>
      <c r="J61">
        <f>'Background graphCON'!J62+'Background graphEXPL_CH'!W62</f>
        <v>0</v>
      </c>
      <c r="K61">
        <f>'Background graphCON'!K62+'Background graphEXPL_CH'!X62</f>
        <v>0</v>
      </c>
      <c r="L61">
        <f t="shared" si="0"/>
        <v>0</v>
      </c>
      <c r="M61">
        <f t="shared" si="1"/>
        <v>59873.761174494633</v>
      </c>
      <c r="Y61">
        <f t="shared" si="6"/>
        <v>10000</v>
      </c>
      <c r="AA61">
        <f t="shared" si="7"/>
        <v>5.9873761174494637</v>
      </c>
      <c r="AB61" s="23">
        <f>'Background graphCON'!L145+'Background graphEXPL_CH'!Y62</f>
        <v>49577.591677777345</v>
      </c>
      <c r="AC61">
        <f t="shared" si="5"/>
        <v>4.9577591677777342</v>
      </c>
    </row>
    <row r="62" spans="1:29" x14ac:dyDescent="0.3">
      <c r="A62">
        <v>2080</v>
      </c>
      <c r="B62">
        <f>'Background graphCON'!B63+'Background graphEXPL_CH'!O63</f>
        <v>0</v>
      </c>
      <c r="C62">
        <f>'Background graphCON'!C63+'Background graphEXPL_CH'!P63</f>
        <v>0</v>
      </c>
      <c r="D62">
        <f>'Background graphCON'!D63+'Background graphEXPL_CH'!Q63</f>
        <v>0</v>
      </c>
      <c r="E62">
        <f>'Background graphCON'!E63+'Background graphEXPL_CH'!R63</f>
        <v>0</v>
      </c>
      <c r="F62">
        <f>'Background graphCON'!F63+'Background graphEXPL_CH'!S63</f>
        <v>0</v>
      </c>
      <c r="G62">
        <f>'Background graphCON'!G63+'Background graphEXPL_CH'!T63</f>
        <v>0</v>
      </c>
      <c r="H62">
        <f>'Background graphCON'!H63+'Background graphEXPL_CH'!U63</f>
        <v>0</v>
      </c>
      <c r="I62">
        <f>'Background graphCON'!I63+'Background graphEXPL_CH'!V63</f>
        <v>0</v>
      </c>
      <c r="J62">
        <f>'Background graphCON'!J63+'Background graphEXPL_CH'!W63</f>
        <v>0</v>
      </c>
      <c r="K62">
        <f>'Background graphCON'!K63+'Background graphEXPL_CH'!X63</f>
        <v>0</v>
      </c>
      <c r="L62">
        <f t="shared" si="0"/>
        <v>0</v>
      </c>
      <c r="M62">
        <f t="shared" si="1"/>
        <v>59873.761174494633</v>
      </c>
      <c r="Y62">
        <f t="shared" si="6"/>
        <v>10000</v>
      </c>
      <c r="AA62">
        <f t="shared" si="7"/>
        <v>5.9873761174494637</v>
      </c>
      <c r="AB62" s="23">
        <f>'Background graphCON'!L146+'Background graphEXPL_CH'!Y63</f>
        <v>49577.591677777345</v>
      </c>
      <c r="AC62">
        <f t="shared" si="5"/>
        <v>4.9577591677777342</v>
      </c>
    </row>
    <row r="63" spans="1:29" x14ac:dyDescent="0.3">
      <c r="A63" s="10">
        <v>2081</v>
      </c>
      <c r="B63">
        <f>'Background graphCON'!B64+'Background graphEXPL_CH'!O64</f>
        <v>0</v>
      </c>
      <c r="C63">
        <f>'Background graphCON'!C64+'Background graphEXPL_CH'!P64</f>
        <v>0</v>
      </c>
      <c r="D63">
        <f>'Background graphCON'!D64+'Background graphEXPL_CH'!Q64</f>
        <v>0</v>
      </c>
      <c r="E63">
        <f>'Background graphCON'!E64+'Background graphEXPL_CH'!R64</f>
        <v>0</v>
      </c>
      <c r="F63">
        <f>'Background graphCON'!F64+'Background graphEXPL_CH'!S64</f>
        <v>0</v>
      </c>
      <c r="G63">
        <f>'Background graphCON'!G64+'Background graphEXPL_CH'!T64</f>
        <v>0</v>
      </c>
      <c r="H63">
        <f>'Background graphCON'!H64+'Background graphEXPL_CH'!U64</f>
        <v>0</v>
      </c>
      <c r="I63">
        <f>'Background graphCON'!I64+'Background graphEXPL_CH'!V64</f>
        <v>0</v>
      </c>
      <c r="J63">
        <f>'Background graphCON'!J64+'Background graphEXPL_CH'!W64</f>
        <v>0</v>
      </c>
      <c r="K63">
        <f>'Background graphCON'!K64+'Background graphEXPL_CH'!X64</f>
        <v>0</v>
      </c>
      <c r="L63">
        <f t="shared" si="0"/>
        <v>0</v>
      </c>
      <c r="M63">
        <f t="shared" si="1"/>
        <v>59873.761174494633</v>
      </c>
      <c r="Y63">
        <f t="shared" si="6"/>
        <v>10000</v>
      </c>
      <c r="AA63">
        <f t="shared" si="7"/>
        <v>5.9873761174494637</v>
      </c>
      <c r="AB63" s="23">
        <f>'Background graphCON'!L147+'Background graphEXPL_CH'!Y64</f>
        <v>49577.591677777345</v>
      </c>
      <c r="AC63">
        <f t="shared" si="5"/>
        <v>4.9577591677777342</v>
      </c>
    </row>
    <row r="64" spans="1:29" x14ac:dyDescent="0.3">
      <c r="A64">
        <v>2082</v>
      </c>
      <c r="B64">
        <f>'Background graphCON'!B65+'Background graphEXPL_CH'!O65</f>
        <v>0</v>
      </c>
      <c r="C64">
        <f>'Background graphCON'!C65+'Background graphEXPL_CH'!P65</f>
        <v>0</v>
      </c>
      <c r="D64">
        <f>'Background graphCON'!D65+'Background graphEXPL_CH'!Q65</f>
        <v>0</v>
      </c>
      <c r="E64">
        <f>'Background graphCON'!E65+'Background graphEXPL_CH'!R65</f>
        <v>0</v>
      </c>
      <c r="F64">
        <f>'Background graphCON'!F65+'Background graphEXPL_CH'!S65</f>
        <v>0</v>
      </c>
      <c r="G64">
        <f>'Background graphCON'!G65+'Background graphEXPL_CH'!T65</f>
        <v>0</v>
      </c>
      <c r="H64">
        <f>'Background graphCON'!H65+'Background graphEXPL_CH'!U65</f>
        <v>0</v>
      </c>
      <c r="I64">
        <f>'Background graphCON'!I65+'Background graphEXPL_CH'!V65</f>
        <v>0</v>
      </c>
      <c r="J64">
        <f>'Background graphCON'!J65+'Background graphEXPL_CH'!W65</f>
        <v>0</v>
      </c>
      <c r="K64">
        <f>'Background graphCON'!K65+'Background graphEXPL_CH'!X65</f>
        <v>0</v>
      </c>
      <c r="L64">
        <f t="shared" si="0"/>
        <v>0</v>
      </c>
      <c r="M64">
        <f t="shared" si="1"/>
        <v>59873.761174494633</v>
      </c>
      <c r="Y64">
        <f t="shared" si="6"/>
        <v>10000</v>
      </c>
      <c r="AA64">
        <f t="shared" si="7"/>
        <v>5.9873761174494637</v>
      </c>
      <c r="AB64" s="23">
        <f>'Background graphCON'!L148+'Background graphEXPL_CH'!Y65</f>
        <v>49577.591677777345</v>
      </c>
      <c r="AC64">
        <f t="shared" si="5"/>
        <v>4.9577591677777342</v>
      </c>
    </row>
    <row r="65" spans="1:29" x14ac:dyDescent="0.3">
      <c r="A65">
        <v>2083</v>
      </c>
      <c r="B65">
        <f>'Background graphCON'!B66+'Background graphEXPL_CH'!O66</f>
        <v>0</v>
      </c>
      <c r="C65">
        <f>'Background graphCON'!C66+'Background graphEXPL_CH'!P66</f>
        <v>0</v>
      </c>
      <c r="D65">
        <f>'Background graphCON'!D66+'Background graphEXPL_CH'!Q66</f>
        <v>0</v>
      </c>
      <c r="E65">
        <f>'Background graphCON'!E66+'Background graphEXPL_CH'!R66</f>
        <v>0</v>
      </c>
      <c r="F65">
        <f>'Background graphCON'!F66+'Background graphEXPL_CH'!S66</f>
        <v>0</v>
      </c>
      <c r="G65">
        <f>'Background graphCON'!G66+'Background graphEXPL_CH'!T66</f>
        <v>0</v>
      </c>
      <c r="H65">
        <f>'Background graphCON'!H66+'Background graphEXPL_CH'!U66</f>
        <v>0</v>
      </c>
      <c r="I65">
        <f>'Background graphCON'!I66+'Background graphEXPL_CH'!V66</f>
        <v>0</v>
      </c>
      <c r="J65">
        <f>'Background graphCON'!J66+'Background graphEXPL_CH'!W66</f>
        <v>0</v>
      </c>
      <c r="K65">
        <f>'Background graphCON'!K66+'Background graphEXPL_CH'!X66</f>
        <v>0</v>
      </c>
      <c r="L65">
        <f t="shared" si="0"/>
        <v>0</v>
      </c>
      <c r="M65">
        <f t="shared" si="1"/>
        <v>59873.761174494633</v>
      </c>
      <c r="Y65">
        <f t="shared" si="6"/>
        <v>10000</v>
      </c>
      <c r="AA65">
        <f t="shared" si="7"/>
        <v>5.9873761174494637</v>
      </c>
      <c r="AB65" s="23">
        <f>'Background graphCON'!L149+'Background graphEXPL_CH'!Y66</f>
        <v>49577.591677777345</v>
      </c>
      <c r="AC65">
        <f t="shared" si="5"/>
        <v>4.9577591677777342</v>
      </c>
    </row>
    <row r="66" spans="1:29" x14ac:dyDescent="0.3">
      <c r="A66">
        <v>2084</v>
      </c>
      <c r="B66">
        <f>'Background graphCON'!B67+'Background graphEXPL_CH'!O67</f>
        <v>0</v>
      </c>
      <c r="C66">
        <f>'Background graphCON'!C67+'Background graphEXPL_CH'!P67</f>
        <v>0</v>
      </c>
      <c r="D66">
        <f>'Background graphCON'!D67+'Background graphEXPL_CH'!Q67</f>
        <v>0</v>
      </c>
      <c r="E66">
        <f>'Background graphCON'!E67+'Background graphEXPL_CH'!R67</f>
        <v>0</v>
      </c>
      <c r="F66">
        <f>'Background graphCON'!F67+'Background graphEXPL_CH'!S67</f>
        <v>0</v>
      </c>
      <c r="G66">
        <f>'Background graphCON'!G67+'Background graphEXPL_CH'!T67</f>
        <v>0</v>
      </c>
      <c r="H66">
        <f>'Background graphCON'!H67+'Background graphEXPL_CH'!U67</f>
        <v>0</v>
      </c>
      <c r="I66">
        <f>'Background graphCON'!I67+'Background graphEXPL_CH'!V67</f>
        <v>0</v>
      </c>
      <c r="J66">
        <f>'Background graphCON'!J67+'Background graphEXPL_CH'!W67</f>
        <v>0</v>
      </c>
      <c r="K66">
        <f>'Background graphCON'!K67+'Background graphEXPL_CH'!X67</f>
        <v>0</v>
      </c>
      <c r="L66">
        <f t="shared" si="0"/>
        <v>0</v>
      </c>
      <c r="M66">
        <f t="shared" si="1"/>
        <v>59873.761174494633</v>
      </c>
      <c r="Y66">
        <f t="shared" si="6"/>
        <v>10000</v>
      </c>
      <c r="AA66">
        <f t="shared" si="7"/>
        <v>5.9873761174494637</v>
      </c>
      <c r="AB66" s="23">
        <f>'Background graphCON'!L150+'Background graphEXPL_CH'!Y67</f>
        <v>49577.591677777345</v>
      </c>
      <c r="AC66">
        <f t="shared" si="5"/>
        <v>4.9577591677777342</v>
      </c>
    </row>
    <row r="67" spans="1:29" x14ac:dyDescent="0.3">
      <c r="A67" s="10">
        <v>2085</v>
      </c>
      <c r="B67">
        <f>'Background graphCON'!B68+'Background graphEXPL_CH'!O68</f>
        <v>0</v>
      </c>
      <c r="C67">
        <f>'Background graphCON'!C68+'Background graphEXPL_CH'!P68</f>
        <v>0</v>
      </c>
      <c r="D67">
        <f>'Background graphCON'!D68+'Background graphEXPL_CH'!Q68</f>
        <v>0</v>
      </c>
      <c r="E67">
        <f>'Background graphCON'!E68+'Background graphEXPL_CH'!R68</f>
        <v>0</v>
      </c>
      <c r="F67">
        <f>'Background graphCON'!F68+'Background graphEXPL_CH'!S68</f>
        <v>0</v>
      </c>
      <c r="G67">
        <f>'Background graphCON'!G68+'Background graphEXPL_CH'!T68</f>
        <v>0</v>
      </c>
      <c r="H67">
        <f>'Background graphCON'!H68+'Background graphEXPL_CH'!U68</f>
        <v>0</v>
      </c>
      <c r="I67">
        <f>'Background graphCON'!I68+'Background graphEXPL_CH'!V68</f>
        <v>0</v>
      </c>
      <c r="J67">
        <f>'Background graphCON'!J68+'Background graphEXPL_CH'!W68</f>
        <v>0</v>
      </c>
      <c r="K67">
        <f>'Background graphCON'!K68+'Background graphEXPL_CH'!X68</f>
        <v>0</v>
      </c>
      <c r="L67">
        <f t="shared" si="0"/>
        <v>0</v>
      </c>
      <c r="M67">
        <f t="shared" si="1"/>
        <v>59873.761174494633</v>
      </c>
      <c r="Y67">
        <f t="shared" si="6"/>
        <v>10000</v>
      </c>
      <c r="AA67">
        <f t="shared" si="7"/>
        <v>5.9873761174494637</v>
      </c>
      <c r="AB67" s="23">
        <f>'Background graphCON'!L151+'Background graphEXPL_CH'!Y68</f>
        <v>40966.858873377045</v>
      </c>
      <c r="AC67">
        <f t="shared" si="5"/>
        <v>4.0966858873377046</v>
      </c>
    </row>
    <row r="68" spans="1:29" x14ac:dyDescent="0.3">
      <c r="A68">
        <v>2086</v>
      </c>
      <c r="B68">
        <f>'Background graphCON'!B69+'Background graphEXPL_CH'!O69</f>
        <v>0</v>
      </c>
      <c r="C68">
        <f>'Background graphCON'!C69+'Background graphEXPL_CH'!P69</f>
        <v>0</v>
      </c>
      <c r="D68">
        <f>'Background graphCON'!D69+'Background graphEXPL_CH'!Q69</f>
        <v>0</v>
      </c>
      <c r="E68">
        <f>'Background graphCON'!E69+'Background graphEXPL_CH'!R69</f>
        <v>0</v>
      </c>
      <c r="F68">
        <f>'Background graphCON'!F69+'Background graphEXPL_CH'!S69</f>
        <v>0</v>
      </c>
      <c r="G68">
        <f>'Background graphCON'!G69+'Background graphEXPL_CH'!T69</f>
        <v>0</v>
      </c>
      <c r="H68">
        <f>'Background graphCON'!H69+'Background graphEXPL_CH'!U69</f>
        <v>0</v>
      </c>
      <c r="I68">
        <f>'Background graphCON'!I69+'Background graphEXPL_CH'!V69</f>
        <v>0</v>
      </c>
      <c r="J68">
        <f>'Background graphCON'!J69+'Background graphEXPL_CH'!W69</f>
        <v>0</v>
      </c>
      <c r="K68">
        <f>'Background graphCON'!K69+'Background graphEXPL_CH'!X69</f>
        <v>0</v>
      </c>
      <c r="L68">
        <f t="shared" si="0"/>
        <v>0</v>
      </c>
      <c r="M68">
        <f t="shared" si="1"/>
        <v>59873.761174494633</v>
      </c>
      <c r="Y68">
        <f t="shared" si="6"/>
        <v>10000</v>
      </c>
      <c r="AA68">
        <f t="shared" si="7"/>
        <v>5.9873761174494637</v>
      </c>
      <c r="AB68" s="23">
        <f>'Background graphCON'!L152+'Background graphEXPL_CH'!Y69</f>
        <v>40966.858873377045</v>
      </c>
      <c r="AC68">
        <f t="shared" si="5"/>
        <v>4.0966858873377046</v>
      </c>
    </row>
    <row r="69" spans="1:29" x14ac:dyDescent="0.3">
      <c r="A69">
        <v>2087</v>
      </c>
      <c r="B69">
        <f>'Background graphCON'!B70+'Background graphEXPL_CH'!O70</f>
        <v>0</v>
      </c>
      <c r="C69">
        <f>'Background graphCON'!C70+'Background graphEXPL_CH'!P70</f>
        <v>0</v>
      </c>
      <c r="D69">
        <f>'Background graphCON'!D70+'Background graphEXPL_CH'!Q70</f>
        <v>0</v>
      </c>
      <c r="E69">
        <f>'Background graphCON'!E70+'Background graphEXPL_CH'!R70</f>
        <v>0</v>
      </c>
      <c r="F69">
        <f>'Background graphCON'!F70+'Background graphEXPL_CH'!S70</f>
        <v>0</v>
      </c>
      <c r="G69">
        <f>'Background graphCON'!G70+'Background graphEXPL_CH'!T70</f>
        <v>0</v>
      </c>
      <c r="H69">
        <f>'Background graphCON'!H70+'Background graphEXPL_CH'!U70</f>
        <v>0</v>
      </c>
      <c r="I69">
        <f>'Background graphCON'!I70+'Background graphEXPL_CH'!V70</f>
        <v>0</v>
      </c>
      <c r="J69">
        <f>'Background graphCON'!J70+'Background graphEXPL_CH'!W70</f>
        <v>0</v>
      </c>
      <c r="K69">
        <f>'Background graphCON'!K70+'Background graphEXPL_CH'!X70</f>
        <v>0</v>
      </c>
      <c r="L69">
        <f t="shared" ref="L69:L82" si="8">SUM(B69:K69)</f>
        <v>0</v>
      </c>
      <c r="M69">
        <f t="shared" ref="M69:M82" si="9">M68+(L69/60)</f>
        <v>59873.761174494633</v>
      </c>
      <c r="Y69">
        <f t="shared" si="6"/>
        <v>10000</v>
      </c>
      <c r="AA69">
        <f t="shared" si="7"/>
        <v>5.9873761174494637</v>
      </c>
      <c r="AB69" s="23">
        <f>'Background graphCON'!L153+'Background graphEXPL_CH'!Y70</f>
        <v>33378.86585855524</v>
      </c>
      <c r="AC69">
        <f t="shared" ref="AC69:AC81" si="10">AB69/Y69</f>
        <v>3.3378865858555242</v>
      </c>
    </row>
    <row r="70" spans="1:29" x14ac:dyDescent="0.3">
      <c r="A70">
        <v>2088</v>
      </c>
      <c r="B70">
        <f>'Background graphCON'!B71+'Background graphEXPL_CH'!O71</f>
        <v>0</v>
      </c>
      <c r="C70">
        <f>'Background graphCON'!C71+'Background graphEXPL_CH'!P71</f>
        <v>0</v>
      </c>
      <c r="D70">
        <f>'Background graphCON'!D71+'Background graphEXPL_CH'!Q71</f>
        <v>0</v>
      </c>
      <c r="E70">
        <f>'Background graphCON'!E71+'Background graphEXPL_CH'!R71</f>
        <v>0</v>
      </c>
      <c r="F70">
        <f>'Background graphCON'!F71+'Background graphEXPL_CH'!S71</f>
        <v>0</v>
      </c>
      <c r="G70">
        <f>'Background graphCON'!G71+'Background graphEXPL_CH'!T71</f>
        <v>0</v>
      </c>
      <c r="H70">
        <f>'Background graphCON'!H71+'Background graphEXPL_CH'!U71</f>
        <v>0</v>
      </c>
      <c r="I70">
        <f>'Background graphCON'!I71+'Background graphEXPL_CH'!V71</f>
        <v>0</v>
      </c>
      <c r="J70">
        <f>'Background graphCON'!J71+'Background graphEXPL_CH'!W71</f>
        <v>0</v>
      </c>
      <c r="K70">
        <f>'Background graphCON'!K71+'Background graphEXPL_CH'!X71</f>
        <v>0</v>
      </c>
      <c r="L70">
        <f t="shared" si="8"/>
        <v>0</v>
      </c>
      <c r="M70">
        <f t="shared" si="9"/>
        <v>59873.761174494633</v>
      </c>
      <c r="Y70">
        <f t="shared" si="6"/>
        <v>10000</v>
      </c>
      <c r="AA70">
        <f t="shared" si="7"/>
        <v>5.9873761174494637</v>
      </c>
      <c r="AB70" s="23">
        <f>'Background graphCON'!L154+'Background graphEXPL_CH'!Y71</f>
        <v>33378.86585855524</v>
      </c>
      <c r="AC70">
        <f t="shared" si="10"/>
        <v>3.3378865858555242</v>
      </c>
    </row>
    <row r="71" spans="1:29" x14ac:dyDescent="0.3">
      <c r="A71" s="10">
        <v>2089</v>
      </c>
      <c r="B71">
        <f>'Background graphCON'!B72+'Background graphEXPL_CH'!O72</f>
        <v>0</v>
      </c>
      <c r="C71">
        <f>'Background graphCON'!C72+'Background graphEXPL_CH'!P72</f>
        <v>0</v>
      </c>
      <c r="D71">
        <f>'Background graphCON'!D72+'Background graphEXPL_CH'!Q72</f>
        <v>0</v>
      </c>
      <c r="E71">
        <f>'Background graphCON'!E72+'Background graphEXPL_CH'!R72</f>
        <v>0</v>
      </c>
      <c r="F71">
        <f>'Background graphCON'!F72+'Background graphEXPL_CH'!S72</f>
        <v>0</v>
      </c>
      <c r="G71">
        <f>'Background graphCON'!G72+'Background graphEXPL_CH'!T72</f>
        <v>0</v>
      </c>
      <c r="H71">
        <f>'Background graphCON'!H72+'Background graphEXPL_CH'!U72</f>
        <v>0</v>
      </c>
      <c r="I71">
        <f>'Background graphCON'!I72+'Background graphEXPL_CH'!V72</f>
        <v>0</v>
      </c>
      <c r="J71">
        <f>'Background graphCON'!J72+'Background graphEXPL_CH'!W72</f>
        <v>0</v>
      </c>
      <c r="K71">
        <f>'Background graphCON'!K72+'Background graphEXPL_CH'!X72</f>
        <v>0</v>
      </c>
      <c r="L71">
        <f t="shared" si="8"/>
        <v>0</v>
      </c>
      <c r="M71">
        <f t="shared" si="9"/>
        <v>59873.761174494633</v>
      </c>
      <c r="Y71">
        <f t="shared" si="6"/>
        <v>10000</v>
      </c>
      <c r="AA71">
        <f t="shared" si="7"/>
        <v>5.9873761174494637</v>
      </c>
      <c r="AB71" s="23">
        <f>'Background graphCON'!L155+'Background graphEXPL_CH'!Y72</f>
        <v>33378.86585855524</v>
      </c>
      <c r="AC71">
        <f t="shared" si="10"/>
        <v>3.3378865858555242</v>
      </c>
    </row>
    <row r="72" spans="1:29" x14ac:dyDescent="0.3">
      <c r="A72">
        <v>2090</v>
      </c>
      <c r="B72">
        <f>'Background graphCON'!B73+'Background graphEXPL_CH'!O73</f>
        <v>0</v>
      </c>
      <c r="C72">
        <f>'Background graphCON'!C73+'Background graphEXPL_CH'!P73</f>
        <v>0</v>
      </c>
      <c r="D72">
        <f>'Background graphCON'!D73+'Background graphEXPL_CH'!Q73</f>
        <v>0</v>
      </c>
      <c r="E72">
        <f>'Background graphCON'!E73+'Background graphEXPL_CH'!R73</f>
        <v>0</v>
      </c>
      <c r="F72">
        <f>'Background graphCON'!F73+'Background graphEXPL_CH'!S73</f>
        <v>0</v>
      </c>
      <c r="G72">
        <f>'Background graphCON'!G73+'Background graphEXPL_CH'!T73</f>
        <v>0</v>
      </c>
      <c r="H72">
        <f>'Background graphCON'!H73+'Background graphEXPL_CH'!U73</f>
        <v>0</v>
      </c>
      <c r="I72">
        <f>'Background graphCON'!I73+'Background graphEXPL_CH'!V73</f>
        <v>0</v>
      </c>
      <c r="J72">
        <f>'Background graphCON'!J73+'Background graphEXPL_CH'!W73</f>
        <v>0</v>
      </c>
      <c r="K72">
        <f>'Background graphCON'!K73+'Background graphEXPL_CH'!X73</f>
        <v>0</v>
      </c>
      <c r="L72">
        <f t="shared" si="8"/>
        <v>0</v>
      </c>
      <c r="M72">
        <f t="shared" si="9"/>
        <v>59873.761174494633</v>
      </c>
      <c r="Y72">
        <f t="shared" si="6"/>
        <v>10000</v>
      </c>
      <c r="AA72">
        <f t="shared" si="7"/>
        <v>5.9873761174494637</v>
      </c>
      <c r="AB72" s="23">
        <f>'Background graphCON'!L156+'Background graphEXPL_CH'!Y73</f>
        <v>33378.86585855524</v>
      </c>
      <c r="AC72">
        <f t="shared" si="10"/>
        <v>3.3378865858555242</v>
      </c>
    </row>
    <row r="73" spans="1:29" x14ac:dyDescent="0.3">
      <c r="A73">
        <v>2091</v>
      </c>
      <c r="B73">
        <f>'Background graphCON'!B74+'Background graphEXPL_CH'!O74</f>
        <v>0</v>
      </c>
      <c r="C73">
        <f>'Background graphCON'!C74+'Background graphEXPL_CH'!P74</f>
        <v>0</v>
      </c>
      <c r="D73">
        <f>'Background graphCON'!D74+'Background graphEXPL_CH'!Q74</f>
        <v>0</v>
      </c>
      <c r="E73">
        <f>'Background graphCON'!E74+'Background graphEXPL_CH'!R74</f>
        <v>0</v>
      </c>
      <c r="F73">
        <f>'Background graphCON'!F74+'Background graphEXPL_CH'!S74</f>
        <v>0</v>
      </c>
      <c r="G73">
        <f>'Background graphCON'!G74+'Background graphEXPL_CH'!T74</f>
        <v>0</v>
      </c>
      <c r="H73">
        <f>'Background graphCON'!H74+'Background graphEXPL_CH'!U74</f>
        <v>0</v>
      </c>
      <c r="I73">
        <f>'Background graphCON'!I74+'Background graphEXPL_CH'!V74</f>
        <v>0</v>
      </c>
      <c r="J73">
        <f>'Background graphCON'!J74+'Background graphEXPL_CH'!W74</f>
        <v>0</v>
      </c>
      <c r="K73">
        <f>'Background graphCON'!K74+'Background graphEXPL_CH'!X74</f>
        <v>0</v>
      </c>
      <c r="L73">
        <f t="shared" si="8"/>
        <v>0</v>
      </c>
      <c r="M73">
        <f t="shared" si="9"/>
        <v>59873.761174494633</v>
      </c>
      <c r="Y73">
        <f t="shared" si="6"/>
        <v>10000</v>
      </c>
      <c r="AA73">
        <f t="shared" si="7"/>
        <v>5.9873761174494637</v>
      </c>
      <c r="AB73" s="23">
        <f>'Background graphCON'!L157+'Background graphEXPL_CH'!Y74</f>
        <v>26782.272207050977</v>
      </c>
      <c r="AC73">
        <f t="shared" si="10"/>
        <v>2.6782272207050979</v>
      </c>
    </row>
    <row r="74" spans="1:29" x14ac:dyDescent="0.3">
      <c r="A74">
        <v>2092</v>
      </c>
      <c r="B74">
        <f>'Background graphCON'!B75+'Background graphEXPL_CH'!O75</f>
        <v>0</v>
      </c>
      <c r="C74">
        <f>'Background graphCON'!C75+'Background graphEXPL_CH'!P75</f>
        <v>0</v>
      </c>
      <c r="D74">
        <f>'Background graphCON'!D75+'Background graphEXPL_CH'!Q75</f>
        <v>0</v>
      </c>
      <c r="E74">
        <f>'Background graphCON'!E75+'Background graphEXPL_CH'!R75</f>
        <v>0</v>
      </c>
      <c r="F74">
        <f>'Background graphCON'!F75+'Background graphEXPL_CH'!S75</f>
        <v>0</v>
      </c>
      <c r="G74">
        <f>'Background graphCON'!G75+'Background graphEXPL_CH'!T75</f>
        <v>0</v>
      </c>
      <c r="H74">
        <f>'Background graphCON'!H75+'Background graphEXPL_CH'!U75</f>
        <v>0</v>
      </c>
      <c r="I74">
        <f>'Background graphCON'!I75+'Background graphEXPL_CH'!V75</f>
        <v>0</v>
      </c>
      <c r="J74">
        <f>'Background graphCON'!J75+'Background graphEXPL_CH'!W75</f>
        <v>0</v>
      </c>
      <c r="K74">
        <f>'Background graphCON'!K75+'Background graphEXPL_CH'!X75</f>
        <v>0</v>
      </c>
      <c r="L74">
        <f t="shared" si="8"/>
        <v>0</v>
      </c>
      <c r="M74">
        <f t="shared" si="9"/>
        <v>59873.761174494633</v>
      </c>
      <c r="Y74">
        <f t="shared" si="6"/>
        <v>10000</v>
      </c>
      <c r="AA74">
        <f t="shared" si="7"/>
        <v>5.9873761174494637</v>
      </c>
      <c r="AB74" s="23">
        <f>'Background graphCON'!L158+'Background graphEXPL_CH'!Y75</f>
        <v>26782.272207050977</v>
      </c>
      <c r="AC74">
        <f t="shared" si="10"/>
        <v>2.6782272207050979</v>
      </c>
    </row>
    <row r="75" spans="1:29" x14ac:dyDescent="0.3">
      <c r="A75">
        <v>2093</v>
      </c>
      <c r="B75">
        <f>'Background graphCON'!B76+'Background graphEXPL_CH'!O76</f>
        <v>0</v>
      </c>
      <c r="C75">
        <f>'Background graphCON'!C76+'Background graphEXPL_CH'!P76</f>
        <v>0</v>
      </c>
      <c r="D75">
        <f>'Background graphCON'!D76+'Background graphEXPL_CH'!Q76</f>
        <v>0</v>
      </c>
      <c r="E75">
        <f>'Background graphCON'!E76+'Background graphEXPL_CH'!R76</f>
        <v>0</v>
      </c>
      <c r="F75">
        <f>'Background graphCON'!F76+'Background graphEXPL_CH'!S76</f>
        <v>0</v>
      </c>
      <c r="G75">
        <f>'Background graphCON'!G76+'Background graphEXPL_CH'!T76</f>
        <v>0</v>
      </c>
      <c r="H75">
        <f>'Background graphCON'!H76+'Background graphEXPL_CH'!U76</f>
        <v>0</v>
      </c>
      <c r="I75">
        <f>'Background graphCON'!I76+'Background graphEXPL_CH'!V76</f>
        <v>0</v>
      </c>
      <c r="J75">
        <f>'Background graphCON'!J76+'Background graphEXPL_CH'!W76</f>
        <v>0</v>
      </c>
      <c r="K75">
        <f>'Background graphCON'!K76+'Background graphEXPL_CH'!X76</f>
        <v>0</v>
      </c>
      <c r="L75">
        <f t="shared" si="8"/>
        <v>0</v>
      </c>
      <c r="M75">
        <f t="shared" si="9"/>
        <v>59873.761174494633</v>
      </c>
      <c r="Y75">
        <f t="shared" si="6"/>
        <v>10000</v>
      </c>
      <c r="AA75">
        <f t="shared" si="7"/>
        <v>5.9873761174494637</v>
      </c>
      <c r="AB75" s="23">
        <f>'Background graphCON'!L159+'Background graphEXPL_CH'!Y76</f>
        <v>26782.272207050977</v>
      </c>
      <c r="AC75">
        <f t="shared" si="10"/>
        <v>2.6782272207050979</v>
      </c>
    </row>
    <row r="76" spans="1:29" x14ac:dyDescent="0.3">
      <c r="A76">
        <v>2094</v>
      </c>
      <c r="B76">
        <f>'Background graphCON'!B77+'Background graphEXPL_CH'!O77</f>
        <v>0</v>
      </c>
      <c r="C76">
        <f>'Background graphCON'!C77+'Background graphEXPL_CH'!P77</f>
        <v>0</v>
      </c>
      <c r="D76">
        <f>'Background graphCON'!D77+'Background graphEXPL_CH'!Q77</f>
        <v>0</v>
      </c>
      <c r="E76">
        <f>'Background graphCON'!E77+'Background graphEXPL_CH'!R77</f>
        <v>0</v>
      </c>
      <c r="F76">
        <f>'Background graphCON'!F77+'Background graphEXPL_CH'!S77</f>
        <v>0</v>
      </c>
      <c r="G76">
        <f>'Background graphCON'!G77+'Background graphEXPL_CH'!T77</f>
        <v>0</v>
      </c>
      <c r="H76">
        <f>'Background graphCON'!H77+'Background graphEXPL_CH'!U77</f>
        <v>0</v>
      </c>
      <c r="I76">
        <f>'Background graphCON'!I77+'Background graphEXPL_CH'!V77</f>
        <v>0</v>
      </c>
      <c r="J76">
        <f>'Background graphCON'!J77+'Background graphEXPL_CH'!W77</f>
        <v>0</v>
      </c>
      <c r="K76">
        <f>'Background graphCON'!K77+'Background graphEXPL_CH'!X77</f>
        <v>0</v>
      </c>
      <c r="L76">
        <f t="shared" si="8"/>
        <v>0</v>
      </c>
      <c r="M76">
        <f t="shared" si="9"/>
        <v>59873.761174494633</v>
      </c>
      <c r="Y76">
        <f t="shared" si="6"/>
        <v>10000</v>
      </c>
      <c r="AA76">
        <f t="shared" si="7"/>
        <v>5.9873761174494637</v>
      </c>
      <c r="AB76" s="23">
        <f>'Background graphCON'!L160+'Background graphEXPL_CH'!Y77</f>
        <v>26782.272207050977</v>
      </c>
      <c r="AC76">
        <f t="shared" si="10"/>
        <v>2.6782272207050979</v>
      </c>
    </row>
    <row r="77" spans="1:29" x14ac:dyDescent="0.3">
      <c r="A77">
        <v>2095</v>
      </c>
      <c r="B77">
        <f>'Background graphCON'!B78+'Background graphEXPL_CH'!O78</f>
        <v>0</v>
      </c>
      <c r="C77">
        <f>'Background graphCON'!C78+'Background graphEXPL_CH'!P78</f>
        <v>0</v>
      </c>
      <c r="D77">
        <f>'Background graphCON'!D78+'Background graphEXPL_CH'!Q78</f>
        <v>0</v>
      </c>
      <c r="E77">
        <f>'Background graphCON'!E78+'Background graphEXPL_CH'!R78</f>
        <v>0</v>
      </c>
      <c r="F77">
        <f>'Background graphCON'!F78+'Background graphEXPL_CH'!S78</f>
        <v>0</v>
      </c>
      <c r="G77">
        <f>'Background graphCON'!G78+'Background graphEXPL_CH'!T78</f>
        <v>0</v>
      </c>
      <c r="H77">
        <f>'Background graphCON'!H78+'Background graphEXPL_CH'!U78</f>
        <v>0</v>
      </c>
      <c r="I77">
        <f>'Background graphCON'!I78+'Background graphEXPL_CH'!V78</f>
        <v>0</v>
      </c>
      <c r="J77">
        <f>'Background graphCON'!J78+'Background graphEXPL_CH'!W78</f>
        <v>0</v>
      </c>
      <c r="K77">
        <f>'Background graphCON'!K78+'Background graphEXPL_CH'!X78</f>
        <v>0</v>
      </c>
      <c r="L77">
        <f t="shared" si="8"/>
        <v>0</v>
      </c>
      <c r="M77">
        <f t="shared" si="9"/>
        <v>59873.761174494633</v>
      </c>
      <c r="Y77">
        <f t="shared" si="6"/>
        <v>10000</v>
      </c>
      <c r="AA77">
        <f t="shared" si="7"/>
        <v>5.9873761174494637</v>
      </c>
      <c r="AB77" s="23">
        <f>'Background graphCON'!L161+'Background graphEXPL_CH'!Y78</f>
        <v>26782.272207050977</v>
      </c>
      <c r="AC77">
        <f t="shared" si="10"/>
        <v>2.6782272207050979</v>
      </c>
    </row>
    <row r="78" spans="1:29" x14ac:dyDescent="0.3">
      <c r="A78">
        <v>2096</v>
      </c>
      <c r="B78">
        <f>'Background graphCON'!B79+'Background graphEXPL_CH'!O79</f>
        <v>0</v>
      </c>
      <c r="C78">
        <f>'Background graphCON'!C79+'Background graphEXPL_CH'!P79</f>
        <v>0</v>
      </c>
      <c r="D78">
        <f>'Background graphCON'!D79+'Background graphEXPL_CH'!Q79</f>
        <v>0</v>
      </c>
      <c r="E78">
        <f>'Background graphCON'!E79+'Background graphEXPL_CH'!R79</f>
        <v>0</v>
      </c>
      <c r="F78">
        <f>'Background graphCON'!F79+'Background graphEXPL_CH'!S79</f>
        <v>0</v>
      </c>
      <c r="G78">
        <f>'Background graphCON'!G79+'Background graphEXPL_CH'!T79</f>
        <v>0</v>
      </c>
      <c r="H78">
        <f>'Background graphCON'!H79+'Background graphEXPL_CH'!U79</f>
        <v>0</v>
      </c>
      <c r="I78">
        <f>'Background graphCON'!I79+'Background graphEXPL_CH'!V79</f>
        <v>0</v>
      </c>
      <c r="J78">
        <f>'Background graphCON'!J79+'Background graphEXPL_CH'!W79</f>
        <v>0</v>
      </c>
      <c r="K78">
        <f>'Background graphCON'!K79+'Background graphEXPL_CH'!X79</f>
        <v>0</v>
      </c>
      <c r="L78">
        <f t="shared" si="8"/>
        <v>0</v>
      </c>
      <c r="M78">
        <f t="shared" si="9"/>
        <v>59873.761174494633</v>
      </c>
      <c r="Y78">
        <f t="shared" ref="Y78:Y82" si="11">Y77+X78</f>
        <v>10000</v>
      </c>
      <c r="AA78">
        <f t="shared" si="7"/>
        <v>5.9873761174494637</v>
      </c>
      <c r="AB78" s="23">
        <f>'Background graphCON'!L162+'Background graphEXPL_CH'!Y79</f>
        <v>21399.949968206733</v>
      </c>
      <c r="AC78">
        <f t="shared" si="10"/>
        <v>2.1399949968206733</v>
      </c>
    </row>
    <row r="79" spans="1:29" x14ac:dyDescent="0.3">
      <c r="A79">
        <v>2097</v>
      </c>
      <c r="B79">
        <f>'Background graphCON'!B80+'Background graphEXPL_CH'!O80</f>
        <v>0</v>
      </c>
      <c r="C79">
        <f>'Background graphCON'!C80+'Background graphEXPL_CH'!P80</f>
        <v>0</v>
      </c>
      <c r="D79">
        <f>'Background graphCON'!D80+'Background graphEXPL_CH'!Q80</f>
        <v>0</v>
      </c>
      <c r="E79">
        <f>'Background graphCON'!E80+'Background graphEXPL_CH'!R80</f>
        <v>0</v>
      </c>
      <c r="F79">
        <f>'Background graphCON'!F80+'Background graphEXPL_CH'!S80</f>
        <v>0</v>
      </c>
      <c r="G79">
        <f>'Background graphCON'!G80+'Background graphEXPL_CH'!T80</f>
        <v>0</v>
      </c>
      <c r="H79">
        <f>'Background graphCON'!H80+'Background graphEXPL_CH'!U80</f>
        <v>0</v>
      </c>
      <c r="I79">
        <f>'Background graphCON'!I80+'Background graphEXPL_CH'!V80</f>
        <v>0</v>
      </c>
      <c r="J79">
        <f>'Background graphCON'!J80+'Background graphEXPL_CH'!W80</f>
        <v>0</v>
      </c>
      <c r="K79">
        <f>'Background graphCON'!K80+'Background graphEXPL_CH'!X80</f>
        <v>0</v>
      </c>
      <c r="L79">
        <f t="shared" si="8"/>
        <v>0</v>
      </c>
      <c r="M79">
        <f t="shared" si="9"/>
        <v>59873.761174494633</v>
      </c>
      <c r="Y79">
        <f t="shared" si="11"/>
        <v>10000</v>
      </c>
      <c r="AA79">
        <f t="shared" si="7"/>
        <v>5.9873761174494637</v>
      </c>
      <c r="AB79" s="23">
        <f>'Background graphCON'!L163+'Background graphEXPL_CH'!Y80</f>
        <v>21399.949968206733</v>
      </c>
      <c r="AC79">
        <f t="shared" si="10"/>
        <v>2.1399949968206733</v>
      </c>
    </row>
    <row r="80" spans="1:29" x14ac:dyDescent="0.3">
      <c r="A80" s="10">
        <v>2098</v>
      </c>
      <c r="B80">
        <f>'Background graphCON'!B81+'Background graphEXPL_CH'!O81</f>
        <v>0</v>
      </c>
      <c r="C80">
        <f>'Background graphCON'!C81+'Background graphEXPL_CH'!P81</f>
        <v>0</v>
      </c>
      <c r="D80">
        <f>'Background graphCON'!D81+'Background graphEXPL_CH'!Q81</f>
        <v>0</v>
      </c>
      <c r="E80">
        <f>'Background graphCON'!E81+'Background graphEXPL_CH'!R81</f>
        <v>0</v>
      </c>
      <c r="F80">
        <f>'Background graphCON'!F81+'Background graphEXPL_CH'!S81</f>
        <v>0</v>
      </c>
      <c r="G80">
        <f>'Background graphCON'!G81+'Background graphEXPL_CH'!T81</f>
        <v>0</v>
      </c>
      <c r="H80">
        <f>'Background graphCON'!H81+'Background graphEXPL_CH'!U81</f>
        <v>0</v>
      </c>
      <c r="I80">
        <f>'Background graphCON'!I81+'Background graphEXPL_CH'!V81</f>
        <v>0</v>
      </c>
      <c r="J80">
        <f>'Background graphCON'!J81+'Background graphEXPL_CH'!W81</f>
        <v>0</v>
      </c>
      <c r="K80">
        <f>'Background graphCON'!K81+'Background graphEXPL_CH'!X81</f>
        <v>0</v>
      </c>
      <c r="L80">
        <f t="shared" si="8"/>
        <v>0</v>
      </c>
      <c r="M80">
        <f t="shared" si="9"/>
        <v>59873.761174494633</v>
      </c>
      <c r="Y80">
        <f t="shared" si="11"/>
        <v>10000</v>
      </c>
      <c r="AA80">
        <f t="shared" si="7"/>
        <v>5.9873761174494637</v>
      </c>
      <c r="AB80" s="23">
        <f>'Background graphCON'!L164+'Background graphEXPL_CH'!Y81</f>
        <v>21399.949968206733</v>
      </c>
      <c r="AC80">
        <f t="shared" si="10"/>
        <v>2.1399949968206733</v>
      </c>
    </row>
    <row r="81" spans="1:29" x14ac:dyDescent="0.3">
      <c r="A81">
        <v>2099</v>
      </c>
      <c r="B81">
        <f>'Background graphCON'!B82+'Background graphEXPL_CH'!O82</f>
        <v>0</v>
      </c>
      <c r="C81">
        <f>'Background graphCON'!C82+'Background graphEXPL_CH'!P82</f>
        <v>0</v>
      </c>
      <c r="D81">
        <f>'Background graphCON'!D82+'Background graphEXPL_CH'!Q82</f>
        <v>0</v>
      </c>
      <c r="E81">
        <f>'Background graphCON'!E82+'Background graphEXPL_CH'!R82</f>
        <v>0</v>
      </c>
      <c r="F81">
        <f>'Background graphCON'!F82+'Background graphEXPL_CH'!S82</f>
        <v>0</v>
      </c>
      <c r="G81">
        <f>'Background graphCON'!G82+'Background graphEXPL_CH'!T82</f>
        <v>0</v>
      </c>
      <c r="H81">
        <f>'Background graphCON'!H82+'Background graphEXPL_CH'!U82</f>
        <v>0</v>
      </c>
      <c r="I81">
        <f>'Background graphCON'!I82+'Background graphEXPL_CH'!V82</f>
        <v>0</v>
      </c>
      <c r="J81">
        <f>'Background graphCON'!J82+'Background graphEXPL_CH'!W82</f>
        <v>0</v>
      </c>
      <c r="K81">
        <f>'Background graphCON'!K82+'Background graphEXPL_CH'!X82</f>
        <v>0</v>
      </c>
      <c r="L81">
        <f t="shared" si="8"/>
        <v>0</v>
      </c>
      <c r="M81">
        <f t="shared" si="9"/>
        <v>59873.761174494633</v>
      </c>
      <c r="Y81">
        <f t="shared" si="11"/>
        <v>10000</v>
      </c>
      <c r="AA81">
        <f t="shared" si="7"/>
        <v>5.9873761174494637</v>
      </c>
      <c r="AB81" s="23">
        <f>'Background graphCON'!L165+'Background graphEXPL_CH'!Y82</f>
        <v>16702.466349367452</v>
      </c>
      <c r="AC81">
        <f t="shared" si="10"/>
        <v>1.6702466349367453</v>
      </c>
    </row>
    <row r="82" spans="1:29" x14ac:dyDescent="0.3">
      <c r="A82">
        <v>2100</v>
      </c>
      <c r="B82">
        <f>'Background graphCON'!B83+'Background graphEXPL_CH'!O83</f>
        <v>0</v>
      </c>
      <c r="C82">
        <f>'Background graphCON'!C83+'Background graphEXPL_CH'!P83</f>
        <v>0</v>
      </c>
      <c r="D82">
        <f>'Background graphCON'!D83+'Background graphEXPL_CH'!Q83</f>
        <v>0</v>
      </c>
      <c r="E82">
        <f>'Background graphCON'!E83+'Background graphEXPL_CH'!R83</f>
        <v>0</v>
      </c>
      <c r="F82">
        <f>'Background graphCON'!F83+'Background graphEXPL_CH'!S83</f>
        <v>0</v>
      </c>
      <c r="G82">
        <f>'Background graphCON'!G83+'Background graphEXPL_CH'!T83</f>
        <v>0</v>
      </c>
      <c r="H82">
        <f>'Background graphCON'!H83+'Background graphEXPL_CH'!U83</f>
        <v>0</v>
      </c>
      <c r="I82">
        <f>'Background graphCON'!I83+'Background graphEXPL_CH'!V83</f>
        <v>0</v>
      </c>
      <c r="J82">
        <f>'Background graphCON'!J83+'Background graphEXPL_CH'!W83</f>
        <v>0</v>
      </c>
      <c r="K82">
        <f>'Background graphCON'!K83+'Background graphEXPL_CH'!X83</f>
        <v>0</v>
      </c>
      <c r="L82">
        <f t="shared" si="8"/>
        <v>0</v>
      </c>
      <c r="M82">
        <f t="shared" si="9"/>
        <v>59873.761174494633</v>
      </c>
      <c r="Y82">
        <f t="shared" si="11"/>
        <v>10000</v>
      </c>
      <c r="AA82">
        <f t="shared" si="7"/>
        <v>5.9873761174494637</v>
      </c>
      <c r="AB82" s="23">
        <f>'Background graphCON'!L166+'Background graphEXPL_CH'!Y83</f>
        <v>16702.466349367452</v>
      </c>
      <c r="AC82">
        <f>AB82/Y82</f>
        <v>1.6702466349367453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37174-37C4-44BE-A562-4619A5C053C6}">
  <dimension ref="A1:AA82"/>
  <sheetViews>
    <sheetView workbookViewId="0">
      <selection activeCell="B17" sqref="B17"/>
    </sheetView>
  </sheetViews>
  <sheetFormatPr baseColWidth="10" defaultColWidth="11.44140625" defaultRowHeight="14.4" x14ac:dyDescent="0.3"/>
  <sheetData>
    <row r="1" spans="1:27" x14ac:dyDescent="0.3">
      <c r="A1" t="s">
        <v>44</v>
      </c>
      <c r="B1" t="s">
        <v>37</v>
      </c>
      <c r="J1" t="s">
        <v>37</v>
      </c>
      <c r="N1" t="s">
        <v>45</v>
      </c>
    </row>
    <row r="2" spans="1:27" x14ac:dyDescent="0.3">
      <c r="B2">
        <v>1</v>
      </c>
      <c r="C2">
        <v>2</v>
      </c>
      <c r="D2">
        <v>3</v>
      </c>
      <c r="E2">
        <v>4</v>
      </c>
      <c r="F2">
        <v>5</v>
      </c>
      <c r="G2">
        <v>6</v>
      </c>
      <c r="H2">
        <v>7</v>
      </c>
      <c r="I2">
        <v>8</v>
      </c>
      <c r="J2">
        <v>9</v>
      </c>
      <c r="K2">
        <v>10</v>
      </c>
      <c r="L2" t="s">
        <v>39</v>
      </c>
      <c r="M2" t="s">
        <v>46</v>
      </c>
      <c r="N2">
        <v>1</v>
      </c>
      <c r="O2">
        <v>2</v>
      </c>
      <c r="P2">
        <v>3</v>
      </c>
      <c r="Q2">
        <v>4</v>
      </c>
      <c r="R2">
        <v>5</v>
      </c>
      <c r="S2">
        <v>6</v>
      </c>
      <c r="T2">
        <v>7</v>
      </c>
      <c r="U2">
        <v>8</v>
      </c>
      <c r="V2">
        <v>9</v>
      </c>
      <c r="W2">
        <v>10</v>
      </c>
      <c r="X2" t="s">
        <v>47</v>
      </c>
      <c r="Y2" t="s">
        <v>48</v>
      </c>
      <c r="AA2" t="s">
        <v>49</v>
      </c>
    </row>
    <row r="3" spans="1:27" x14ac:dyDescent="0.3">
      <c r="A3" t="s">
        <v>40</v>
      </c>
    </row>
    <row r="4" spans="1:27" x14ac:dyDescent="0.3">
      <c r="A4">
        <v>2022</v>
      </c>
      <c r="B4">
        <f>'Background graphCON'!O5+'Background graphEXPL_1.5'!O4</f>
        <v>0</v>
      </c>
      <c r="C4">
        <f>'Background graphCON'!P5+'Background graphEXPL_1.5'!P4</f>
        <v>0</v>
      </c>
      <c r="D4">
        <f>'Background graphCON'!Q5+'Background graphEXPL_1.5'!Q4</f>
        <v>0</v>
      </c>
      <c r="E4">
        <f>'Background graphCON'!R5+'Background graphEXPL_1.5'!R4</f>
        <v>0</v>
      </c>
      <c r="F4">
        <f>'Background graphCON'!S5+'Background graphEXPL_1.5'!S4</f>
        <v>0</v>
      </c>
      <c r="G4">
        <f>'Background graphCON'!T5+'Background graphEXPL_1.5'!T4</f>
        <v>0</v>
      </c>
      <c r="H4">
        <f>'Background graphCON'!U5+'Background graphEXPL_1.5'!U4</f>
        <v>0</v>
      </c>
      <c r="I4">
        <f>'Background graphCON'!V5+'Background graphEXPL_1.5'!V4</f>
        <v>0</v>
      </c>
      <c r="J4">
        <f>'Background graphCON'!W5+'Background graphEXPL_1.5'!W4</f>
        <v>0</v>
      </c>
      <c r="K4">
        <f>'Background graphCON'!X5+'Background graphEXPL_1.5'!X4</f>
        <v>0</v>
      </c>
      <c r="L4">
        <f>SUM(B4:K4)</f>
        <v>0</v>
      </c>
      <c r="M4">
        <f>M3+(L4/60)</f>
        <v>0</v>
      </c>
      <c r="N4">
        <f>IF($A4='Outil Cibles'!Q$7, 'Outil Cibles'!Q$8, 0)</f>
        <v>0</v>
      </c>
      <c r="O4">
        <f>IF($A4='Outil Cibles'!R$7, 'Outil Cibles'!R$8, 0)</f>
        <v>0</v>
      </c>
      <c r="P4">
        <f>IF($A4='Outil Cibles'!S$7, 'Outil Cibles'!S$8, 0)</f>
        <v>0</v>
      </c>
      <c r="Q4">
        <f>IF($A4='Outil Cibles'!T$7, 'Outil Cibles'!T$8, 0)</f>
        <v>0</v>
      </c>
      <c r="R4">
        <f>IF($A4='Outil Cibles'!U$7, 'Outil Cibles'!U$8, 0)</f>
        <v>0</v>
      </c>
      <c r="S4">
        <f>IF($A4='Outil Cibles'!V$7, 'Outil Cibles'!V$8, 0)</f>
        <v>0</v>
      </c>
      <c r="T4">
        <f>IF($A4='Outil Cibles'!W$7, 'Outil Cibles'!W$8, 0)</f>
        <v>0</v>
      </c>
      <c r="U4">
        <f>IF($A4='Outil Cibles'!X$7, 'Outil Cibles'!X$8, 0)</f>
        <v>0</v>
      </c>
      <c r="V4">
        <f>IF($A4='Outil Cibles'!Y$7, 'Outil Cibles'!Y$8, 0)</f>
        <v>0</v>
      </c>
      <c r="W4">
        <f>IF($A4='Outil Cibles'!Z$7, 'Outil Cibles'!Z$8, 0)</f>
        <v>0</v>
      </c>
      <c r="X4">
        <f>SUM(N4:W4)</f>
        <v>0</v>
      </c>
      <c r="Y4">
        <f>Y3+X4</f>
        <v>0</v>
      </c>
      <c r="AA4" t="e">
        <f>M4/Y4</f>
        <v>#DIV/0!</v>
      </c>
    </row>
    <row r="5" spans="1:27" x14ac:dyDescent="0.3">
      <c r="A5">
        <v>2023</v>
      </c>
      <c r="B5">
        <f>'Background graphCON'!O6+'Background graphEXPL_1.5'!O5</f>
        <v>0</v>
      </c>
      <c r="C5">
        <f>'Background graphCON'!P6+'Background graphEXPL_1.5'!P5</f>
        <v>0</v>
      </c>
      <c r="D5">
        <f>'Background graphCON'!Q6+'Background graphEXPL_1.5'!Q5</f>
        <v>0</v>
      </c>
      <c r="E5">
        <f>'Background graphCON'!R6+'Background graphEXPL_1.5'!R5</f>
        <v>0</v>
      </c>
      <c r="F5">
        <f>'Background graphCON'!S6+'Background graphEXPL_1.5'!S5</f>
        <v>0</v>
      </c>
      <c r="G5">
        <f>'Background graphCON'!T6+'Background graphEXPL_1.5'!T5</f>
        <v>0</v>
      </c>
      <c r="H5">
        <f>'Background graphCON'!U6+'Background graphEXPL_1.5'!U5</f>
        <v>0</v>
      </c>
      <c r="I5">
        <f>'Background graphCON'!V6+'Background graphEXPL_1.5'!V5</f>
        <v>0</v>
      </c>
      <c r="J5">
        <f>'Background graphCON'!W6+'Background graphEXPL_1.5'!W5</f>
        <v>0</v>
      </c>
      <c r="K5">
        <f>'Background graphCON'!X6+'Background graphEXPL_1.5'!X5</f>
        <v>0</v>
      </c>
      <c r="L5">
        <f t="shared" ref="L5:L32" si="0">SUM(B5:K5)</f>
        <v>0</v>
      </c>
      <c r="M5">
        <f t="shared" ref="M5:M32" si="1">M4+(L5/60)</f>
        <v>0</v>
      </c>
      <c r="N5">
        <f>IF($A5='Outil Cibles'!Q$7, 'Outil Cibles'!Q$8, 0)</f>
        <v>0</v>
      </c>
      <c r="O5">
        <f>IF($A5='Outil Cibles'!R$7, 'Outil Cibles'!R$8, 0)</f>
        <v>0</v>
      </c>
      <c r="P5">
        <f>IF($A5='Outil Cibles'!S$7, 'Outil Cibles'!S$8, 0)</f>
        <v>0</v>
      </c>
      <c r="Q5">
        <f>IF($A5='Outil Cibles'!T$7, 'Outil Cibles'!T$8, 0)</f>
        <v>0</v>
      </c>
      <c r="R5">
        <f>IF($A5='Outil Cibles'!U$7, 'Outil Cibles'!U$8, 0)</f>
        <v>0</v>
      </c>
      <c r="S5">
        <f>IF($A5='Outil Cibles'!V$7, 'Outil Cibles'!V$8, 0)</f>
        <v>0</v>
      </c>
      <c r="T5">
        <f>IF($A5='Outil Cibles'!W$7, 'Outil Cibles'!W$8, 0)</f>
        <v>0</v>
      </c>
      <c r="U5">
        <f>IF($A5='Outil Cibles'!X$7, 'Outil Cibles'!X$8, 0)</f>
        <v>0</v>
      </c>
      <c r="V5">
        <f>IF($A5='Outil Cibles'!Y$7, 'Outil Cibles'!Y$8, 0)</f>
        <v>0</v>
      </c>
      <c r="W5">
        <f>IF($A5='Outil Cibles'!Z$7, 'Outil Cibles'!Z$8, 0)</f>
        <v>0</v>
      </c>
      <c r="X5">
        <f t="shared" ref="X5:X32" si="2">SUM(N5:W5)</f>
        <v>0</v>
      </c>
      <c r="Y5">
        <f t="shared" ref="Y5:Y12" si="3">Y4+X5</f>
        <v>0</v>
      </c>
      <c r="AA5" t="e">
        <f t="shared" ref="AA5:AA31" si="4">M5/Y5</f>
        <v>#DIV/0!</v>
      </c>
    </row>
    <row r="6" spans="1:27" x14ac:dyDescent="0.3">
      <c r="A6">
        <v>2024</v>
      </c>
      <c r="B6">
        <f>'Background graphCON'!O7+'Background graphEXPL_1.5'!O6</f>
        <v>555739.33851908625</v>
      </c>
      <c r="C6">
        <f>'Background graphCON'!P7+'Background graphEXPL_1.5'!P6</f>
        <v>0</v>
      </c>
      <c r="D6">
        <f>'Background graphCON'!Q7+'Background graphEXPL_1.5'!Q6</f>
        <v>0</v>
      </c>
      <c r="E6">
        <f>'Background graphCON'!R7+'Background graphEXPL_1.5'!R6</f>
        <v>0</v>
      </c>
      <c r="F6">
        <f>'Background graphCON'!S7+'Background graphEXPL_1.5'!S6</f>
        <v>0</v>
      </c>
      <c r="G6">
        <f>'Background graphCON'!T7+'Background graphEXPL_1.5'!T6</f>
        <v>0</v>
      </c>
      <c r="H6">
        <f>'Background graphCON'!U7+'Background graphEXPL_1.5'!U6</f>
        <v>0</v>
      </c>
      <c r="I6">
        <f>'Background graphCON'!V7+'Background graphEXPL_1.5'!V6</f>
        <v>0</v>
      </c>
      <c r="J6">
        <f>'Background graphCON'!W7+'Background graphEXPL_1.5'!W6</f>
        <v>0</v>
      </c>
      <c r="K6">
        <f>'Background graphCON'!X7+'Background graphEXPL_1.5'!X6</f>
        <v>0</v>
      </c>
      <c r="L6">
        <f t="shared" si="0"/>
        <v>555739.33851908625</v>
      </c>
      <c r="M6">
        <f t="shared" si="1"/>
        <v>9262.3223086514372</v>
      </c>
      <c r="N6">
        <f>IF($A6='Outil Cibles'!Q$7, 'Outil Cibles'!Q$8, 0)</f>
        <v>1000</v>
      </c>
      <c r="O6">
        <f>IF($A6='Outil Cibles'!R$7, 'Outil Cibles'!R$8, 0)</f>
        <v>0</v>
      </c>
      <c r="P6">
        <f>IF($A6='Outil Cibles'!S$7, 'Outil Cibles'!S$8, 0)</f>
        <v>0</v>
      </c>
      <c r="Q6">
        <f>IF($A6='Outil Cibles'!T$7, 'Outil Cibles'!T$8, 0)</f>
        <v>0</v>
      </c>
      <c r="R6">
        <f>IF($A6='Outil Cibles'!U$7, 'Outil Cibles'!U$8, 0)</f>
        <v>0</v>
      </c>
      <c r="S6">
        <f>IF($A6='Outil Cibles'!V$7, 'Outil Cibles'!V$8, 0)</f>
        <v>0</v>
      </c>
      <c r="T6">
        <f>IF($A6='Outil Cibles'!W$7, 'Outil Cibles'!W$8, 0)</f>
        <v>0</v>
      </c>
      <c r="U6">
        <f>IF($A6='Outil Cibles'!X$7, 'Outil Cibles'!X$8, 0)</f>
        <v>0</v>
      </c>
      <c r="V6">
        <f>IF($A6='Outil Cibles'!Y$7, 'Outil Cibles'!Y$8, 0)</f>
        <v>0</v>
      </c>
      <c r="W6">
        <f>IF($A6='Outil Cibles'!Z$7, 'Outil Cibles'!Z$8, 0)</f>
        <v>0</v>
      </c>
      <c r="X6">
        <f t="shared" si="2"/>
        <v>1000</v>
      </c>
      <c r="Y6">
        <f t="shared" si="3"/>
        <v>1000</v>
      </c>
      <c r="AA6">
        <f t="shared" si="4"/>
        <v>9.2623223086514379</v>
      </c>
    </row>
    <row r="7" spans="1:27" x14ac:dyDescent="0.3">
      <c r="A7" s="10">
        <v>2025</v>
      </c>
      <c r="B7">
        <f>'Background graphCON'!O8+'Background graphEXPL_1.5'!O7</f>
        <v>2248.6211844489671</v>
      </c>
      <c r="C7">
        <f>'Background graphCON'!P8+'Background graphEXPL_1.5'!P7</f>
        <v>0</v>
      </c>
      <c r="D7">
        <f>'Background graphCON'!Q8+'Background graphEXPL_1.5'!Q7</f>
        <v>0</v>
      </c>
      <c r="E7">
        <f>'Background graphCON'!R8+'Background graphEXPL_1.5'!R7</f>
        <v>0</v>
      </c>
      <c r="F7">
        <f>'Background graphCON'!S8+'Background graphEXPL_1.5'!S7</f>
        <v>0</v>
      </c>
      <c r="G7">
        <f>'Background graphCON'!T8+'Background graphEXPL_1.5'!T7</f>
        <v>0</v>
      </c>
      <c r="H7">
        <f>'Background graphCON'!U8+'Background graphEXPL_1.5'!U7</f>
        <v>0</v>
      </c>
      <c r="I7">
        <f>'Background graphCON'!V8+'Background graphEXPL_1.5'!V7</f>
        <v>0</v>
      </c>
      <c r="J7">
        <f>'Background graphCON'!W8+'Background graphEXPL_1.5'!W7</f>
        <v>0</v>
      </c>
      <c r="K7">
        <f>'Background graphCON'!X8+'Background graphEXPL_1.5'!X7</f>
        <v>0</v>
      </c>
      <c r="L7">
        <f t="shared" si="0"/>
        <v>2248.6211844489671</v>
      </c>
      <c r="M7">
        <f t="shared" si="1"/>
        <v>9299.7993283922533</v>
      </c>
      <c r="N7">
        <f>IF($A7='Outil Cibles'!Q$7, 'Outil Cibles'!Q$8, 0)</f>
        <v>0</v>
      </c>
      <c r="O7">
        <f>IF($A7='Outil Cibles'!R$7, 'Outil Cibles'!R$8, 0)</f>
        <v>0</v>
      </c>
      <c r="P7">
        <f>IF($A7='Outil Cibles'!S$7, 'Outil Cibles'!S$8, 0)</f>
        <v>0</v>
      </c>
      <c r="Q7">
        <f>IF($A7='Outil Cibles'!T$7, 'Outil Cibles'!T$8, 0)</f>
        <v>0</v>
      </c>
      <c r="R7">
        <f>IF($A7='Outil Cibles'!U$7, 'Outil Cibles'!U$8, 0)</f>
        <v>0</v>
      </c>
      <c r="S7">
        <f>IF($A7='Outil Cibles'!V$7, 'Outil Cibles'!V$8, 0)</f>
        <v>0</v>
      </c>
      <c r="T7">
        <f>IF($A7='Outil Cibles'!W$7, 'Outil Cibles'!W$8, 0)</f>
        <v>0</v>
      </c>
      <c r="U7">
        <f>IF($A7='Outil Cibles'!X$7, 'Outil Cibles'!X$8, 0)</f>
        <v>0</v>
      </c>
      <c r="V7">
        <f>IF($A7='Outil Cibles'!Y$7, 'Outil Cibles'!Y$8, 0)</f>
        <v>0</v>
      </c>
      <c r="W7">
        <f>IF($A7='Outil Cibles'!Z$7, 'Outil Cibles'!Z$8, 0)</f>
        <v>0</v>
      </c>
      <c r="X7">
        <f t="shared" si="2"/>
        <v>0</v>
      </c>
      <c r="Y7">
        <f t="shared" si="3"/>
        <v>1000</v>
      </c>
      <c r="AA7">
        <f t="shared" si="4"/>
        <v>9.299799328392254</v>
      </c>
    </row>
    <row r="8" spans="1:27" x14ac:dyDescent="0.3">
      <c r="A8">
        <v>2026</v>
      </c>
      <c r="B8">
        <f>'Background graphCON'!O9+'Background graphEXPL_1.5'!O8</f>
        <v>2016.7812428809189</v>
      </c>
      <c r="C8">
        <f>'Background graphCON'!P9+'Background graphEXPL_1.5'!P8</f>
        <v>479555.99040180462</v>
      </c>
      <c r="D8">
        <f>'Background graphCON'!Q9+'Background graphEXPL_1.5'!Q8</f>
        <v>0</v>
      </c>
      <c r="E8">
        <f>'Background graphCON'!R9+'Background graphEXPL_1.5'!R8</f>
        <v>0</v>
      </c>
      <c r="F8">
        <f>'Background graphCON'!S9+'Background graphEXPL_1.5'!S8</f>
        <v>0</v>
      </c>
      <c r="G8">
        <f>'Background graphCON'!T9+'Background graphEXPL_1.5'!T8</f>
        <v>0</v>
      </c>
      <c r="H8">
        <f>'Background graphCON'!U9+'Background graphEXPL_1.5'!U8</f>
        <v>0</v>
      </c>
      <c r="I8">
        <f>'Background graphCON'!V9+'Background graphEXPL_1.5'!V8</f>
        <v>0</v>
      </c>
      <c r="J8">
        <f>'Background graphCON'!W9+'Background graphEXPL_1.5'!W8</f>
        <v>0</v>
      </c>
      <c r="K8">
        <f>'Background graphCON'!X9+'Background graphEXPL_1.5'!X8</f>
        <v>0</v>
      </c>
      <c r="L8">
        <f t="shared" si="0"/>
        <v>481572.77164468553</v>
      </c>
      <c r="M8">
        <f t="shared" si="1"/>
        <v>17326.012189137011</v>
      </c>
      <c r="N8">
        <f>IF($A8='Outil Cibles'!Q$7, 'Outil Cibles'!Q$8, 0)</f>
        <v>0</v>
      </c>
      <c r="O8">
        <f>IF($A8='Outil Cibles'!R$7, 'Outil Cibles'!R$8, 0)</f>
        <v>1000</v>
      </c>
      <c r="P8">
        <f>IF($A8='Outil Cibles'!S$7, 'Outil Cibles'!S$8, 0)</f>
        <v>0</v>
      </c>
      <c r="Q8">
        <f>IF($A8='Outil Cibles'!T$7, 'Outil Cibles'!T$8, 0)</f>
        <v>0</v>
      </c>
      <c r="R8">
        <f>IF($A8='Outil Cibles'!U$7, 'Outil Cibles'!U$8, 0)</f>
        <v>0</v>
      </c>
      <c r="S8">
        <f>IF($A8='Outil Cibles'!V$7, 'Outil Cibles'!V$8, 0)</f>
        <v>0</v>
      </c>
      <c r="T8">
        <f>IF($A8='Outil Cibles'!W$7, 'Outil Cibles'!W$8, 0)</f>
        <v>0</v>
      </c>
      <c r="U8">
        <f>IF($A8='Outil Cibles'!X$7, 'Outil Cibles'!X$8, 0)</f>
        <v>0</v>
      </c>
      <c r="V8">
        <f>IF($A8='Outil Cibles'!Y$7, 'Outil Cibles'!Y$8, 0)</f>
        <v>0</v>
      </c>
      <c r="W8">
        <f>IF($A8='Outil Cibles'!Z$7, 'Outil Cibles'!Z$8, 0)</f>
        <v>0</v>
      </c>
      <c r="X8">
        <f t="shared" si="2"/>
        <v>1000</v>
      </c>
      <c r="Y8">
        <f t="shared" si="3"/>
        <v>2000</v>
      </c>
      <c r="AA8">
        <f t="shared" si="4"/>
        <v>8.6630060945685052</v>
      </c>
    </row>
    <row r="9" spans="1:27" x14ac:dyDescent="0.3">
      <c r="A9">
        <v>2027</v>
      </c>
      <c r="B9">
        <f>'Background graphCON'!O10+'Background graphEXPL_1.5'!O9</f>
        <v>1787.9182293782001</v>
      </c>
      <c r="C9">
        <f>'Background graphCON'!P10+'Background graphEXPL_1.5'!P9</f>
        <v>5314.7307030004422</v>
      </c>
      <c r="D9">
        <f>'Background graphCON'!Q10+'Background graphEXPL_1.5'!Q9</f>
        <v>0</v>
      </c>
      <c r="E9">
        <f>'Background graphCON'!R10+'Background graphEXPL_1.5'!R9</f>
        <v>0</v>
      </c>
      <c r="F9">
        <f>'Background graphCON'!S10+'Background graphEXPL_1.5'!S9</f>
        <v>0</v>
      </c>
      <c r="G9">
        <f>'Background graphCON'!T10+'Background graphEXPL_1.5'!T9</f>
        <v>0</v>
      </c>
      <c r="H9">
        <f>'Background graphCON'!U10+'Background graphEXPL_1.5'!U9</f>
        <v>0</v>
      </c>
      <c r="I9">
        <f>'Background graphCON'!V10+'Background graphEXPL_1.5'!V9</f>
        <v>0</v>
      </c>
      <c r="J9">
        <f>'Background graphCON'!W10+'Background graphEXPL_1.5'!W9</f>
        <v>0</v>
      </c>
      <c r="K9">
        <f>'Background graphCON'!X10+'Background graphEXPL_1.5'!X9</f>
        <v>0</v>
      </c>
      <c r="L9">
        <f t="shared" si="0"/>
        <v>7102.6489323786427</v>
      </c>
      <c r="M9">
        <f t="shared" si="1"/>
        <v>17444.389671343321</v>
      </c>
      <c r="N9">
        <f>IF($A9='Outil Cibles'!Q$7, 'Outil Cibles'!Q$8, 0)</f>
        <v>0</v>
      </c>
      <c r="O9">
        <f>IF($A9='Outil Cibles'!R$7, 'Outil Cibles'!R$8, 0)</f>
        <v>0</v>
      </c>
      <c r="P9">
        <f>IF($A9='Outil Cibles'!S$7, 'Outil Cibles'!S$8, 0)</f>
        <v>0</v>
      </c>
      <c r="Q9">
        <f>IF($A9='Outil Cibles'!T$7, 'Outil Cibles'!T$8, 0)</f>
        <v>0</v>
      </c>
      <c r="R9">
        <f>IF($A9='Outil Cibles'!U$7, 'Outil Cibles'!U$8, 0)</f>
        <v>0</v>
      </c>
      <c r="S9">
        <f>IF($A9='Outil Cibles'!V$7, 'Outil Cibles'!V$8, 0)</f>
        <v>0</v>
      </c>
      <c r="T9">
        <f>IF($A9='Outil Cibles'!W$7, 'Outil Cibles'!W$8, 0)</f>
        <v>0</v>
      </c>
      <c r="U9">
        <f>IF($A9='Outil Cibles'!X$7, 'Outil Cibles'!X$8, 0)</f>
        <v>0</v>
      </c>
      <c r="V9">
        <f>IF($A9='Outil Cibles'!Y$7, 'Outil Cibles'!Y$8, 0)</f>
        <v>0</v>
      </c>
      <c r="W9">
        <f>IF($A9='Outil Cibles'!Z$7, 'Outil Cibles'!Z$8, 0)</f>
        <v>0</v>
      </c>
      <c r="X9">
        <f t="shared" si="2"/>
        <v>0</v>
      </c>
      <c r="Y9">
        <f t="shared" si="3"/>
        <v>2000</v>
      </c>
      <c r="AA9">
        <f t="shared" si="4"/>
        <v>8.7221948356716599</v>
      </c>
    </row>
    <row r="10" spans="1:27" x14ac:dyDescent="0.3">
      <c r="A10">
        <v>2028</v>
      </c>
      <c r="B10">
        <f>'Background graphCON'!O11+'Background graphEXPL_1.5'!O10</f>
        <v>1561.9751720902343</v>
      </c>
      <c r="C10">
        <f>'Background graphCON'!P11+'Background graphEXPL_1.5'!P10</f>
        <v>4652.3405230200888</v>
      </c>
      <c r="D10">
        <f>'Background graphCON'!Q11+'Background graphEXPL_1.5'!Q10</f>
        <v>0</v>
      </c>
      <c r="E10">
        <f>'Background graphCON'!R11+'Background graphEXPL_1.5'!R10</f>
        <v>0</v>
      </c>
      <c r="F10">
        <f>'Background graphCON'!S11+'Background graphEXPL_1.5'!S10</f>
        <v>0</v>
      </c>
      <c r="G10">
        <f>'Background graphCON'!T11+'Background graphEXPL_1.5'!T10</f>
        <v>0</v>
      </c>
      <c r="H10">
        <f>'Background graphCON'!U11+'Background graphEXPL_1.5'!U10</f>
        <v>0</v>
      </c>
      <c r="I10">
        <f>'Background graphCON'!V11+'Background graphEXPL_1.5'!V10</f>
        <v>0</v>
      </c>
      <c r="J10">
        <f>'Background graphCON'!W11+'Background graphEXPL_1.5'!W10</f>
        <v>0</v>
      </c>
      <c r="K10">
        <f>'Background graphCON'!X11+'Background graphEXPL_1.5'!X10</f>
        <v>0</v>
      </c>
      <c r="L10">
        <f t="shared" si="0"/>
        <v>6214.3156951103228</v>
      </c>
      <c r="M10">
        <f t="shared" si="1"/>
        <v>17547.961599595161</v>
      </c>
      <c r="N10">
        <f>IF($A10='Outil Cibles'!Q$7, 'Outil Cibles'!Q$8, 0)</f>
        <v>0</v>
      </c>
      <c r="O10">
        <f>IF($A10='Outil Cibles'!R$7, 'Outil Cibles'!R$8, 0)</f>
        <v>0</v>
      </c>
      <c r="P10">
        <f>IF($A10='Outil Cibles'!S$7, 'Outil Cibles'!S$8, 0)</f>
        <v>0</v>
      </c>
      <c r="Q10">
        <f>IF($A10='Outil Cibles'!T$7, 'Outil Cibles'!T$8, 0)</f>
        <v>0</v>
      </c>
      <c r="R10">
        <f>IF($A10='Outil Cibles'!U$7, 'Outil Cibles'!U$8, 0)</f>
        <v>0</v>
      </c>
      <c r="S10">
        <f>IF($A10='Outil Cibles'!V$7, 'Outil Cibles'!V$8, 0)</f>
        <v>0</v>
      </c>
      <c r="T10">
        <f>IF($A10='Outil Cibles'!W$7, 'Outil Cibles'!W$8, 0)</f>
        <v>0</v>
      </c>
      <c r="U10">
        <f>IF($A10='Outil Cibles'!X$7, 'Outil Cibles'!X$8, 0)</f>
        <v>0</v>
      </c>
      <c r="V10">
        <f>IF($A10='Outil Cibles'!Y$7, 'Outil Cibles'!Y$8, 0)</f>
        <v>0</v>
      </c>
      <c r="W10">
        <f>IF($A10='Outil Cibles'!Z$7, 'Outil Cibles'!Z$8, 0)</f>
        <v>0</v>
      </c>
      <c r="X10">
        <f t="shared" si="2"/>
        <v>0</v>
      </c>
      <c r="Y10">
        <f t="shared" si="3"/>
        <v>2000</v>
      </c>
      <c r="AA10">
        <f t="shared" si="4"/>
        <v>8.7739807997975809</v>
      </c>
    </row>
    <row r="11" spans="1:27" x14ac:dyDescent="0.3">
      <c r="A11">
        <v>2029</v>
      </c>
      <c r="B11">
        <f>'Background graphCON'!O12+'Background graphEXPL_1.5'!O11</f>
        <v>1338.896543705768</v>
      </c>
      <c r="C11">
        <f>'Background graphCON'!P12+'Background graphEXPL_1.5'!P11</f>
        <v>3995.6404686622332</v>
      </c>
      <c r="D11">
        <f>'Background graphCON'!Q12+'Background graphEXPL_1.5'!Q11</f>
        <v>0</v>
      </c>
      <c r="E11">
        <f>'Background graphCON'!R12+'Background graphEXPL_1.5'!R11</f>
        <v>0</v>
      </c>
      <c r="F11">
        <f>'Background graphCON'!S12+'Background graphEXPL_1.5'!S11</f>
        <v>0</v>
      </c>
      <c r="G11">
        <f>'Background graphCON'!T12+'Background graphEXPL_1.5'!T11</f>
        <v>0</v>
      </c>
      <c r="H11">
        <f>'Background graphCON'!U12+'Background graphEXPL_1.5'!U11</f>
        <v>0</v>
      </c>
      <c r="I11">
        <f>'Background graphCON'!V12+'Background graphEXPL_1.5'!V11</f>
        <v>0</v>
      </c>
      <c r="J11">
        <f>'Background graphCON'!W12+'Background graphEXPL_1.5'!W11</f>
        <v>0</v>
      </c>
      <c r="K11">
        <f>'Background graphCON'!X12+'Background graphEXPL_1.5'!X11</f>
        <v>0</v>
      </c>
      <c r="L11">
        <f t="shared" si="0"/>
        <v>5334.5370123680013</v>
      </c>
      <c r="M11">
        <f t="shared" si="1"/>
        <v>17636.870549801293</v>
      </c>
      <c r="N11">
        <f>IF($A11='Outil Cibles'!Q$7, 'Outil Cibles'!Q$8, 0)</f>
        <v>0</v>
      </c>
      <c r="O11">
        <f>IF($A11='Outil Cibles'!R$7, 'Outil Cibles'!R$8, 0)</f>
        <v>0</v>
      </c>
      <c r="P11">
        <f>IF($A11='Outil Cibles'!S$7, 'Outil Cibles'!S$8, 0)</f>
        <v>0</v>
      </c>
      <c r="Q11">
        <f>IF($A11='Outil Cibles'!T$7, 'Outil Cibles'!T$8, 0)</f>
        <v>0</v>
      </c>
      <c r="R11">
        <f>IF($A11='Outil Cibles'!U$7, 'Outil Cibles'!U$8, 0)</f>
        <v>0</v>
      </c>
      <c r="S11">
        <f>IF($A11='Outil Cibles'!V$7, 'Outil Cibles'!V$8, 0)</f>
        <v>0</v>
      </c>
      <c r="T11">
        <f>IF($A11='Outil Cibles'!W$7, 'Outil Cibles'!W$8, 0)</f>
        <v>0</v>
      </c>
      <c r="U11">
        <f>IF($A11='Outil Cibles'!X$7, 'Outil Cibles'!X$8, 0)</f>
        <v>0</v>
      </c>
      <c r="V11">
        <f>IF($A11='Outil Cibles'!Y$7, 'Outil Cibles'!Y$8, 0)</f>
        <v>0</v>
      </c>
      <c r="W11">
        <f>IF($A11='Outil Cibles'!Z$7, 'Outil Cibles'!Z$8, 0)</f>
        <v>0</v>
      </c>
      <c r="X11">
        <f t="shared" si="2"/>
        <v>0</v>
      </c>
      <c r="Y11">
        <f t="shared" si="3"/>
        <v>2000</v>
      </c>
      <c r="AA11">
        <f t="shared" si="4"/>
        <v>8.8184352749006472</v>
      </c>
    </row>
    <row r="12" spans="1:27" x14ac:dyDescent="0.3">
      <c r="A12" s="10">
        <v>2030</v>
      </c>
      <c r="B12">
        <f>'Background graphCON'!O13+'Background graphEXPL_1.5'!O12</f>
        <v>1118.6282159578136</v>
      </c>
      <c r="C12">
        <f>'Background graphCON'!P13+'Background graphEXPL_1.5'!P12</f>
        <v>3344.611953263699</v>
      </c>
      <c r="D12">
        <f>'Background graphCON'!Q13+'Background graphEXPL_1.5'!Q12</f>
        <v>350510.81703982933</v>
      </c>
      <c r="E12">
        <f>'Background graphCON'!R13+'Background graphEXPL_1.5'!R12</f>
        <v>0</v>
      </c>
      <c r="F12">
        <f>'Background graphCON'!S13+'Background graphEXPL_1.5'!S12</f>
        <v>0</v>
      </c>
      <c r="G12">
        <f>'Background graphCON'!T13+'Background graphEXPL_1.5'!T12</f>
        <v>0</v>
      </c>
      <c r="H12">
        <f>'Background graphCON'!U13+'Background graphEXPL_1.5'!U12</f>
        <v>0</v>
      </c>
      <c r="I12">
        <f>'Background graphCON'!V13+'Background graphEXPL_1.5'!V12</f>
        <v>0</v>
      </c>
      <c r="J12">
        <f>'Background graphCON'!W13+'Background graphEXPL_1.5'!W12</f>
        <v>0</v>
      </c>
      <c r="K12">
        <f>'Background graphCON'!X13+'Background graphEXPL_1.5'!X12</f>
        <v>0</v>
      </c>
      <c r="L12">
        <f>SUM(B12:K12)</f>
        <v>354974.05720905086</v>
      </c>
      <c r="M12">
        <f t="shared" si="1"/>
        <v>23553.104836618808</v>
      </c>
      <c r="N12">
        <f>IF($A12='Outil Cibles'!Q$7, 'Outil Cibles'!Q$8, 0)</f>
        <v>0</v>
      </c>
      <c r="O12">
        <f>IF($A12='Outil Cibles'!R$7, 'Outil Cibles'!R$8, 0)</f>
        <v>0</v>
      </c>
      <c r="P12">
        <f>IF($A12='Outil Cibles'!S$7, 'Outil Cibles'!S$8, 0)</f>
        <v>1000</v>
      </c>
      <c r="Q12">
        <f>IF($A12='Outil Cibles'!T$7, 'Outil Cibles'!T$8, 0)</f>
        <v>0</v>
      </c>
      <c r="R12">
        <f>IF($A12='Outil Cibles'!U$7, 'Outil Cibles'!U$8, 0)</f>
        <v>0</v>
      </c>
      <c r="S12">
        <f>IF($A12='Outil Cibles'!V$7, 'Outil Cibles'!V$8, 0)</f>
        <v>0</v>
      </c>
      <c r="T12">
        <f>IF($A12='Outil Cibles'!W$7, 'Outil Cibles'!W$8, 0)</f>
        <v>0</v>
      </c>
      <c r="U12">
        <f>IF($A12='Outil Cibles'!X$7, 'Outil Cibles'!X$8, 0)</f>
        <v>0</v>
      </c>
      <c r="V12">
        <f>IF($A12='Outil Cibles'!Y$7, 'Outil Cibles'!Y$8, 0)</f>
        <v>0</v>
      </c>
      <c r="W12">
        <f>IF($A12='Outil Cibles'!Z$7, 'Outil Cibles'!Z$8, 0)</f>
        <v>0</v>
      </c>
      <c r="X12">
        <f t="shared" si="2"/>
        <v>1000</v>
      </c>
      <c r="Y12">
        <f t="shared" si="3"/>
        <v>3000</v>
      </c>
      <c r="AA12">
        <f t="shared" si="4"/>
        <v>7.8510349455396025</v>
      </c>
    </row>
    <row r="13" spans="1:27" x14ac:dyDescent="0.3">
      <c r="A13">
        <v>2031</v>
      </c>
      <c r="B13">
        <f>'Background graphCON'!O14+'Background graphEXPL_1.5'!O13</f>
        <v>901.1174158372495</v>
      </c>
      <c r="C13">
        <f>'Background graphCON'!P14+'Background graphEXPL_1.5'!P13</f>
        <v>2699.2357468944879</v>
      </c>
      <c r="D13">
        <f>'Background graphCON'!Q14+'Background graphEXPL_1.5'!Q13</f>
        <v>2699.2357468944879</v>
      </c>
      <c r="E13">
        <f>'Background graphCON'!R14+'Background graphEXPL_1.5'!R13</f>
        <v>0</v>
      </c>
      <c r="F13">
        <f>'Background graphCON'!S14+'Background graphEXPL_1.5'!S13</f>
        <v>0</v>
      </c>
      <c r="G13">
        <f>'Background graphCON'!T14+'Background graphEXPL_1.5'!T13</f>
        <v>0</v>
      </c>
      <c r="H13">
        <f>'Background graphCON'!U14+'Background graphEXPL_1.5'!U13</f>
        <v>0</v>
      </c>
      <c r="I13">
        <f>'Background graphCON'!V14+'Background graphEXPL_1.5'!V13</f>
        <v>0</v>
      </c>
      <c r="J13">
        <f>'Background graphCON'!W14+'Background graphEXPL_1.5'!W13</f>
        <v>0</v>
      </c>
      <c r="K13">
        <f>'Background graphCON'!X14+'Background graphEXPL_1.5'!X13</f>
        <v>0</v>
      </c>
      <c r="L13">
        <f t="shared" si="0"/>
        <v>6299.5889096262254</v>
      </c>
      <c r="M13">
        <f t="shared" si="1"/>
        <v>23658.097985112578</v>
      </c>
      <c r="N13">
        <f>IF($A13='Outil Cibles'!Q$7, 'Outil Cibles'!Q$8, 0)</f>
        <v>0</v>
      </c>
      <c r="O13">
        <f>IF($A13='Outil Cibles'!R$7, 'Outil Cibles'!R$8, 0)</f>
        <v>0</v>
      </c>
      <c r="P13">
        <f>IF($A13='Outil Cibles'!S$7, 'Outil Cibles'!S$8, 0)</f>
        <v>0</v>
      </c>
      <c r="Q13">
        <f>IF($A13='Outil Cibles'!T$7, 'Outil Cibles'!T$8, 0)</f>
        <v>0</v>
      </c>
      <c r="R13">
        <f>IF($A13='Outil Cibles'!U$7, 'Outil Cibles'!U$8, 0)</f>
        <v>0</v>
      </c>
      <c r="S13">
        <f>IF($A13='Outil Cibles'!V$7, 'Outil Cibles'!V$8, 0)</f>
        <v>0</v>
      </c>
      <c r="T13">
        <f>IF($A13='Outil Cibles'!W$7, 'Outil Cibles'!W$8, 0)</f>
        <v>0</v>
      </c>
      <c r="U13">
        <f>IF($A13='Outil Cibles'!X$7, 'Outil Cibles'!X$8, 0)</f>
        <v>0</v>
      </c>
      <c r="V13">
        <f>IF($A13='Outil Cibles'!Y$7, 'Outil Cibles'!Y$8, 0)</f>
        <v>0</v>
      </c>
      <c r="W13">
        <f>IF($A13='Outil Cibles'!Z$7, 'Outil Cibles'!Z$8, 0)</f>
        <v>0</v>
      </c>
      <c r="X13">
        <f t="shared" si="2"/>
        <v>0</v>
      </c>
      <c r="Y13">
        <f>Y12+X13</f>
        <v>3000</v>
      </c>
      <c r="AA13">
        <f t="shared" si="4"/>
        <v>7.8860326617041929</v>
      </c>
    </row>
    <row r="14" spans="1:27" x14ac:dyDescent="0.3">
      <c r="A14">
        <v>2032</v>
      </c>
      <c r="B14">
        <f>'Background graphCON'!O15+'Background graphEXPL_1.5'!O14</f>
        <v>686.31268344066154</v>
      </c>
      <c r="C14">
        <f>'Background graphCON'!P15+'Background graphEXPL_1.5'!P14</f>
        <v>2059.4919959002191</v>
      </c>
      <c r="D14">
        <f>'Background graphCON'!Q15+'Background graphEXPL_1.5'!Q14</f>
        <v>2059.4919959002191</v>
      </c>
      <c r="E14">
        <f>'Background graphCON'!R15+'Background graphEXPL_1.5'!R14</f>
        <v>0</v>
      </c>
      <c r="F14">
        <f>'Background graphCON'!S15+'Background graphEXPL_1.5'!S14</f>
        <v>0</v>
      </c>
      <c r="G14">
        <f>'Background graphCON'!T15+'Background graphEXPL_1.5'!T14</f>
        <v>0</v>
      </c>
      <c r="H14">
        <f>'Background graphCON'!U15+'Background graphEXPL_1.5'!U14</f>
        <v>0</v>
      </c>
      <c r="I14">
        <f>'Background graphCON'!V15+'Background graphEXPL_1.5'!V14</f>
        <v>0</v>
      </c>
      <c r="J14">
        <f>'Background graphCON'!W15+'Background graphEXPL_1.5'!W14</f>
        <v>0</v>
      </c>
      <c r="K14">
        <f>'Background graphCON'!X15+'Background graphEXPL_1.5'!X14</f>
        <v>0</v>
      </c>
      <c r="L14">
        <f t="shared" si="0"/>
        <v>4805.2966752410994</v>
      </c>
      <c r="M14">
        <f t="shared" si="1"/>
        <v>23738.186263033262</v>
      </c>
      <c r="N14">
        <f>IF($A14='Outil Cibles'!Q$7, 'Outil Cibles'!Q$8, 0)</f>
        <v>0</v>
      </c>
      <c r="O14">
        <f>IF($A14='Outil Cibles'!R$7, 'Outil Cibles'!R$8, 0)</f>
        <v>0</v>
      </c>
      <c r="P14">
        <f>IF($A14='Outil Cibles'!S$7, 'Outil Cibles'!S$8, 0)</f>
        <v>0</v>
      </c>
      <c r="Q14">
        <f>IF($A14='Outil Cibles'!T$7, 'Outil Cibles'!T$8, 0)</f>
        <v>0</v>
      </c>
      <c r="R14">
        <f>IF($A14='Outil Cibles'!U$7, 'Outil Cibles'!U$8, 0)</f>
        <v>0</v>
      </c>
      <c r="S14">
        <f>IF($A14='Outil Cibles'!V$7, 'Outil Cibles'!V$8, 0)</f>
        <v>0</v>
      </c>
      <c r="T14">
        <f>IF($A14='Outil Cibles'!W$7, 'Outil Cibles'!W$8, 0)</f>
        <v>0</v>
      </c>
      <c r="U14">
        <f>IF($A14='Outil Cibles'!X$7, 'Outil Cibles'!X$8, 0)</f>
        <v>0</v>
      </c>
      <c r="V14">
        <f>IF($A14='Outil Cibles'!Y$7, 'Outil Cibles'!Y$8, 0)</f>
        <v>0</v>
      </c>
      <c r="W14">
        <f>IF($A14='Outil Cibles'!Z$7, 'Outil Cibles'!Z$8, 0)</f>
        <v>0</v>
      </c>
      <c r="X14">
        <f t="shared" si="2"/>
        <v>0</v>
      </c>
      <c r="Y14">
        <f t="shared" ref="Y14:Y32" si="5">Y13+X14</f>
        <v>3000</v>
      </c>
      <c r="AA14">
        <f t="shared" si="4"/>
        <v>7.9127287543444202</v>
      </c>
    </row>
    <row r="15" spans="1:27" x14ac:dyDescent="0.3">
      <c r="A15">
        <v>2033</v>
      </c>
      <c r="B15">
        <f>'Background graphCON'!O16+'Background graphEXPL_1.5'!O15</f>
        <v>474.1638313817179</v>
      </c>
      <c r="C15">
        <f>'Background graphCON'!P16+'Background graphEXPL_1.5'!P15</f>
        <v>1425.3602421956953</v>
      </c>
      <c r="D15">
        <f>'Background graphCON'!Q16+'Background graphEXPL_1.5'!Q15</f>
        <v>1425.3602421956953</v>
      </c>
      <c r="E15">
        <f>'Background graphCON'!R16+'Background graphEXPL_1.5'!R15</f>
        <v>0</v>
      </c>
      <c r="F15">
        <f>'Background graphCON'!S16+'Background graphEXPL_1.5'!S15</f>
        <v>0</v>
      </c>
      <c r="G15">
        <f>'Background graphCON'!T16+'Background graphEXPL_1.5'!T15</f>
        <v>0</v>
      </c>
      <c r="H15">
        <f>'Background graphCON'!U16+'Background graphEXPL_1.5'!U15</f>
        <v>0</v>
      </c>
      <c r="I15">
        <f>'Background graphCON'!V16+'Background graphEXPL_1.5'!V15</f>
        <v>0</v>
      </c>
      <c r="J15">
        <f>'Background graphCON'!W16+'Background graphEXPL_1.5'!W15</f>
        <v>0</v>
      </c>
      <c r="K15">
        <f>'Background graphCON'!X16+'Background graphEXPL_1.5'!X15</f>
        <v>0</v>
      </c>
      <c r="L15">
        <f t="shared" si="0"/>
        <v>3324.8843157731085</v>
      </c>
      <c r="M15">
        <f t="shared" si="1"/>
        <v>23793.601001629479</v>
      </c>
      <c r="N15">
        <f>IF($A15='Outil Cibles'!Q$7, 'Outil Cibles'!Q$8, 0)</f>
        <v>0</v>
      </c>
      <c r="O15">
        <f>IF($A15='Outil Cibles'!R$7, 'Outil Cibles'!R$8, 0)</f>
        <v>0</v>
      </c>
      <c r="P15">
        <f>IF($A15='Outil Cibles'!S$7, 'Outil Cibles'!S$8, 0)</f>
        <v>0</v>
      </c>
      <c r="Q15">
        <f>IF($A15='Outil Cibles'!T$7, 'Outil Cibles'!T$8, 0)</f>
        <v>0</v>
      </c>
      <c r="R15">
        <f>IF($A15='Outil Cibles'!U$7, 'Outil Cibles'!U$8, 0)</f>
        <v>0</v>
      </c>
      <c r="S15">
        <f>IF($A15='Outil Cibles'!V$7, 'Outil Cibles'!V$8, 0)</f>
        <v>0</v>
      </c>
      <c r="T15">
        <f>IF($A15='Outil Cibles'!W$7, 'Outil Cibles'!W$8, 0)</f>
        <v>0</v>
      </c>
      <c r="U15">
        <f>IF($A15='Outil Cibles'!X$7, 'Outil Cibles'!X$8, 0)</f>
        <v>0</v>
      </c>
      <c r="V15">
        <f>IF($A15='Outil Cibles'!Y$7, 'Outil Cibles'!Y$8, 0)</f>
        <v>0</v>
      </c>
      <c r="W15">
        <f>IF($A15='Outil Cibles'!Z$7, 'Outil Cibles'!Z$8, 0)</f>
        <v>0</v>
      </c>
      <c r="X15">
        <f t="shared" si="2"/>
        <v>0</v>
      </c>
      <c r="Y15">
        <f t="shared" si="5"/>
        <v>3000</v>
      </c>
      <c r="AA15">
        <f t="shared" si="4"/>
        <v>7.9312003338764931</v>
      </c>
    </row>
    <row r="16" spans="1:27" x14ac:dyDescent="0.3">
      <c r="A16">
        <v>2034</v>
      </c>
      <c r="B16">
        <f>'Background graphCON'!O17+'Background graphEXPL_1.5'!O16</f>
        <v>264.62190569882557</v>
      </c>
      <c r="C16">
        <f>'Background graphCON'!P17+'Background graphEXPL_1.5'!P16</f>
        <v>796.81944230585179</v>
      </c>
      <c r="D16">
        <f>'Background graphCON'!Q17+'Background graphEXPL_1.5'!Q16</f>
        <v>796.81944230585179</v>
      </c>
      <c r="E16">
        <f>'Background graphCON'!R17+'Background graphEXPL_1.5'!R16</f>
        <v>0</v>
      </c>
      <c r="F16">
        <f>'Background graphCON'!S17+'Background graphEXPL_1.5'!S16</f>
        <v>0</v>
      </c>
      <c r="G16">
        <f>'Background graphCON'!T17+'Background graphEXPL_1.5'!T16</f>
        <v>0</v>
      </c>
      <c r="H16">
        <f>'Background graphCON'!U17+'Background graphEXPL_1.5'!U16</f>
        <v>0</v>
      </c>
      <c r="I16">
        <f>'Background graphCON'!V17+'Background graphEXPL_1.5'!V16</f>
        <v>0</v>
      </c>
      <c r="J16">
        <f>'Background graphCON'!W17+'Background graphEXPL_1.5'!W16</f>
        <v>0</v>
      </c>
      <c r="K16">
        <f>'Background graphCON'!X17+'Background graphEXPL_1.5'!X16</f>
        <v>0</v>
      </c>
      <c r="L16">
        <f t="shared" si="0"/>
        <v>1858.260790310529</v>
      </c>
      <c r="M16">
        <f t="shared" si="1"/>
        <v>23824.572014801321</v>
      </c>
      <c r="N16">
        <f>IF($A16='Outil Cibles'!Q$7, 'Outil Cibles'!Q$8, 0)</f>
        <v>0</v>
      </c>
      <c r="O16">
        <f>IF($A16='Outil Cibles'!R$7, 'Outil Cibles'!R$8, 0)</f>
        <v>0</v>
      </c>
      <c r="P16">
        <f>IF($A16='Outil Cibles'!S$7, 'Outil Cibles'!S$8, 0)</f>
        <v>0</v>
      </c>
      <c r="Q16">
        <f>IF($A16='Outil Cibles'!T$7, 'Outil Cibles'!T$8, 0)</f>
        <v>0</v>
      </c>
      <c r="R16">
        <f>IF($A16='Outil Cibles'!U$7, 'Outil Cibles'!U$8, 0)</f>
        <v>0</v>
      </c>
      <c r="S16">
        <f>IF($A16='Outil Cibles'!V$7, 'Outil Cibles'!V$8, 0)</f>
        <v>0</v>
      </c>
      <c r="T16">
        <f>IF($A16='Outil Cibles'!W$7, 'Outil Cibles'!W$8, 0)</f>
        <v>0</v>
      </c>
      <c r="U16">
        <f>IF($A16='Outil Cibles'!X$7, 'Outil Cibles'!X$8, 0)</f>
        <v>0</v>
      </c>
      <c r="V16">
        <f>IF($A16='Outil Cibles'!Y$7, 'Outil Cibles'!Y$8, 0)</f>
        <v>0</v>
      </c>
      <c r="W16">
        <f>IF($A16='Outil Cibles'!Z$7, 'Outil Cibles'!Z$8, 0)</f>
        <v>0</v>
      </c>
      <c r="X16">
        <f t="shared" si="2"/>
        <v>0</v>
      </c>
      <c r="Y16">
        <f t="shared" si="5"/>
        <v>3000</v>
      </c>
      <c r="AA16">
        <f t="shared" si="4"/>
        <v>7.9415240049337736</v>
      </c>
    </row>
    <row r="17" spans="1:27" x14ac:dyDescent="0.3">
      <c r="A17" s="10">
        <v>2035</v>
      </c>
      <c r="B17">
        <f>'Background graphCON'!O18+'Background graphEXPL_1.5'!O17</f>
        <v>57.639148195108156</v>
      </c>
      <c r="C17">
        <f>'Background graphCON'!P18+'Background graphEXPL_1.5'!P17</f>
        <v>173.84798615061146</v>
      </c>
      <c r="D17">
        <f>'Background graphCON'!Q18+'Background graphEXPL_1.5'!Q17</f>
        <v>173.84798615061146</v>
      </c>
      <c r="E17">
        <f>'Background graphCON'!R18+'Background graphEXPL_1.5'!R17</f>
        <v>235886.74812532449</v>
      </c>
      <c r="F17">
        <f>'Background graphCON'!S18+'Background graphEXPL_1.5'!S17</f>
        <v>0</v>
      </c>
      <c r="G17">
        <f>'Background graphCON'!T18+'Background graphEXPL_1.5'!T17</f>
        <v>0</v>
      </c>
      <c r="H17">
        <f>'Background graphCON'!U18+'Background graphEXPL_1.5'!U17</f>
        <v>0</v>
      </c>
      <c r="I17">
        <f>'Background graphCON'!V18+'Background graphEXPL_1.5'!V17</f>
        <v>0</v>
      </c>
      <c r="J17">
        <f>'Background graphCON'!W18+'Background graphEXPL_1.5'!W17</f>
        <v>0</v>
      </c>
      <c r="K17">
        <f>'Background graphCON'!X18+'Background graphEXPL_1.5'!X17</f>
        <v>0</v>
      </c>
      <c r="L17">
        <f t="shared" si="0"/>
        <v>236292.08324582083</v>
      </c>
      <c r="M17">
        <f t="shared" si="1"/>
        <v>27762.773402231669</v>
      </c>
      <c r="N17">
        <f>IF($A17='Outil Cibles'!Q$7, 'Outil Cibles'!Q$8, 0)</f>
        <v>0</v>
      </c>
      <c r="O17">
        <f>IF($A17='Outil Cibles'!R$7, 'Outil Cibles'!R$8, 0)</f>
        <v>0</v>
      </c>
      <c r="P17">
        <f>IF($A17='Outil Cibles'!S$7, 'Outil Cibles'!S$8, 0)</f>
        <v>0</v>
      </c>
      <c r="Q17">
        <f>IF($A17='Outil Cibles'!T$7, 'Outil Cibles'!T$8, 0)</f>
        <v>1000</v>
      </c>
      <c r="R17">
        <f>IF($A17='Outil Cibles'!U$7, 'Outil Cibles'!U$8, 0)</f>
        <v>0</v>
      </c>
      <c r="S17">
        <f>IF($A17='Outil Cibles'!V$7, 'Outil Cibles'!V$8, 0)</f>
        <v>0</v>
      </c>
      <c r="T17">
        <f>IF($A17='Outil Cibles'!W$7, 'Outil Cibles'!W$8, 0)</f>
        <v>0</v>
      </c>
      <c r="U17">
        <f>IF($A17='Outil Cibles'!X$7, 'Outil Cibles'!X$8, 0)</f>
        <v>0</v>
      </c>
      <c r="V17">
        <f>IF($A17='Outil Cibles'!Y$7, 'Outil Cibles'!Y$8, 0)</f>
        <v>0</v>
      </c>
      <c r="W17">
        <f>IF($A17='Outil Cibles'!Z$7, 'Outil Cibles'!Z$8, 0)</f>
        <v>0</v>
      </c>
      <c r="X17">
        <f t="shared" si="2"/>
        <v>1000</v>
      </c>
      <c r="Y17">
        <f t="shared" si="5"/>
        <v>4000</v>
      </c>
      <c r="AA17">
        <f t="shared" si="4"/>
        <v>6.9406933505579174</v>
      </c>
    </row>
    <row r="18" spans="1:27" x14ac:dyDescent="0.3">
      <c r="A18">
        <v>2036</v>
      </c>
      <c r="B18">
        <f>'Background graphCON'!O19+'Background graphEXPL_1.5'!O18</f>
        <v>0</v>
      </c>
      <c r="C18">
        <f>'Background graphCON'!P19+'Background graphEXPL_1.5'!P18</f>
        <v>0</v>
      </c>
      <c r="D18">
        <f>'Background graphCON'!Q19+'Background graphEXPL_1.5'!Q18</f>
        <v>0</v>
      </c>
      <c r="E18">
        <f>'Background graphCON'!R19+'Background graphEXPL_1.5'!R18</f>
        <v>0</v>
      </c>
      <c r="F18">
        <f>'Background graphCON'!S19+'Background graphEXPL_1.5'!S18</f>
        <v>0</v>
      </c>
      <c r="G18">
        <f>'Background graphCON'!T19+'Background graphEXPL_1.5'!T18</f>
        <v>0</v>
      </c>
      <c r="H18">
        <f>'Background graphCON'!U19+'Background graphEXPL_1.5'!U18</f>
        <v>0</v>
      </c>
      <c r="I18">
        <f>'Background graphCON'!V19+'Background graphEXPL_1.5'!V18</f>
        <v>0</v>
      </c>
      <c r="J18">
        <f>'Background graphCON'!W19+'Background graphEXPL_1.5'!W18</f>
        <v>0</v>
      </c>
      <c r="K18">
        <f>'Background graphCON'!X19+'Background graphEXPL_1.5'!X18</f>
        <v>0</v>
      </c>
      <c r="L18">
        <f t="shared" si="0"/>
        <v>0</v>
      </c>
      <c r="M18">
        <f t="shared" si="1"/>
        <v>27762.773402231669</v>
      </c>
      <c r="N18">
        <f>IF($A18='Outil Cibles'!Q$7, 'Outil Cibles'!Q$8, 0)</f>
        <v>0</v>
      </c>
      <c r="O18">
        <f>IF($A18='Outil Cibles'!R$7, 'Outil Cibles'!R$8, 0)</f>
        <v>0</v>
      </c>
      <c r="P18">
        <f>IF($A18='Outil Cibles'!S$7, 'Outil Cibles'!S$8, 0)</f>
        <v>0</v>
      </c>
      <c r="Q18">
        <f>IF($A18='Outil Cibles'!T$7, 'Outil Cibles'!T$8, 0)</f>
        <v>0</v>
      </c>
      <c r="R18">
        <f>IF($A18='Outil Cibles'!U$7, 'Outil Cibles'!U$8, 0)</f>
        <v>0</v>
      </c>
      <c r="S18">
        <f>IF($A18='Outil Cibles'!V$7, 'Outil Cibles'!V$8, 0)</f>
        <v>0</v>
      </c>
      <c r="T18">
        <f>IF($A18='Outil Cibles'!W$7, 'Outil Cibles'!W$8, 0)</f>
        <v>0</v>
      </c>
      <c r="U18">
        <f>IF($A18='Outil Cibles'!X$7, 'Outil Cibles'!X$8, 0)</f>
        <v>0</v>
      </c>
      <c r="V18">
        <f>IF($A18='Outil Cibles'!Y$7, 'Outil Cibles'!Y$8, 0)</f>
        <v>0</v>
      </c>
      <c r="W18">
        <f>IF($A18='Outil Cibles'!Z$7, 'Outil Cibles'!Z$8, 0)</f>
        <v>0</v>
      </c>
      <c r="X18">
        <f t="shared" si="2"/>
        <v>0</v>
      </c>
      <c r="Y18">
        <f t="shared" si="5"/>
        <v>4000</v>
      </c>
      <c r="AA18">
        <f t="shared" si="4"/>
        <v>6.9406933505579174</v>
      </c>
    </row>
    <row r="19" spans="1:27" x14ac:dyDescent="0.3">
      <c r="A19">
        <v>2037</v>
      </c>
      <c r="B19">
        <f>'Background graphCON'!O20+'Background graphEXPL_1.5'!O19</f>
        <v>0</v>
      </c>
      <c r="C19">
        <f>'Background graphCON'!P20+'Background graphEXPL_1.5'!P19</f>
        <v>0</v>
      </c>
      <c r="D19">
        <f>'Background graphCON'!Q20+'Background graphEXPL_1.5'!Q19</f>
        <v>0</v>
      </c>
      <c r="E19">
        <f>'Background graphCON'!R20+'Background graphEXPL_1.5'!R19</f>
        <v>0</v>
      </c>
      <c r="F19">
        <f>'Background graphCON'!S20+'Background graphEXPL_1.5'!S19</f>
        <v>0</v>
      </c>
      <c r="G19">
        <f>'Background graphCON'!T20+'Background graphEXPL_1.5'!T19</f>
        <v>0</v>
      </c>
      <c r="H19">
        <f>'Background graphCON'!U20+'Background graphEXPL_1.5'!U19</f>
        <v>0</v>
      </c>
      <c r="I19">
        <f>'Background graphCON'!V20+'Background graphEXPL_1.5'!V19</f>
        <v>0</v>
      </c>
      <c r="J19">
        <f>'Background graphCON'!W20+'Background graphEXPL_1.5'!W19</f>
        <v>0</v>
      </c>
      <c r="K19">
        <f>'Background graphCON'!X20+'Background graphEXPL_1.5'!X19</f>
        <v>0</v>
      </c>
      <c r="L19">
        <f t="shared" si="0"/>
        <v>0</v>
      </c>
      <c r="M19">
        <f t="shared" si="1"/>
        <v>27762.773402231669</v>
      </c>
      <c r="N19">
        <f>IF($A19='Outil Cibles'!Q$7, 'Outil Cibles'!Q$8, 0)</f>
        <v>0</v>
      </c>
      <c r="O19">
        <f>IF($A19='Outil Cibles'!R$7, 'Outil Cibles'!R$8, 0)</f>
        <v>0</v>
      </c>
      <c r="P19">
        <f>IF($A19='Outil Cibles'!S$7, 'Outil Cibles'!S$8, 0)</f>
        <v>0</v>
      </c>
      <c r="Q19">
        <f>IF($A19='Outil Cibles'!T$7, 'Outil Cibles'!T$8, 0)</f>
        <v>0</v>
      </c>
      <c r="R19">
        <f>IF($A19='Outil Cibles'!U$7, 'Outil Cibles'!U$8, 0)</f>
        <v>0</v>
      </c>
      <c r="S19">
        <f>IF($A19='Outil Cibles'!V$7, 'Outil Cibles'!V$8, 0)</f>
        <v>0</v>
      </c>
      <c r="T19">
        <f>IF($A19='Outil Cibles'!W$7, 'Outil Cibles'!W$8, 0)</f>
        <v>0</v>
      </c>
      <c r="U19">
        <f>IF($A19='Outil Cibles'!X$7, 'Outil Cibles'!X$8, 0)</f>
        <v>0</v>
      </c>
      <c r="V19">
        <f>IF($A19='Outil Cibles'!Y$7, 'Outil Cibles'!Y$8, 0)</f>
        <v>0</v>
      </c>
      <c r="W19">
        <f>IF($A19='Outil Cibles'!Z$7, 'Outil Cibles'!Z$8, 0)</f>
        <v>0</v>
      </c>
      <c r="X19">
        <f t="shared" si="2"/>
        <v>0</v>
      </c>
      <c r="Y19">
        <f t="shared" si="5"/>
        <v>4000</v>
      </c>
      <c r="AA19">
        <f t="shared" si="4"/>
        <v>6.9406933505579174</v>
      </c>
    </row>
    <row r="20" spans="1:27" x14ac:dyDescent="0.3">
      <c r="A20">
        <v>2038</v>
      </c>
      <c r="B20">
        <f>'Background graphCON'!O21+'Background graphEXPL_1.5'!O20</f>
        <v>0</v>
      </c>
      <c r="C20">
        <f>'Background graphCON'!P21+'Background graphEXPL_1.5'!P20</f>
        <v>0</v>
      </c>
      <c r="D20">
        <f>'Background graphCON'!Q21+'Background graphEXPL_1.5'!Q20</f>
        <v>0</v>
      </c>
      <c r="E20">
        <f>'Background graphCON'!R21+'Background graphEXPL_1.5'!R20</f>
        <v>0</v>
      </c>
      <c r="F20">
        <f>'Background graphCON'!S21+'Background graphEXPL_1.5'!S20</f>
        <v>186938.01694540519</v>
      </c>
      <c r="G20">
        <f>'Background graphCON'!T21+'Background graphEXPL_1.5'!T20</f>
        <v>0</v>
      </c>
      <c r="H20">
        <f>'Background graphCON'!U21+'Background graphEXPL_1.5'!U20</f>
        <v>0</v>
      </c>
      <c r="I20">
        <f>'Background graphCON'!V21+'Background graphEXPL_1.5'!V20</f>
        <v>0</v>
      </c>
      <c r="J20">
        <f>'Background graphCON'!W21+'Background graphEXPL_1.5'!W20</f>
        <v>0</v>
      </c>
      <c r="K20">
        <f>'Background graphCON'!X21+'Background graphEXPL_1.5'!X20</f>
        <v>0</v>
      </c>
      <c r="L20">
        <f t="shared" si="0"/>
        <v>186938.01694540519</v>
      </c>
      <c r="M20">
        <f t="shared" si="1"/>
        <v>30878.407017988422</v>
      </c>
      <c r="N20">
        <f>IF($A20='Outil Cibles'!Q$7, 'Outil Cibles'!Q$8, 0)</f>
        <v>0</v>
      </c>
      <c r="O20">
        <f>IF($A20='Outil Cibles'!R$7, 'Outil Cibles'!R$8, 0)</f>
        <v>0</v>
      </c>
      <c r="P20">
        <f>IF($A20='Outil Cibles'!S$7, 'Outil Cibles'!S$8, 0)</f>
        <v>0</v>
      </c>
      <c r="Q20">
        <f>IF($A20='Outil Cibles'!T$7, 'Outil Cibles'!T$8, 0)</f>
        <v>0</v>
      </c>
      <c r="R20">
        <f>IF($A20='Outil Cibles'!U$7, 'Outil Cibles'!U$8, 0)</f>
        <v>1000</v>
      </c>
      <c r="S20">
        <f>IF($A20='Outil Cibles'!V$7, 'Outil Cibles'!V$8, 0)</f>
        <v>0</v>
      </c>
      <c r="T20">
        <f>IF($A20='Outil Cibles'!W$7, 'Outil Cibles'!W$8, 0)</f>
        <v>0</v>
      </c>
      <c r="U20">
        <f>IF($A20='Outil Cibles'!X$7, 'Outil Cibles'!X$8, 0)</f>
        <v>0</v>
      </c>
      <c r="V20">
        <f>IF($A20='Outil Cibles'!Y$7, 'Outil Cibles'!Y$8, 0)</f>
        <v>0</v>
      </c>
      <c r="W20">
        <f>IF($A20='Outil Cibles'!Z$7, 'Outil Cibles'!Z$8, 0)</f>
        <v>0</v>
      </c>
      <c r="X20">
        <f t="shared" si="2"/>
        <v>1000</v>
      </c>
      <c r="Y20">
        <f t="shared" si="5"/>
        <v>5000</v>
      </c>
      <c r="AA20">
        <f t="shared" si="4"/>
        <v>6.1756814035976841</v>
      </c>
    </row>
    <row r="21" spans="1:27" x14ac:dyDescent="0.3">
      <c r="A21">
        <v>2039</v>
      </c>
      <c r="B21">
        <f>'Background graphCON'!O22+'Background graphEXPL_1.5'!O21</f>
        <v>0</v>
      </c>
      <c r="C21">
        <f>'Background graphCON'!P22+'Background graphEXPL_1.5'!P21</f>
        <v>0</v>
      </c>
      <c r="D21">
        <f>'Background graphCON'!Q22+'Background graphEXPL_1.5'!Q21</f>
        <v>0</v>
      </c>
      <c r="E21">
        <f>'Background graphCON'!R22+'Background graphEXPL_1.5'!R21</f>
        <v>0</v>
      </c>
      <c r="F21">
        <f>'Background graphCON'!S22+'Background graphEXPL_1.5'!S21</f>
        <v>0</v>
      </c>
      <c r="G21">
        <f>'Background graphCON'!T22+'Background graphEXPL_1.5'!T21</f>
        <v>0</v>
      </c>
      <c r="H21">
        <f>'Background graphCON'!U22+'Background graphEXPL_1.5'!U21</f>
        <v>0</v>
      </c>
      <c r="I21">
        <f>'Background graphCON'!V22+'Background graphEXPL_1.5'!V21</f>
        <v>0</v>
      </c>
      <c r="J21">
        <f>'Background graphCON'!W22+'Background graphEXPL_1.5'!W21</f>
        <v>0</v>
      </c>
      <c r="K21">
        <f>'Background graphCON'!X22+'Background graphEXPL_1.5'!X21</f>
        <v>0</v>
      </c>
      <c r="L21">
        <f t="shared" si="0"/>
        <v>0</v>
      </c>
      <c r="M21">
        <f t="shared" si="1"/>
        <v>30878.407017988422</v>
      </c>
      <c r="N21">
        <f>IF($A21='Outil Cibles'!Q$7, 'Outil Cibles'!Q$8, 0)</f>
        <v>0</v>
      </c>
      <c r="O21">
        <f>IF($A21='Outil Cibles'!R$7, 'Outil Cibles'!R$8, 0)</f>
        <v>0</v>
      </c>
      <c r="P21">
        <f>IF($A21='Outil Cibles'!S$7, 'Outil Cibles'!S$8, 0)</f>
        <v>0</v>
      </c>
      <c r="Q21">
        <f>IF($A21='Outil Cibles'!T$7, 'Outil Cibles'!T$8, 0)</f>
        <v>0</v>
      </c>
      <c r="R21">
        <f>IF($A21='Outil Cibles'!U$7, 'Outil Cibles'!U$8, 0)</f>
        <v>0</v>
      </c>
      <c r="S21">
        <f>IF($A21='Outil Cibles'!V$7, 'Outil Cibles'!V$8, 0)</f>
        <v>0</v>
      </c>
      <c r="T21">
        <f>IF($A21='Outil Cibles'!W$7, 'Outil Cibles'!W$8, 0)</f>
        <v>0</v>
      </c>
      <c r="U21">
        <f>IF($A21='Outil Cibles'!X$7, 'Outil Cibles'!X$8, 0)</f>
        <v>0</v>
      </c>
      <c r="V21">
        <f>IF($A21='Outil Cibles'!Y$7, 'Outil Cibles'!Y$8, 0)</f>
        <v>0</v>
      </c>
      <c r="W21">
        <f>IF($A21='Outil Cibles'!Z$7, 'Outil Cibles'!Z$8, 0)</f>
        <v>0</v>
      </c>
      <c r="X21">
        <f t="shared" si="2"/>
        <v>0</v>
      </c>
      <c r="Y21">
        <f t="shared" si="5"/>
        <v>5000</v>
      </c>
      <c r="AA21">
        <f t="shared" si="4"/>
        <v>6.1756814035976841</v>
      </c>
    </row>
    <row r="22" spans="1:27" x14ac:dyDescent="0.3">
      <c r="A22" s="10">
        <v>2040</v>
      </c>
      <c r="B22">
        <f>'Background graphCON'!O23+'Background graphEXPL_1.5'!O22</f>
        <v>0</v>
      </c>
      <c r="C22">
        <f>'Background graphCON'!P23+'Background graphEXPL_1.5'!P22</f>
        <v>0</v>
      </c>
      <c r="D22">
        <f>'Background graphCON'!Q23+'Background graphEXPL_1.5'!Q22</f>
        <v>0</v>
      </c>
      <c r="E22">
        <f>'Background graphCON'!R23+'Background graphEXPL_1.5'!R22</f>
        <v>0</v>
      </c>
      <c r="F22">
        <f>'Background graphCON'!S23+'Background graphEXPL_1.5'!S22</f>
        <v>0</v>
      </c>
      <c r="G22">
        <f>'Background graphCON'!T23+'Background graphEXPL_1.5'!T22</f>
        <v>160197.75845636977</v>
      </c>
      <c r="H22">
        <f>'Background graphCON'!U23+'Background graphEXPL_1.5'!U22</f>
        <v>0</v>
      </c>
      <c r="I22">
        <f>'Background graphCON'!V23+'Background graphEXPL_1.5'!V22</f>
        <v>0</v>
      </c>
      <c r="J22">
        <f>'Background graphCON'!W23+'Background graphEXPL_1.5'!W22</f>
        <v>0</v>
      </c>
      <c r="K22">
        <f>'Background graphCON'!X23+'Background graphEXPL_1.5'!X22</f>
        <v>0</v>
      </c>
      <c r="L22">
        <f t="shared" si="0"/>
        <v>160197.75845636977</v>
      </c>
      <c r="M22">
        <f t="shared" si="1"/>
        <v>33548.369658927921</v>
      </c>
      <c r="N22">
        <f>IF($A22='Outil Cibles'!Q$7, 'Outil Cibles'!Q$8, 0)</f>
        <v>0</v>
      </c>
      <c r="O22">
        <f>IF($A22='Outil Cibles'!R$7, 'Outil Cibles'!R$8, 0)</f>
        <v>0</v>
      </c>
      <c r="P22">
        <f>IF($A22='Outil Cibles'!S$7, 'Outil Cibles'!S$8, 0)</f>
        <v>0</v>
      </c>
      <c r="Q22">
        <f>IF($A22='Outil Cibles'!T$7, 'Outil Cibles'!T$8, 0)</f>
        <v>0</v>
      </c>
      <c r="R22">
        <f>IF($A22='Outil Cibles'!U$7, 'Outil Cibles'!U$8, 0)</f>
        <v>0</v>
      </c>
      <c r="S22">
        <f>IF($A22='Outil Cibles'!V$7, 'Outil Cibles'!V$8, 0)</f>
        <v>1000</v>
      </c>
      <c r="T22">
        <f>IF($A22='Outil Cibles'!W$7, 'Outil Cibles'!W$8, 0)</f>
        <v>0</v>
      </c>
      <c r="U22">
        <f>IF($A22='Outil Cibles'!X$7, 'Outil Cibles'!X$8, 0)</f>
        <v>0</v>
      </c>
      <c r="V22">
        <f>IF($A22='Outil Cibles'!Y$7, 'Outil Cibles'!Y$8, 0)</f>
        <v>0</v>
      </c>
      <c r="W22">
        <f>IF($A22='Outil Cibles'!Z$7, 'Outil Cibles'!Z$8, 0)</f>
        <v>0</v>
      </c>
      <c r="X22">
        <f t="shared" si="2"/>
        <v>1000</v>
      </c>
      <c r="Y22">
        <f t="shared" si="5"/>
        <v>6000</v>
      </c>
      <c r="AA22">
        <f t="shared" si="4"/>
        <v>5.5913949431546532</v>
      </c>
    </row>
    <row r="23" spans="1:27" x14ac:dyDescent="0.3">
      <c r="A23">
        <v>2041</v>
      </c>
      <c r="B23">
        <f>'Background graphCON'!O24+'Background graphEXPL_1.5'!O23</f>
        <v>0</v>
      </c>
      <c r="C23">
        <f>'Background graphCON'!P24+'Background graphEXPL_1.5'!P23</f>
        <v>0</v>
      </c>
      <c r="D23">
        <f>'Background graphCON'!Q24+'Background graphEXPL_1.5'!Q23</f>
        <v>0</v>
      </c>
      <c r="E23">
        <f>'Background graphCON'!R24+'Background graphEXPL_1.5'!R23</f>
        <v>0</v>
      </c>
      <c r="F23">
        <f>'Background graphCON'!S24+'Background graphEXPL_1.5'!S23</f>
        <v>0</v>
      </c>
      <c r="G23">
        <f>'Background graphCON'!T24+'Background graphEXPL_1.5'!T23</f>
        <v>0</v>
      </c>
      <c r="H23">
        <f>'Background graphCON'!U24+'Background graphEXPL_1.5'!U23</f>
        <v>0</v>
      </c>
      <c r="I23">
        <f>'Background graphCON'!V24+'Background graphEXPL_1.5'!V23</f>
        <v>0</v>
      </c>
      <c r="J23">
        <f>'Background graphCON'!W24+'Background graphEXPL_1.5'!W23</f>
        <v>0</v>
      </c>
      <c r="K23">
        <f>'Background graphCON'!X24+'Background graphEXPL_1.5'!X23</f>
        <v>0</v>
      </c>
      <c r="L23">
        <f t="shared" si="0"/>
        <v>0</v>
      </c>
      <c r="M23">
        <f t="shared" si="1"/>
        <v>33548.369658927921</v>
      </c>
      <c r="N23">
        <f>IF($A23='Outil Cibles'!Q$7, 'Outil Cibles'!Q$8, 0)</f>
        <v>0</v>
      </c>
      <c r="O23">
        <f>IF($A23='Outil Cibles'!R$7, 'Outil Cibles'!R$8, 0)</f>
        <v>0</v>
      </c>
      <c r="P23">
        <f>IF($A23='Outil Cibles'!S$7, 'Outil Cibles'!S$8, 0)</f>
        <v>0</v>
      </c>
      <c r="Q23">
        <f>IF($A23='Outil Cibles'!T$7, 'Outil Cibles'!T$8, 0)</f>
        <v>0</v>
      </c>
      <c r="R23">
        <f>IF($A23='Outil Cibles'!U$7, 'Outil Cibles'!U$8, 0)</f>
        <v>0</v>
      </c>
      <c r="S23">
        <f>IF($A23='Outil Cibles'!V$7, 'Outil Cibles'!V$8, 0)</f>
        <v>0</v>
      </c>
      <c r="T23">
        <f>IF($A23='Outil Cibles'!W$7, 'Outil Cibles'!W$8, 0)</f>
        <v>0</v>
      </c>
      <c r="U23">
        <f>IF($A23='Outil Cibles'!X$7, 'Outil Cibles'!X$8, 0)</f>
        <v>0</v>
      </c>
      <c r="V23">
        <f>IF($A23='Outil Cibles'!Y$7, 'Outil Cibles'!Y$8, 0)</f>
        <v>0</v>
      </c>
      <c r="W23">
        <f>IF($A23='Outil Cibles'!Z$7, 'Outil Cibles'!Z$8, 0)</f>
        <v>0</v>
      </c>
      <c r="X23">
        <f t="shared" si="2"/>
        <v>0</v>
      </c>
      <c r="Y23">
        <f t="shared" si="5"/>
        <v>6000</v>
      </c>
      <c r="AA23">
        <f t="shared" si="4"/>
        <v>5.5913949431546532</v>
      </c>
    </row>
    <row r="24" spans="1:27" x14ac:dyDescent="0.3">
      <c r="A24">
        <v>2042</v>
      </c>
      <c r="B24">
        <f>'Background graphCON'!O25+'Background graphEXPL_1.5'!O24</f>
        <v>0</v>
      </c>
      <c r="C24">
        <f>'Background graphCON'!P25+'Background graphEXPL_1.5'!P24</f>
        <v>0</v>
      </c>
      <c r="D24">
        <f>'Background graphCON'!Q25+'Background graphEXPL_1.5'!Q24</f>
        <v>0</v>
      </c>
      <c r="E24">
        <f>'Background graphCON'!R25+'Background graphEXPL_1.5'!R24</f>
        <v>0</v>
      </c>
      <c r="F24">
        <f>'Background graphCON'!S25+'Background graphEXPL_1.5'!S24</f>
        <v>0</v>
      </c>
      <c r="G24">
        <f>'Background graphCON'!T25+'Background graphEXPL_1.5'!T24</f>
        <v>0</v>
      </c>
      <c r="H24">
        <f>'Background graphCON'!U25+'Background graphEXPL_1.5'!U24</f>
        <v>137302.82316494611</v>
      </c>
      <c r="I24">
        <f>'Background graphCON'!V25+'Background graphEXPL_1.5'!V24</f>
        <v>0</v>
      </c>
      <c r="J24">
        <f>'Background graphCON'!W25+'Background graphEXPL_1.5'!W24</f>
        <v>0</v>
      </c>
      <c r="K24">
        <f>'Background graphCON'!X25+'Background graphEXPL_1.5'!X24</f>
        <v>0</v>
      </c>
      <c r="L24">
        <f t="shared" si="0"/>
        <v>137302.82316494611</v>
      </c>
      <c r="M24">
        <f t="shared" si="1"/>
        <v>35836.750045010354</v>
      </c>
      <c r="N24">
        <f>IF($A24='Outil Cibles'!Q$7, 'Outil Cibles'!Q$8, 0)</f>
        <v>0</v>
      </c>
      <c r="O24">
        <f>IF($A24='Outil Cibles'!R$7, 'Outil Cibles'!R$8, 0)</f>
        <v>0</v>
      </c>
      <c r="P24">
        <f>IF($A24='Outil Cibles'!S$7, 'Outil Cibles'!S$8, 0)</f>
        <v>0</v>
      </c>
      <c r="Q24">
        <f>IF($A24='Outil Cibles'!T$7, 'Outil Cibles'!T$8, 0)</f>
        <v>0</v>
      </c>
      <c r="R24">
        <f>IF($A24='Outil Cibles'!U$7, 'Outil Cibles'!U$8, 0)</f>
        <v>0</v>
      </c>
      <c r="S24">
        <f>IF($A24='Outil Cibles'!V$7, 'Outil Cibles'!V$8, 0)</f>
        <v>0</v>
      </c>
      <c r="T24">
        <f>IF($A24='Outil Cibles'!W$7, 'Outil Cibles'!W$8, 0)</f>
        <v>1000</v>
      </c>
      <c r="U24">
        <f>IF($A24='Outil Cibles'!X$7, 'Outil Cibles'!X$8, 0)</f>
        <v>0</v>
      </c>
      <c r="V24">
        <f>IF($A24='Outil Cibles'!Y$7, 'Outil Cibles'!Y$8, 0)</f>
        <v>0</v>
      </c>
      <c r="W24">
        <f>IF($A24='Outil Cibles'!Z$7, 'Outil Cibles'!Z$8, 0)</f>
        <v>0</v>
      </c>
      <c r="X24">
        <f t="shared" si="2"/>
        <v>1000</v>
      </c>
      <c r="Y24">
        <f t="shared" si="5"/>
        <v>7000</v>
      </c>
      <c r="AA24">
        <f t="shared" si="4"/>
        <v>5.1195357207157652</v>
      </c>
    </row>
    <row r="25" spans="1:27" x14ac:dyDescent="0.3">
      <c r="A25">
        <v>2043</v>
      </c>
      <c r="B25">
        <f>'Background graphCON'!O26+'Background graphEXPL_1.5'!O25</f>
        <v>0</v>
      </c>
      <c r="C25">
        <f>'Background graphCON'!P26+'Background graphEXPL_1.5'!P25</f>
        <v>0</v>
      </c>
      <c r="D25">
        <f>'Background graphCON'!Q26+'Background graphEXPL_1.5'!Q25</f>
        <v>0</v>
      </c>
      <c r="E25">
        <f>'Background graphCON'!R26+'Background graphEXPL_1.5'!R25</f>
        <v>0</v>
      </c>
      <c r="F25">
        <f>'Background graphCON'!S26+'Background graphEXPL_1.5'!S25</f>
        <v>0</v>
      </c>
      <c r="G25">
        <f>'Background graphCON'!T26+'Background graphEXPL_1.5'!T25</f>
        <v>0</v>
      </c>
      <c r="H25">
        <f>'Background graphCON'!U26+'Background graphEXPL_1.5'!U25</f>
        <v>0</v>
      </c>
      <c r="I25">
        <f>'Background graphCON'!V26+'Background graphEXPL_1.5'!V25</f>
        <v>0</v>
      </c>
      <c r="J25">
        <f>'Background graphCON'!W26+'Background graphEXPL_1.5'!W25</f>
        <v>0</v>
      </c>
      <c r="K25">
        <f>'Background graphCON'!X26+'Background graphEXPL_1.5'!X25</f>
        <v>0</v>
      </c>
      <c r="L25">
        <f t="shared" si="0"/>
        <v>0</v>
      </c>
      <c r="M25">
        <f t="shared" si="1"/>
        <v>35836.750045010354</v>
      </c>
      <c r="N25">
        <f>IF($A25='Outil Cibles'!Q$7, 'Outil Cibles'!Q$8, 0)</f>
        <v>0</v>
      </c>
      <c r="O25">
        <f>IF($A25='Outil Cibles'!R$7, 'Outil Cibles'!R$8, 0)</f>
        <v>0</v>
      </c>
      <c r="P25">
        <f>IF($A25='Outil Cibles'!S$7, 'Outil Cibles'!S$8, 0)</f>
        <v>0</v>
      </c>
      <c r="Q25">
        <f>IF($A25='Outil Cibles'!T$7, 'Outil Cibles'!T$8, 0)</f>
        <v>0</v>
      </c>
      <c r="R25">
        <f>IF($A25='Outil Cibles'!U$7, 'Outil Cibles'!U$8, 0)</f>
        <v>0</v>
      </c>
      <c r="S25">
        <f>IF($A25='Outil Cibles'!V$7, 'Outil Cibles'!V$8, 0)</f>
        <v>0</v>
      </c>
      <c r="T25">
        <f>IF($A25='Outil Cibles'!W$7, 'Outil Cibles'!W$8, 0)</f>
        <v>0</v>
      </c>
      <c r="U25">
        <f>IF($A25='Outil Cibles'!X$7, 'Outil Cibles'!X$8, 0)</f>
        <v>0</v>
      </c>
      <c r="V25">
        <f>IF($A25='Outil Cibles'!Y$7, 'Outil Cibles'!Y$8, 0)</f>
        <v>0</v>
      </c>
      <c r="W25">
        <f>IF($A25='Outil Cibles'!Z$7, 'Outil Cibles'!Z$8, 0)</f>
        <v>0</v>
      </c>
      <c r="X25">
        <f t="shared" si="2"/>
        <v>0</v>
      </c>
      <c r="Y25">
        <f t="shared" si="5"/>
        <v>7000</v>
      </c>
      <c r="AA25">
        <f t="shared" si="4"/>
        <v>5.1195357207157652</v>
      </c>
    </row>
    <row r="26" spans="1:27" x14ac:dyDescent="0.3">
      <c r="A26">
        <v>2044</v>
      </c>
      <c r="B26">
        <f>'Background graphCON'!O27+'Background graphEXPL_1.5'!O26</f>
        <v>0</v>
      </c>
      <c r="C26">
        <f>'Background graphCON'!P27+'Background graphEXPL_1.5'!P26</f>
        <v>0</v>
      </c>
      <c r="D26">
        <f>'Background graphCON'!Q27+'Background graphEXPL_1.5'!Q26</f>
        <v>0</v>
      </c>
      <c r="E26">
        <f>'Background graphCON'!R27+'Background graphEXPL_1.5'!R26</f>
        <v>0</v>
      </c>
      <c r="F26">
        <f>'Background graphCON'!S27+'Background graphEXPL_1.5'!S26</f>
        <v>0</v>
      </c>
      <c r="G26">
        <f>'Background graphCON'!T27+'Background graphEXPL_1.5'!T26</f>
        <v>0</v>
      </c>
      <c r="H26">
        <f>'Background graphCON'!U27+'Background graphEXPL_1.5'!U26</f>
        <v>0</v>
      </c>
      <c r="I26">
        <f>'Background graphCON'!V27+'Background graphEXPL_1.5'!V26</f>
        <v>117696.94589688591</v>
      </c>
      <c r="J26">
        <f>'Background graphCON'!W27+'Background graphEXPL_1.5'!W26</f>
        <v>0</v>
      </c>
      <c r="K26">
        <f>'Background graphCON'!X27+'Background graphEXPL_1.5'!X26</f>
        <v>0</v>
      </c>
      <c r="L26">
        <f t="shared" si="0"/>
        <v>117696.94589688591</v>
      </c>
      <c r="M26">
        <f t="shared" si="1"/>
        <v>37798.36580995845</v>
      </c>
      <c r="N26">
        <f>IF($A26='Outil Cibles'!Q$7, 'Outil Cibles'!Q$8, 0)</f>
        <v>0</v>
      </c>
      <c r="O26">
        <f>IF($A26='Outil Cibles'!R$7, 'Outil Cibles'!R$8, 0)</f>
        <v>0</v>
      </c>
      <c r="P26">
        <f>IF($A26='Outil Cibles'!S$7, 'Outil Cibles'!S$8, 0)</f>
        <v>0</v>
      </c>
      <c r="Q26">
        <f>IF($A26='Outil Cibles'!T$7, 'Outil Cibles'!T$8, 0)</f>
        <v>0</v>
      </c>
      <c r="R26">
        <f>IF($A26='Outil Cibles'!U$7, 'Outil Cibles'!U$8, 0)</f>
        <v>0</v>
      </c>
      <c r="S26">
        <f>IF($A26='Outil Cibles'!V$7, 'Outil Cibles'!V$8, 0)</f>
        <v>0</v>
      </c>
      <c r="T26">
        <f>IF($A26='Outil Cibles'!W$7, 'Outil Cibles'!W$8, 0)</f>
        <v>0</v>
      </c>
      <c r="U26">
        <f>IF($A26='Outil Cibles'!X$7, 'Outil Cibles'!X$8, 0)</f>
        <v>1000</v>
      </c>
      <c r="V26">
        <f>IF($A26='Outil Cibles'!Y$7, 'Outil Cibles'!Y$8, 0)</f>
        <v>0</v>
      </c>
      <c r="W26">
        <f>IF($A26='Outil Cibles'!Z$7, 'Outil Cibles'!Z$8, 0)</f>
        <v>0</v>
      </c>
      <c r="X26">
        <f t="shared" si="2"/>
        <v>1000</v>
      </c>
      <c r="Y26">
        <f t="shared" si="5"/>
        <v>8000</v>
      </c>
      <c r="AA26">
        <f t="shared" si="4"/>
        <v>4.7247957262448059</v>
      </c>
    </row>
    <row r="27" spans="1:27" x14ac:dyDescent="0.3">
      <c r="A27" s="10">
        <v>2045</v>
      </c>
      <c r="B27">
        <f>'Background graphCON'!O28+'Background graphEXPL_1.5'!O27</f>
        <v>0</v>
      </c>
      <c r="C27">
        <f>'Background graphCON'!P28+'Background graphEXPL_1.5'!P27</f>
        <v>0</v>
      </c>
      <c r="D27">
        <f>'Background graphCON'!Q28+'Background graphEXPL_1.5'!Q27</f>
        <v>0</v>
      </c>
      <c r="E27">
        <f>'Background graphCON'!R28+'Background graphEXPL_1.5'!R27</f>
        <v>0</v>
      </c>
      <c r="F27">
        <f>'Background graphCON'!S28+'Background graphEXPL_1.5'!S27</f>
        <v>0</v>
      </c>
      <c r="G27">
        <f>'Background graphCON'!T28+'Background graphEXPL_1.5'!T27</f>
        <v>0</v>
      </c>
      <c r="H27">
        <f>'Background graphCON'!U28+'Background graphEXPL_1.5'!U27</f>
        <v>0</v>
      </c>
      <c r="I27">
        <f>'Background graphCON'!V28+'Background graphEXPL_1.5'!V27</f>
        <v>0</v>
      </c>
      <c r="J27">
        <f>'Background graphCON'!W28+'Background graphEXPL_1.5'!W27</f>
        <v>0</v>
      </c>
      <c r="K27">
        <f>'Background graphCON'!X28+'Background graphEXPL_1.5'!X27</f>
        <v>0</v>
      </c>
      <c r="L27">
        <f t="shared" si="0"/>
        <v>0</v>
      </c>
      <c r="M27">
        <f t="shared" si="1"/>
        <v>37798.36580995845</v>
      </c>
      <c r="N27">
        <f>IF($A27='Outil Cibles'!Q$7, 'Outil Cibles'!Q$8, 0)</f>
        <v>0</v>
      </c>
      <c r="O27">
        <f>IF($A27='Outil Cibles'!R$7, 'Outil Cibles'!R$8, 0)</f>
        <v>0</v>
      </c>
      <c r="P27">
        <f>IF($A27='Outil Cibles'!S$7, 'Outil Cibles'!S$8, 0)</f>
        <v>0</v>
      </c>
      <c r="Q27">
        <f>IF($A27='Outil Cibles'!T$7, 'Outil Cibles'!T$8, 0)</f>
        <v>0</v>
      </c>
      <c r="R27">
        <f>IF($A27='Outil Cibles'!U$7, 'Outil Cibles'!U$8, 0)</f>
        <v>0</v>
      </c>
      <c r="S27">
        <f>IF($A27='Outil Cibles'!V$7, 'Outil Cibles'!V$8, 0)</f>
        <v>0</v>
      </c>
      <c r="T27">
        <f>IF($A27='Outil Cibles'!W$7, 'Outil Cibles'!W$8, 0)</f>
        <v>0</v>
      </c>
      <c r="U27">
        <f>IF($A27='Outil Cibles'!X$7, 'Outil Cibles'!X$8, 0)</f>
        <v>0</v>
      </c>
      <c r="V27">
        <f>IF($A27='Outil Cibles'!Y$7, 'Outil Cibles'!Y$8, 0)</f>
        <v>0</v>
      </c>
      <c r="W27">
        <f>IF($A27='Outil Cibles'!Z$7, 'Outil Cibles'!Z$8, 0)</f>
        <v>0</v>
      </c>
      <c r="X27">
        <f t="shared" si="2"/>
        <v>0</v>
      </c>
      <c r="Y27">
        <f t="shared" si="5"/>
        <v>8000</v>
      </c>
      <c r="AA27">
        <f t="shared" si="4"/>
        <v>4.7247957262448059</v>
      </c>
    </row>
    <row r="28" spans="1:27" x14ac:dyDescent="0.3">
      <c r="A28">
        <v>2046</v>
      </c>
      <c r="B28">
        <f>'Background graphCON'!O29+'Background graphEXPL_1.5'!O28</f>
        <v>0</v>
      </c>
      <c r="C28">
        <f>'Background graphCON'!P29+'Background graphEXPL_1.5'!P28</f>
        <v>0</v>
      </c>
      <c r="D28">
        <f>'Background graphCON'!Q29+'Background graphEXPL_1.5'!Q28</f>
        <v>0</v>
      </c>
      <c r="E28">
        <f>'Background graphCON'!R29+'Background graphEXPL_1.5'!R28</f>
        <v>0</v>
      </c>
      <c r="F28">
        <f>'Background graphCON'!S29+'Background graphEXPL_1.5'!S28</f>
        <v>0</v>
      </c>
      <c r="G28">
        <f>'Background graphCON'!T29+'Background graphEXPL_1.5'!T28</f>
        <v>0</v>
      </c>
      <c r="H28">
        <f>'Background graphCON'!U29+'Background graphEXPL_1.5'!U28</f>
        <v>0</v>
      </c>
      <c r="I28">
        <f>'Background graphCON'!V29+'Background graphEXPL_1.5'!V28</f>
        <v>0</v>
      </c>
      <c r="J28">
        <f>'Background graphCON'!W29+'Background graphEXPL_1.5'!W28</f>
        <v>0</v>
      </c>
      <c r="K28">
        <f>'Background graphCON'!X29+'Background graphEXPL_1.5'!X28</f>
        <v>0</v>
      </c>
      <c r="L28">
        <f t="shared" si="0"/>
        <v>0</v>
      </c>
      <c r="M28">
        <f t="shared" si="1"/>
        <v>37798.36580995845</v>
      </c>
      <c r="N28">
        <f>IF($A28='Outil Cibles'!Q$7, 'Outil Cibles'!Q$8, 0)</f>
        <v>0</v>
      </c>
      <c r="O28">
        <f>IF($A28='Outil Cibles'!R$7, 'Outil Cibles'!R$8, 0)</f>
        <v>0</v>
      </c>
      <c r="P28">
        <f>IF($A28='Outil Cibles'!S$7, 'Outil Cibles'!S$8, 0)</f>
        <v>0</v>
      </c>
      <c r="Q28">
        <f>IF($A28='Outil Cibles'!T$7, 'Outil Cibles'!T$8, 0)</f>
        <v>0</v>
      </c>
      <c r="R28">
        <f>IF($A28='Outil Cibles'!U$7, 'Outil Cibles'!U$8, 0)</f>
        <v>0</v>
      </c>
      <c r="S28">
        <f>IF($A28='Outil Cibles'!V$7, 'Outil Cibles'!V$8, 0)</f>
        <v>0</v>
      </c>
      <c r="T28">
        <f>IF($A28='Outil Cibles'!W$7, 'Outil Cibles'!W$8, 0)</f>
        <v>0</v>
      </c>
      <c r="U28">
        <f>IF($A28='Outil Cibles'!X$7, 'Outil Cibles'!X$8, 0)</f>
        <v>0</v>
      </c>
      <c r="V28">
        <f>IF($A28='Outil Cibles'!Y$7, 'Outil Cibles'!Y$8, 0)</f>
        <v>0</v>
      </c>
      <c r="W28">
        <f>IF($A28='Outil Cibles'!Z$7, 'Outil Cibles'!Z$8, 0)</f>
        <v>0</v>
      </c>
      <c r="X28">
        <f t="shared" si="2"/>
        <v>0</v>
      </c>
      <c r="Y28">
        <f t="shared" si="5"/>
        <v>8000</v>
      </c>
      <c r="AA28">
        <f t="shared" si="4"/>
        <v>4.7247957262448059</v>
      </c>
    </row>
    <row r="29" spans="1:27" x14ac:dyDescent="0.3">
      <c r="A29">
        <v>2047</v>
      </c>
      <c r="B29">
        <f>'Background graphCON'!O30+'Background graphEXPL_1.5'!O29</f>
        <v>0</v>
      </c>
      <c r="C29">
        <f>'Background graphCON'!P30+'Background graphEXPL_1.5'!P29</f>
        <v>0</v>
      </c>
      <c r="D29">
        <f>'Background graphCON'!Q30+'Background graphEXPL_1.5'!Q29</f>
        <v>0</v>
      </c>
      <c r="E29">
        <f>'Background graphCON'!R30+'Background graphEXPL_1.5'!R29</f>
        <v>0</v>
      </c>
      <c r="F29">
        <f>'Background graphCON'!S30+'Background graphEXPL_1.5'!S29</f>
        <v>0</v>
      </c>
      <c r="G29">
        <f>'Background graphCON'!T30+'Background graphEXPL_1.5'!T29</f>
        <v>0</v>
      </c>
      <c r="H29">
        <f>'Background graphCON'!U30+'Background graphEXPL_1.5'!U29</f>
        <v>0</v>
      </c>
      <c r="I29">
        <f>'Background graphCON'!V30+'Background graphEXPL_1.5'!V29</f>
        <v>0</v>
      </c>
      <c r="J29">
        <f>'Background graphCON'!W30+'Background graphEXPL_1.5'!W29</f>
        <v>0</v>
      </c>
      <c r="K29">
        <f>'Background graphCON'!X30+'Background graphEXPL_1.5'!X29</f>
        <v>0</v>
      </c>
      <c r="L29">
        <f t="shared" si="0"/>
        <v>0</v>
      </c>
      <c r="M29">
        <f t="shared" si="1"/>
        <v>37798.36580995845</v>
      </c>
      <c r="N29">
        <f>IF($A29='Outil Cibles'!Q$7, 'Outil Cibles'!Q$8, 0)</f>
        <v>0</v>
      </c>
      <c r="O29">
        <f>IF($A29='Outil Cibles'!R$7, 'Outil Cibles'!R$8, 0)</f>
        <v>0</v>
      </c>
      <c r="P29">
        <f>IF($A29='Outil Cibles'!S$7, 'Outil Cibles'!S$8, 0)</f>
        <v>0</v>
      </c>
      <c r="Q29">
        <f>IF($A29='Outil Cibles'!T$7, 'Outil Cibles'!T$8, 0)</f>
        <v>0</v>
      </c>
      <c r="R29">
        <f>IF($A29='Outil Cibles'!U$7, 'Outil Cibles'!U$8, 0)</f>
        <v>0</v>
      </c>
      <c r="S29">
        <f>IF($A29='Outil Cibles'!V$7, 'Outil Cibles'!V$8, 0)</f>
        <v>0</v>
      </c>
      <c r="T29">
        <f>IF($A29='Outil Cibles'!W$7, 'Outil Cibles'!W$8, 0)</f>
        <v>0</v>
      </c>
      <c r="U29">
        <f>IF($A29='Outil Cibles'!X$7, 'Outil Cibles'!X$8, 0)</f>
        <v>0</v>
      </c>
      <c r="V29">
        <f>IF($A29='Outil Cibles'!Y$7, 'Outil Cibles'!Y$8, 0)</f>
        <v>0</v>
      </c>
      <c r="W29">
        <f>IF($A29='Outil Cibles'!Z$7, 'Outil Cibles'!Z$8, 0)</f>
        <v>0</v>
      </c>
      <c r="X29">
        <f t="shared" si="2"/>
        <v>0</v>
      </c>
      <c r="Y29">
        <f t="shared" si="5"/>
        <v>8000</v>
      </c>
      <c r="AA29">
        <f t="shared" si="4"/>
        <v>4.7247957262448059</v>
      </c>
    </row>
    <row r="30" spans="1:27" x14ac:dyDescent="0.3">
      <c r="A30">
        <v>2048</v>
      </c>
      <c r="B30">
        <f>'Background graphCON'!O31+'Background graphEXPL_1.5'!O30</f>
        <v>0</v>
      </c>
      <c r="C30">
        <f>'Background graphCON'!P31+'Background graphEXPL_1.5'!P30</f>
        <v>0</v>
      </c>
      <c r="D30">
        <f>'Background graphCON'!Q31+'Background graphEXPL_1.5'!Q30</f>
        <v>0</v>
      </c>
      <c r="E30">
        <f>'Background graphCON'!R31+'Background graphEXPL_1.5'!R30</f>
        <v>0</v>
      </c>
      <c r="F30">
        <f>'Background graphCON'!S31+'Background graphEXPL_1.5'!S30</f>
        <v>0</v>
      </c>
      <c r="G30">
        <f>'Background graphCON'!T31+'Background graphEXPL_1.5'!T30</f>
        <v>0</v>
      </c>
      <c r="H30">
        <f>'Background graphCON'!U31+'Background graphEXPL_1.5'!U30</f>
        <v>0</v>
      </c>
      <c r="I30">
        <f>'Background graphCON'!V31+'Background graphEXPL_1.5'!V30</f>
        <v>0</v>
      </c>
      <c r="J30">
        <f>'Background graphCON'!W31+'Background graphEXPL_1.5'!W30</f>
        <v>86520.468331042226</v>
      </c>
      <c r="K30">
        <f>'Background graphCON'!X31+'Background graphEXPL_1.5'!X30</f>
        <v>0</v>
      </c>
      <c r="L30">
        <f t="shared" si="0"/>
        <v>86520.468331042226</v>
      </c>
      <c r="M30">
        <f t="shared" si="1"/>
        <v>39240.373615475823</v>
      </c>
      <c r="N30">
        <f>IF($A30='Outil Cibles'!Q$7, 'Outil Cibles'!Q$8, 0)</f>
        <v>0</v>
      </c>
      <c r="O30">
        <f>IF($A30='Outil Cibles'!R$7, 'Outil Cibles'!R$8, 0)</f>
        <v>0</v>
      </c>
      <c r="P30">
        <f>IF($A30='Outil Cibles'!S$7, 'Outil Cibles'!S$8, 0)</f>
        <v>0</v>
      </c>
      <c r="Q30">
        <f>IF($A30='Outil Cibles'!T$7, 'Outil Cibles'!T$8, 0)</f>
        <v>0</v>
      </c>
      <c r="R30">
        <f>IF($A30='Outil Cibles'!U$7, 'Outil Cibles'!U$8, 0)</f>
        <v>0</v>
      </c>
      <c r="S30">
        <f>IF($A30='Outil Cibles'!V$7, 'Outil Cibles'!V$8, 0)</f>
        <v>0</v>
      </c>
      <c r="T30">
        <f>IF($A30='Outil Cibles'!W$7, 'Outil Cibles'!W$8, 0)</f>
        <v>0</v>
      </c>
      <c r="U30">
        <f>IF($A30='Outil Cibles'!X$7, 'Outil Cibles'!X$8, 0)</f>
        <v>0</v>
      </c>
      <c r="V30">
        <f>IF($A30='Outil Cibles'!Y$7, 'Outil Cibles'!Y$8, 0)</f>
        <v>1000</v>
      </c>
      <c r="W30">
        <f>IF($A30='Outil Cibles'!Z$7, 'Outil Cibles'!Z$8, 0)</f>
        <v>0</v>
      </c>
      <c r="X30">
        <f t="shared" si="2"/>
        <v>1000</v>
      </c>
      <c r="Y30">
        <f t="shared" si="5"/>
        <v>9000</v>
      </c>
      <c r="AA30">
        <f t="shared" si="4"/>
        <v>4.3600415128306471</v>
      </c>
    </row>
    <row r="31" spans="1:27" x14ac:dyDescent="0.3">
      <c r="A31">
        <v>2049</v>
      </c>
      <c r="B31">
        <f>'Background graphCON'!O32+'Background graphEXPL_1.5'!O31</f>
        <v>0</v>
      </c>
      <c r="C31">
        <f>'Background graphCON'!P32+'Background graphEXPL_1.5'!P31</f>
        <v>0</v>
      </c>
      <c r="D31">
        <f>'Background graphCON'!Q32+'Background graphEXPL_1.5'!Q31</f>
        <v>0</v>
      </c>
      <c r="E31">
        <f>'Background graphCON'!R32+'Background graphEXPL_1.5'!R31</f>
        <v>0</v>
      </c>
      <c r="F31">
        <f>'Background graphCON'!S32+'Background graphEXPL_1.5'!S31</f>
        <v>0</v>
      </c>
      <c r="G31">
        <f>'Background graphCON'!T32+'Background graphEXPL_1.5'!T31</f>
        <v>0</v>
      </c>
      <c r="H31">
        <f>'Background graphCON'!U32+'Background graphEXPL_1.5'!U31</f>
        <v>0</v>
      </c>
      <c r="I31">
        <f>'Background graphCON'!V32+'Background graphEXPL_1.5'!V31</f>
        <v>0</v>
      </c>
      <c r="J31">
        <f>'Background graphCON'!W32+'Background graphEXPL_1.5'!W31</f>
        <v>0</v>
      </c>
      <c r="K31">
        <f>'Background graphCON'!X32+'Background graphEXPL_1.5'!X31</f>
        <v>0</v>
      </c>
      <c r="L31">
        <f t="shared" si="0"/>
        <v>0</v>
      </c>
      <c r="M31">
        <f t="shared" si="1"/>
        <v>39240.373615475823</v>
      </c>
      <c r="N31">
        <f>IF($A31='Outil Cibles'!Q$7, 'Outil Cibles'!Q$8, 0)</f>
        <v>0</v>
      </c>
      <c r="O31">
        <f>IF($A31='Outil Cibles'!R$7, 'Outil Cibles'!R$8, 0)</f>
        <v>0</v>
      </c>
      <c r="P31">
        <f>IF($A31='Outil Cibles'!S$7, 'Outil Cibles'!S$8, 0)</f>
        <v>0</v>
      </c>
      <c r="Q31">
        <f>IF($A31='Outil Cibles'!T$7, 'Outil Cibles'!T$8, 0)</f>
        <v>0</v>
      </c>
      <c r="R31">
        <f>IF($A31='Outil Cibles'!U$7, 'Outil Cibles'!U$8, 0)</f>
        <v>0</v>
      </c>
      <c r="S31">
        <f>IF($A31='Outil Cibles'!V$7, 'Outil Cibles'!V$8, 0)</f>
        <v>0</v>
      </c>
      <c r="T31">
        <f>IF($A31='Outil Cibles'!W$7, 'Outil Cibles'!W$8, 0)</f>
        <v>0</v>
      </c>
      <c r="U31">
        <f>IF($A31='Outil Cibles'!X$7, 'Outil Cibles'!X$8, 0)</f>
        <v>0</v>
      </c>
      <c r="V31">
        <f>IF($A31='Outil Cibles'!Y$7, 'Outil Cibles'!Y$8, 0)</f>
        <v>0</v>
      </c>
      <c r="W31">
        <f>IF($A31='Outil Cibles'!Z$7, 'Outil Cibles'!Z$8, 0)</f>
        <v>0</v>
      </c>
      <c r="X31">
        <f t="shared" si="2"/>
        <v>0</v>
      </c>
      <c r="Y31">
        <f t="shared" si="5"/>
        <v>9000</v>
      </c>
      <c r="AA31">
        <f t="shared" si="4"/>
        <v>4.3600415128306471</v>
      </c>
    </row>
    <row r="32" spans="1:27" x14ac:dyDescent="0.3">
      <c r="A32" s="10">
        <v>2050</v>
      </c>
      <c r="B32">
        <f>'Background graphCON'!O33+'Background graphEXPL_1.5'!O32</f>
        <v>0</v>
      </c>
      <c r="C32">
        <f>'Background graphCON'!P33+'Background graphEXPL_1.5'!P32</f>
        <v>0</v>
      </c>
      <c r="D32">
        <f>'Background graphCON'!Q33+'Background graphEXPL_1.5'!Q32</f>
        <v>0</v>
      </c>
      <c r="E32">
        <f>'Background graphCON'!R33+'Background graphEXPL_1.5'!R32</f>
        <v>0</v>
      </c>
      <c r="F32">
        <f>'Background graphCON'!S33+'Background graphEXPL_1.5'!S32</f>
        <v>0</v>
      </c>
      <c r="G32">
        <f>'Background graphCON'!T33+'Background graphEXPL_1.5'!T32</f>
        <v>0</v>
      </c>
      <c r="H32">
        <f>'Background graphCON'!U33+'Background graphEXPL_1.5'!U32</f>
        <v>0</v>
      </c>
      <c r="I32">
        <f>'Background graphCON'!V33+'Background graphEXPL_1.5'!V32</f>
        <v>0</v>
      </c>
      <c r="J32">
        <f>'Background graphCON'!W33+'Background graphEXPL_1.5'!W32</f>
        <v>0</v>
      </c>
      <c r="K32">
        <f>'Background graphCON'!X33+'Background graphEXPL_1.5'!X32</f>
        <v>74196.598619472104</v>
      </c>
      <c r="L32">
        <f t="shared" si="0"/>
        <v>74196.598619472104</v>
      </c>
      <c r="M32">
        <f t="shared" si="1"/>
        <v>40476.983592467026</v>
      </c>
      <c r="N32">
        <f>IF($A32='Outil Cibles'!Q$7, 'Outil Cibles'!Q$8, 0)</f>
        <v>0</v>
      </c>
      <c r="O32">
        <f>IF($A32='Outil Cibles'!R$7, 'Outil Cibles'!R$8, 0)</f>
        <v>0</v>
      </c>
      <c r="P32">
        <f>IF($A32='Outil Cibles'!S$7, 'Outil Cibles'!S$8, 0)</f>
        <v>0</v>
      </c>
      <c r="Q32">
        <f>IF($A32='Outil Cibles'!T$7, 'Outil Cibles'!T$8, 0)</f>
        <v>0</v>
      </c>
      <c r="R32">
        <f>IF($A32='Outil Cibles'!U$7, 'Outil Cibles'!U$8, 0)</f>
        <v>0</v>
      </c>
      <c r="S32">
        <f>IF($A32='Outil Cibles'!V$7, 'Outil Cibles'!V$8, 0)</f>
        <v>0</v>
      </c>
      <c r="T32">
        <f>IF($A32='Outil Cibles'!W$7, 'Outil Cibles'!W$8, 0)</f>
        <v>0</v>
      </c>
      <c r="U32">
        <f>IF($A32='Outil Cibles'!X$7, 'Outil Cibles'!X$8, 0)</f>
        <v>0</v>
      </c>
      <c r="V32">
        <f>IF($A32='Outil Cibles'!Y$7, 'Outil Cibles'!Y$8, 0)</f>
        <v>0</v>
      </c>
      <c r="W32">
        <f>IF($A32='Outil Cibles'!Z$7, 'Outil Cibles'!Z$8, 0)</f>
        <v>1000</v>
      </c>
      <c r="X32">
        <f t="shared" si="2"/>
        <v>1000</v>
      </c>
      <c r="Y32">
        <f t="shared" si="5"/>
        <v>10000</v>
      </c>
      <c r="AA32">
        <f>M32/Y32</f>
        <v>4.0476983592467022</v>
      </c>
    </row>
    <row r="33" spans="1:1" x14ac:dyDescent="0.3">
      <c r="A33">
        <v>2051</v>
      </c>
    </row>
    <row r="34" spans="1:1" x14ac:dyDescent="0.3">
      <c r="A34">
        <v>2052</v>
      </c>
    </row>
    <row r="35" spans="1:1" x14ac:dyDescent="0.3">
      <c r="A35">
        <v>2053</v>
      </c>
    </row>
    <row r="36" spans="1:1" x14ac:dyDescent="0.3">
      <c r="A36" s="10">
        <v>2054</v>
      </c>
    </row>
    <row r="37" spans="1:1" x14ac:dyDescent="0.3">
      <c r="A37">
        <v>2055</v>
      </c>
    </row>
    <row r="38" spans="1:1" x14ac:dyDescent="0.3">
      <c r="A38">
        <v>2056</v>
      </c>
    </row>
    <row r="39" spans="1:1" x14ac:dyDescent="0.3">
      <c r="A39">
        <v>2057</v>
      </c>
    </row>
    <row r="40" spans="1:1" x14ac:dyDescent="0.3">
      <c r="A40" s="10">
        <v>2058</v>
      </c>
    </row>
    <row r="41" spans="1:1" x14ac:dyDescent="0.3">
      <c r="A41">
        <v>2059</v>
      </c>
    </row>
    <row r="42" spans="1:1" x14ac:dyDescent="0.3">
      <c r="A42">
        <v>2060</v>
      </c>
    </row>
    <row r="43" spans="1:1" x14ac:dyDescent="0.3">
      <c r="A43">
        <v>2061</v>
      </c>
    </row>
    <row r="44" spans="1:1" x14ac:dyDescent="0.3">
      <c r="A44" s="10">
        <v>2062</v>
      </c>
    </row>
    <row r="45" spans="1:1" x14ac:dyDescent="0.3">
      <c r="A45">
        <v>2063</v>
      </c>
    </row>
    <row r="46" spans="1:1" x14ac:dyDescent="0.3">
      <c r="A46">
        <v>2064</v>
      </c>
    </row>
    <row r="47" spans="1:1" x14ac:dyDescent="0.3">
      <c r="A47">
        <v>2065</v>
      </c>
    </row>
    <row r="48" spans="1:1" x14ac:dyDescent="0.3">
      <c r="A48" s="10">
        <v>2066</v>
      </c>
    </row>
    <row r="49" spans="1:1" x14ac:dyDescent="0.3">
      <c r="A49">
        <v>2067</v>
      </c>
    </row>
    <row r="50" spans="1:1" x14ac:dyDescent="0.3">
      <c r="A50">
        <v>2068</v>
      </c>
    </row>
    <row r="51" spans="1:1" x14ac:dyDescent="0.3">
      <c r="A51">
        <v>2069</v>
      </c>
    </row>
    <row r="52" spans="1:1" x14ac:dyDescent="0.3">
      <c r="A52">
        <v>2070</v>
      </c>
    </row>
    <row r="53" spans="1:1" x14ac:dyDescent="0.3">
      <c r="A53">
        <v>2071</v>
      </c>
    </row>
    <row r="54" spans="1:1" x14ac:dyDescent="0.3">
      <c r="A54">
        <v>2072</v>
      </c>
    </row>
    <row r="55" spans="1:1" x14ac:dyDescent="0.3">
      <c r="A55" s="10">
        <v>2073</v>
      </c>
    </row>
    <row r="56" spans="1:1" x14ac:dyDescent="0.3">
      <c r="A56">
        <v>2074</v>
      </c>
    </row>
    <row r="57" spans="1:1" x14ac:dyDescent="0.3">
      <c r="A57">
        <v>2075</v>
      </c>
    </row>
    <row r="58" spans="1:1" x14ac:dyDescent="0.3">
      <c r="A58">
        <v>2076</v>
      </c>
    </row>
    <row r="59" spans="1:1" x14ac:dyDescent="0.3">
      <c r="A59" s="10">
        <v>2077</v>
      </c>
    </row>
    <row r="60" spans="1:1" x14ac:dyDescent="0.3">
      <c r="A60">
        <v>2078</v>
      </c>
    </row>
    <row r="61" spans="1:1" x14ac:dyDescent="0.3">
      <c r="A61">
        <v>2079</v>
      </c>
    </row>
    <row r="62" spans="1:1" x14ac:dyDescent="0.3">
      <c r="A62">
        <v>2080</v>
      </c>
    </row>
    <row r="63" spans="1:1" x14ac:dyDescent="0.3">
      <c r="A63" s="10">
        <v>2081</v>
      </c>
    </row>
    <row r="64" spans="1:1" x14ac:dyDescent="0.3">
      <c r="A64">
        <v>2082</v>
      </c>
    </row>
    <row r="65" spans="1:1" x14ac:dyDescent="0.3">
      <c r="A65">
        <v>2083</v>
      </c>
    </row>
    <row r="66" spans="1:1" x14ac:dyDescent="0.3">
      <c r="A66">
        <v>2084</v>
      </c>
    </row>
    <row r="67" spans="1:1" x14ac:dyDescent="0.3">
      <c r="A67" s="10">
        <v>2085</v>
      </c>
    </row>
    <row r="68" spans="1:1" x14ac:dyDescent="0.3">
      <c r="A68">
        <v>2086</v>
      </c>
    </row>
    <row r="69" spans="1:1" x14ac:dyDescent="0.3">
      <c r="A69">
        <v>2087</v>
      </c>
    </row>
    <row r="70" spans="1:1" x14ac:dyDescent="0.3">
      <c r="A70">
        <v>2088</v>
      </c>
    </row>
    <row r="71" spans="1:1" x14ac:dyDescent="0.3">
      <c r="A71" s="10">
        <v>2089</v>
      </c>
    </row>
    <row r="72" spans="1:1" x14ac:dyDescent="0.3">
      <c r="A72">
        <v>2090</v>
      </c>
    </row>
    <row r="73" spans="1:1" x14ac:dyDescent="0.3">
      <c r="A73">
        <v>2091</v>
      </c>
    </row>
    <row r="74" spans="1:1" x14ac:dyDescent="0.3">
      <c r="A74">
        <v>2092</v>
      </c>
    </row>
    <row r="75" spans="1:1" x14ac:dyDescent="0.3">
      <c r="A75">
        <v>2093</v>
      </c>
    </row>
    <row r="76" spans="1:1" x14ac:dyDescent="0.3">
      <c r="A76">
        <v>2094</v>
      </c>
    </row>
    <row r="77" spans="1:1" x14ac:dyDescent="0.3">
      <c r="A77">
        <v>2095</v>
      </c>
    </row>
    <row r="78" spans="1:1" x14ac:dyDescent="0.3">
      <c r="A78">
        <v>2096</v>
      </c>
    </row>
    <row r="79" spans="1:1" x14ac:dyDescent="0.3">
      <c r="A79">
        <v>2097</v>
      </c>
    </row>
    <row r="80" spans="1:1" x14ac:dyDescent="0.3">
      <c r="A80" s="10">
        <v>2098</v>
      </c>
    </row>
    <row r="81" spans="1:1" x14ac:dyDescent="0.3">
      <c r="A81">
        <v>2099</v>
      </c>
    </row>
    <row r="82" spans="1:1" x14ac:dyDescent="0.3">
      <c r="A82">
        <v>2100</v>
      </c>
    </row>
  </sheetData>
  <sheetProtection algorithmName="SHA-512" hashValue="Pyk5XPybGcpkYwUwoSLIXfx53q29bfW3kD2ccPpsu19mqIWHCBQ5yxPeaezYd8AEV8TC3Vl/OpG7DM66PLqDBQ==" saltValue="c+oGiQo7GW2wE5Ln9T18j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5"/>
  <sheetViews>
    <sheetView topLeftCell="A44" zoomScale="70" zoomScaleNormal="70" workbookViewId="0">
      <selection activeCell="K69" sqref="K69"/>
    </sheetView>
  </sheetViews>
  <sheetFormatPr baseColWidth="10" defaultColWidth="8.88671875" defaultRowHeight="14.4" x14ac:dyDescent="0.3"/>
  <cols>
    <col min="1" max="1" width="23.6640625" customWidth="1"/>
    <col min="2" max="2" width="22" customWidth="1"/>
    <col min="4" max="4" width="10.33203125" customWidth="1"/>
    <col min="5" max="5" width="10.88671875" customWidth="1"/>
    <col min="6" max="6" width="6.109375" customWidth="1"/>
    <col min="7" max="7" width="11.6640625" customWidth="1"/>
    <col min="8" max="8" width="12.88671875" customWidth="1"/>
    <col min="9" max="9" width="13.5546875" customWidth="1"/>
    <col min="10" max="10" width="8.33203125" customWidth="1"/>
    <col min="11" max="11" width="12.109375" customWidth="1"/>
    <col min="12" max="12" width="15.33203125" customWidth="1"/>
  </cols>
  <sheetData>
    <row r="1" spans="1:7" ht="15" thickBot="1" x14ac:dyDescent="0.35">
      <c r="A1" s="1" t="s">
        <v>73</v>
      </c>
      <c r="B1" s="35" t="s">
        <v>74</v>
      </c>
    </row>
    <row r="2" spans="1:7" ht="57.6" x14ac:dyDescent="0.3">
      <c r="A2" s="81" t="s">
        <v>75</v>
      </c>
      <c r="B2" s="78" t="s">
        <v>76</v>
      </c>
      <c r="C2" s="305" t="s">
        <v>77</v>
      </c>
      <c r="D2" s="305"/>
      <c r="E2" s="305"/>
      <c r="F2" s="305"/>
      <c r="G2" s="306"/>
    </row>
    <row r="3" spans="1:7" x14ac:dyDescent="0.3">
      <c r="A3" s="126"/>
      <c r="B3" s="47"/>
      <c r="C3" s="307" t="s">
        <v>78</v>
      </c>
      <c r="D3" s="307"/>
      <c r="E3" s="307"/>
      <c r="F3" s="307"/>
      <c r="G3" s="308"/>
    </row>
    <row r="4" spans="1:7" x14ac:dyDescent="0.3">
      <c r="A4" s="2" t="s">
        <v>79</v>
      </c>
      <c r="B4" t="s">
        <v>79</v>
      </c>
      <c r="C4" s="3">
        <v>0.17</v>
      </c>
      <c r="D4" s="3">
        <v>0.33</v>
      </c>
      <c r="E4" s="3">
        <v>0.5</v>
      </c>
      <c r="F4" s="3">
        <v>0.67</v>
      </c>
      <c r="G4" s="4">
        <v>0.83</v>
      </c>
    </row>
    <row r="5" spans="1:7" x14ac:dyDescent="0.3">
      <c r="A5" s="2">
        <v>1.5</v>
      </c>
      <c r="B5">
        <v>0.43</v>
      </c>
      <c r="C5" s="62">
        <v>900</v>
      </c>
      <c r="D5" s="62">
        <v>650</v>
      </c>
      <c r="E5" s="62">
        <v>500</v>
      </c>
      <c r="F5" s="61">
        <v>400</v>
      </c>
      <c r="G5" s="134">
        <v>300</v>
      </c>
    </row>
    <row r="6" spans="1:7" x14ac:dyDescent="0.3">
      <c r="A6" s="2">
        <v>1.7</v>
      </c>
      <c r="B6">
        <v>0.63</v>
      </c>
      <c r="C6" s="62">
        <v>1450</v>
      </c>
      <c r="D6" s="62">
        <v>1050</v>
      </c>
      <c r="E6" s="62">
        <v>850</v>
      </c>
      <c r="F6" s="62">
        <v>700</v>
      </c>
      <c r="G6" s="68">
        <v>550</v>
      </c>
    </row>
    <row r="7" spans="1:7" ht="15" thickBot="1" x14ac:dyDescent="0.35">
      <c r="A7" s="6">
        <v>2</v>
      </c>
      <c r="B7" s="7">
        <v>0.93</v>
      </c>
      <c r="C7" s="86">
        <v>2300</v>
      </c>
      <c r="D7" s="86">
        <v>1700</v>
      </c>
      <c r="E7" s="86">
        <v>1350</v>
      </c>
      <c r="F7" s="133">
        <v>1150</v>
      </c>
      <c r="G7" s="135">
        <v>900</v>
      </c>
    </row>
    <row r="8" spans="1:7" ht="15" thickBot="1" x14ac:dyDescent="0.35">
      <c r="A8" s="1" t="s">
        <v>65</v>
      </c>
    </row>
    <row r="9" spans="1:7" x14ac:dyDescent="0.3">
      <c r="A9" s="17" t="s">
        <v>80</v>
      </c>
      <c r="B9" s="310" t="s">
        <v>81</v>
      </c>
      <c r="C9" s="310"/>
      <c r="D9" s="310"/>
      <c r="E9" s="310"/>
      <c r="F9" s="310"/>
      <c r="G9" s="311"/>
    </row>
    <row r="10" spans="1:7" ht="15" thickBot="1" x14ac:dyDescent="0.35">
      <c r="A10" s="6">
        <v>2020</v>
      </c>
      <c r="B10" s="137">
        <v>7753000000</v>
      </c>
      <c r="C10" s="7"/>
      <c r="D10" s="7"/>
      <c r="E10" s="7"/>
      <c r="F10" s="7"/>
      <c r="G10" s="8"/>
    </row>
    <row r="11" spans="1:7" ht="15" thickBot="1" x14ac:dyDescent="0.35">
      <c r="A11" s="2"/>
      <c r="C11" s="299" t="s">
        <v>82</v>
      </c>
      <c r="D11" s="290"/>
      <c r="E11" s="290"/>
      <c r="F11" s="290"/>
      <c r="G11" s="292"/>
    </row>
    <row r="12" spans="1:7" x14ac:dyDescent="0.3">
      <c r="A12" s="17" t="s">
        <v>83</v>
      </c>
      <c r="B12" s="22" t="s">
        <v>84</v>
      </c>
      <c r="C12" s="2"/>
      <c r="G12" s="5"/>
    </row>
    <row r="13" spans="1:7" ht="15" thickBot="1" x14ac:dyDescent="0.35">
      <c r="A13" s="6">
        <v>2020</v>
      </c>
      <c r="B13" s="86">
        <v>8670300</v>
      </c>
      <c r="C13" s="312">
        <f>B13/B10</f>
        <v>1.1183154907777634E-3</v>
      </c>
      <c r="D13" s="313"/>
      <c r="E13" s="313"/>
      <c r="F13" s="313"/>
      <c r="G13" s="314"/>
    </row>
    <row r="15" spans="1:7" ht="15" thickBot="1" x14ac:dyDescent="0.35">
      <c r="A15" s="1" t="s">
        <v>85</v>
      </c>
    </row>
    <row r="16" spans="1:7" x14ac:dyDescent="0.3">
      <c r="A16" s="17"/>
      <c r="B16" s="290" t="s">
        <v>86</v>
      </c>
      <c r="C16" s="292"/>
    </row>
    <row r="17" spans="1:13" x14ac:dyDescent="0.3">
      <c r="A17" s="19" t="s">
        <v>87</v>
      </c>
      <c r="B17" s="3">
        <v>0.67</v>
      </c>
      <c r="C17" s="4">
        <v>0.83</v>
      </c>
    </row>
    <row r="18" spans="1:13" x14ac:dyDescent="0.3">
      <c r="A18" s="2" t="s">
        <v>88</v>
      </c>
      <c r="B18" s="136">
        <f>($C$13*F5)*1000</f>
        <v>447.32619631110538</v>
      </c>
      <c r="C18" s="109">
        <f>($C$13*G5)*1000</f>
        <v>335.49464723332898</v>
      </c>
    </row>
    <row r="19" spans="1:13" ht="15" thickBot="1" x14ac:dyDescent="0.35">
      <c r="A19" s="6" t="s">
        <v>89</v>
      </c>
      <c r="B19" s="110">
        <f>($C$13*F7)*1000</f>
        <v>1286.062814394428</v>
      </c>
      <c r="C19" s="111">
        <f>($C$13*G7)*1000</f>
        <v>1006.4839416999871</v>
      </c>
    </row>
    <row r="20" spans="1:13" ht="15" thickBot="1" x14ac:dyDescent="0.35">
      <c r="I20" s="299" t="s">
        <v>90</v>
      </c>
      <c r="J20" s="292"/>
      <c r="K20" s="17" t="s">
        <v>91</v>
      </c>
      <c r="L20" s="18"/>
    </row>
    <row r="21" spans="1:13" ht="15" thickBot="1" x14ac:dyDescent="0.35">
      <c r="A21" s="1" t="s">
        <v>92</v>
      </c>
      <c r="F21" t="s">
        <v>93</v>
      </c>
      <c r="I21" s="128">
        <v>1.5</v>
      </c>
      <c r="J21" s="128">
        <v>2</v>
      </c>
      <c r="K21" s="128">
        <v>1.5</v>
      </c>
      <c r="L21" s="128">
        <v>2</v>
      </c>
    </row>
    <row r="22" spans="1:13" ht="57.6" x14ac:dyDescent="0.3">
      <c r="A22" s="21"/>
      <c r="B22" s="78" t="s">
        <v>94</v>
      </c>
      <c r="C22" s="78" t="s">
        <v>95</v>
      </c>
      <c r="D22" s="78" t="s">
        <v>96</v>
      </c>
      <c r="E22" s="78" t="s">
        <v>97</v>
      </c>
      <c r="F22" s="78" t="s">
        <v>98</v>
      </c>
      <c r="G22" s="78" t="s">
        <v>99</v>
      </c>
      <c r="H22" s="78"/>
      <c r="I22" s="315" t="s">
        <v>100</v>
      </c>
      <c r="J22" s="316"/>
      <c r="K22" s="315" t="s">
        <v>100</v>
      </c>
      <c r="L22" s="316"/>
    </row>
    <row r="23" spans="1:13" x14ac:dyDescent="0.3">
      <c r="A23" s="2" t="s">
        <v>101</v>
      </c>
      <c r="B23" s="87">
        <f>SUM(B24:B27)</f>
        <v>46.381919857082117</v>
      </c>
      <c r="C23" s="29"/>
      <c r="D23" s="87">
        <f>SUM(D24:D27)</f>
        <v>11.733107969765589</v>
      </c>
      <c r="F23" s="87">
        <f>SUM(F24:F27)</f>
        <v>898.18662800775178</v>
      </c>
      <c r="I23" s="130">
        <f t="shared" ref="I23:L23" si="0">SUM(I24:I27)</f>
        <v>447.32619631110538</v>
      </c>
      <c r="J23" s="130">
        <f t="shared" si="0"/>
        <v>1286.062814394428</v>
      </c>
      <c r="K23" s="130">
        <f t="shared" si="0"/>
        <v>517.6848956988963</v>
      </c>
      <c r="L23" s="130">
        <f t="shared" si="0"/>
        <v>1356.4215137822189</v>
      </c>
      <c r="M23" s="34"/>
    </row>
    <row r="24" spans="1:13" x14ac:dyDescent="0.3">
      <c r="A24" s="2" t="s">
        <v>102</v>
      </c>
      <c r="B24" s="87">
        <f>'Swiss Climate Strategy'!C36</f>
        <v>11.469993986771833</v>
      </c>
      <c r="C24" s="30">
        <f>B24/$B$23</f>
        <v>0.24729450661194363</v>
      </c>
      <c r="D24" s="88">
        <f>'Swiss Climate Strategy'!C67</f>
        <v>0.36479730392402265</v>
      </c>
      <c r="E24" s="112">
        <f>D24/$D$23</f>
        <v>3.1091276485654875E-2</v>
      </c>
      <c r="F24" s="87">
        <f>SUM('Swiss Climate Strategy'!C37:C67)</f>
        <v>152.04653320947321</v>
      </c>
      <c r="G24" s="112">
        <f>F24/$F$23</f>
        <v>0.16928167094485064</v>
      </c>
      <c r="H24" s="25"/>
      <c r="I24" s="113">
        <f>G24*$B$18</f>
        <v>75.724125968948201</v>
      </c>
      <c r="J24" s="113">
        <f>G24*$B$19</f>
        <v>217.70686216072608</v>
      </c>
      <c r="K24" s="138">
        <f>I24+($G$24*(-$F$31))</f>
        <v>87.634564166819885</v>
      </c>
      <c r="L24" s="113">
        <f>J24+(G24*(-$F$31))</f>
        <v>229.61730035859776</v>
      </c>
      <c r="M24" s="34" t="s">
        <v>103</v>
      </c>
    </row>
    <row r="25" spans="1:13" x14ac:dyDescent="0.3">
      <c r="A25" s="2" t="s">
        <v>59</v>
      </c>
      <c r="B25" s="87">
        <f>'Swiss Climate Strategy'!D36</f>
        <v>14.932576255197484</v>
      </c>
      <c r="C25" s="30">
        <f t="shared" ref="C25:C27" si="1">B25/$B$23</f>
        <v>0.32194821389907191</v>
      </c>
      <c r="D25" s="88">
        <f>'Swiss Climate Strategy'!D67</f>
        <v>2.6855579594919368E-2</v>
      </c>
      <c r="E25" s="112">
        <f t="shared" ref="E25:E27" si="2">D25/$D$23</f>
        <v>2.2888717690250577E-3</v>
      </c>
      <c r="F25" s="87">
        <f>SUM('Swiss Climate Strategy'!D37:D67)</f>
        <v>259.11788308166552</v>
      </c>
      <c r="G25" s="112">
        <f t="shared" ref="G25:G27" si="3">F25/$F$23</f>
        <v>0.28849002534852836</v>
      </c>
      <c r="H25" s="25"/>
      <c r="I25" s="113">
        <f>G25*$B$18</f>
        <v>129.04914571285155</v>
      </c>
      <c r="J25" s="113">
        <f>G25*$B$19</f>
        <v>371.01629392444823</v>
      </c>
      <c r="K25" s="113">
        <f>I25+(G25*(-$F$31))</f>
        <v>149.34692868272484</v>
      </c>
      <c r="L25" s="113">
        <f>J25+(G25*(-$F$31))</f>
        <v>391.31407689432154</v>
      </c>
    </row>
    <row r="26" spans="1:13" x14ac:dyDescent="0.3">
      <c r="A26" s="2" t="s">
        <v>104</v>
      </c>
      <c r="B26" s="87">
        <f>'Swiss Climate Strategy'!E36</f>
        <v>11.072146466152489</v>
      </c>
      <c r="C26" s="30">
        <f t="shared" si="1"/>
        <v>0.23871686424946181</v>
      </c>
      <c r="D26" s="88">
        <f>'Swiss Climate Strategy'!E67</f>
        <v>3.7223893476473737</v>
      </c>
      <c r="E26" s="112">
        <f t="shared" si="2"/>
        <v>0.31725518568817379</v>
      </c>
      <c r="F26" s="87">
        <f>SUM('Swiss Climate Strategy'!E37:E67)</f>
        <v>232.19876701616323</v>
      </c>
      <c r="G26" s="112">
        <f t="shared" si="3"/>
        <v>0.25851951006128676</v>
      </c>
      <c r="H26" s="25"/>
      <c r="I26" s="113">
        <f>G26*$B$18</f>
        <v>115.64254910792594</v>
      </c>
      <c r="J26" s="113">
        <f>G26*$B$19</f>
        <v>332.4723286852871</v>
      </c>
      <c r="K26" s="138">
        <f>I26+(G26*(-$F$31))</f>
        <v>133.831645602207</v>
      </c>
      <c r="L26" s="113">
        <f>J26+(G26*(-$F$31))</f>
        <v>350.66142517956814</v>
      </c>
    </row>
    <row r="27" spans="1:13" x14ac:dyDescent="0.3">
      <c r="A27" s="2" t="s">
        <v>105</v>
      </c>
      <c r="B27" s="87">
        <f>'Swiss Climate Strategy'!F36</f>
        <v>8.9072031489603116</v>
      </c>
      <c r="C27" s="30">
        <f t="shared" si="1"/>
        <v>0.19204041523952267</v>
      </c>
      <c r="D27" s="88">
        <f>'Swiss Climate Strategy'!F67</f>
        <v>7.6190657385992733</v>
      </c>
      <c r="E27" s="112">
        <f t="shared" si="2"/>
        <v>0.64936466605714627</v>
      </c>
      <c r="F27" s="87">
        <f>SUM('Swiss Climate Strategy'!F37:F67)</f>
        <v>254.82344470044973</v>
      </c>
      <c r="G27" s="112">
        <f t="shared" si="3"/>
        <v>0.28370879364533413</v>
      </c>
      <c r="H27" s="25"/>
      <c r="I27" s="113">
        <f>G27*$B$18</f>
        <v>126.91037552137962</v>
      </c>
      <c r="J27" s="113">
        <f>G27*$B$19</f>
        <v>364.86732962396644</v>
      </c>
      <c r="K27" s="113">
        <f>I27+(G27*(-$F$31))</f>
        <v>146.8717572471445</v>
      </c>
      <c r="L27" s="113">
        <f>J27+(G27*(-$F$31))</f>
        <v>384.82871134973129</v>
      </c>
    </row>
    <row r="28" spans="1:13" x14ac:dyDescent="0.3">
      <c r="A28" s="2"/>
      <c r="I28" s="26"/>
      <c r="J28" s="26"/>
      <c r="K28" s="26"/>
      <c r="L28" s="26"/>
    </row>
    <row r="29" spans="1:13" x14ac:dyDescent="0.3">
      <c r="A29" s="2" t="s">
        <v>106</v>
      </c>
      <c r="D29" s="88">
        <f>'Swiss Climate Strategy'!G67</f>
        <v>-4.7377767183828299</v>
      </c>
      <c r="F29" s="88">
        <f>SUM('Swiss Climate Strategy'!G58:G67)</f>
        <v>-17.830159477342672</v>
      </c>
      <c r="I29" s="26"/>
      <c r="J29" s="26"/>
      <c r="K29" s="26"/>
      <c r="L29" s="26"/>
    </row>
    <row r="30" spans="1:13" x14ac:dyDescent="0.3">
      <c r="A30" s="2" t="s">
        <v>107</v>
      </c>
      <c r="D30" s="88">
        <f>'Swiss Climate Strategy'!H67</f>
        <v>-7.0157158003162579</v>
      </c>
      <c r="F30" s="88">
        <f>SUM('Swiss Climate Strategy'!H50:H67)</f>
        <v>-52.528539910448238</v>
      </c>
      <c r="I30" s="26"/>
      <c r="J30" s="26"/>
      <c r="K30" s="26"/>
      <c r="L30" s="26"/>
    </row>
    <row r="31" spans="1:13" ht="15" thickBot="1" x14ac:dyDescent="0.35">
      <c r="A31" s="2" t="s">
        <v>108</v>
      </c>
      <c r="F31" s="88">
        <f>F29+F30</f>
        <v>-70.358699387790907</v>
      </c>
      <c r="I31" s="127"/>
      <c r="J31" s="127"/>
      <c r="K31" s="129"/>
      <c r="L31" s="129"/>
    </row>
    <row r="32" spans="1:13" ht="52.2" customHeight="1" x14ac:dyDescent="0.3">
      <c r="A32" s="37"/>
      <c r="B32" s="38" t="s">
        <v>109</v>
      </c>
      <c r="C32" s="39"/>
      <c r="D32" s="309" t="s">
        <v>110</v>
      </c>
      <c r="E32" s="309"/>
      <c r="F32" s="309"/>
      <c r="G32" s="309"/>
      <c r="H32" s="39"/>
      <c r="I32" s="303" t="s">
        <v>111</v>
      </c>
      <c r="J32" s="303"/>
      <c r="K32" s="303" t="s">
        <v>112</v>
      </c>
      <c r="L32" s="304"/>
    </row>
    <row r="33" spans="1:12" ht="25.2" customHeight="1" x14ac:dyDescent="0.3">
      <c r="A33" s="40" t="s">
        <v>113</v>
      </c>
      <c r="B33" s="41" t="s">
        <v>114</v>
      </c>
      <c r="C33" s="41"/>
      <c r="D33" s="302" t="s">
        <v>52</v>
      </c>
      <c r="E33" s="302"/>
      <c r="F33" s="302"/>
      <c r="G33" s="302"/>
      <c r="H33" s="41"/>
      <c r="I33" s="42"/>
      <c r="J33" s="42"/>
      <c r="K33" s="41"/>
      <c r="L33" s="43"/>
    </row>
    <row r="35" spans="1:12" x14ac:dyDescent="0.3">
      <c r="A35" s="1" t="s">
        <v>115</v>
      </c>
    </row>
    <row r="36" spans="1:12" ht="29.4" thickBot="1" x14ac:dyDescent="0.35">
      <c r="A36" s="79" t="s">
        <v>116</v>
      </c>
      <c r="B36" s="34" t="s">
        <v>117</v>
      </c>
    </row>
    <row r="37" spans="1:12" ht="57.6" x14ac:dyDescent="0.3">
      <c r="A37" s="44"/>
      <c r="B37" s="45"/>
      <c r="C37" s="46"/>
      <c r="D37" s="80" t="s">
        <v>118</v>
      </c>
      <c r="E37" s="81" t="s">
        <v>119</v>
      </c>
      <c r="F37" s="82"/>
      <c r="G37" s="81" t="s">
        <v>120</v>
      </c>
      <c r="H37" s="82" t="s">
        <v>121</v>
      </c>
      <c r="I37" s="81" t="s">
        <v>122</v>
      </c>
      <c r="J37" s="82" t="s">
        <v>123</v>
      </c>
    </row>
    <row r="38" spans="1:12" x14ac:dyDescent="0.3">
      <c r="A38" s="56"/>
      <c r="B38" s="34"/>
      <c r="D38" s="87">
        <f>SUM(D39:D42)</f>
        <v>11.103999999999999</v>
      </c>
      <c r="E38" s="120">
        <f>E40+E42</f>
        <v>4.12005</v>
      </c>
      <c r="F38" s="119">
        <f>E38/B26</f>
        <v>0.37210942002934821</v>
      </c>
      <c r="G38" s="90">
        <v>0.51400000000000001</v>
      </c>
      <c r="H38" s="91">
        <v>0.48599999999999999</v>
      </c>
      <c r="I38" s="90">
        <f>'Industry details'!H66</f>
        <v>0.58754863813229574</v>
      </c>
      <c r="J38" s="131">
        <f>'Industry details'!H67</f>
        <v>0.41245136186770426</v>
      </c>
    </row>
    <row r="39" spans="1:12" x14ac:dyDescent="0.3">
      <c r="A39" s="105" t="s">
        <v>124</v>
      </c>
      <c r="B39" s="106" t="s">
        <v>125</v>
      </c>
      <c r="C39" s="114">
        <f>D39/B26</f>
        <v>0.303464193710904</v>
      </c>
      <c r="D39" s="62">
        <v>3.36</v>
      </c>
      <c r="E39" s="2"/>
      <c r="F39" s="5"/>
      <c r="G39" s="120">
        <f>E38*G38</f>
        <v>2.1177057000000001</v>
      </c>
      <c r="H39" s="5"/>
      <c r="I39" s="120">
        <f>G39*I38</f>
        <v>1.2442551000000002</v>
      </c>
      <c r="J39" s="5"/>
    </row>
    <row r="40" spans="1:12" ht="28.8" x14ac:dyDescent="0.3">
      <c r="A40" s="105" t="s">
        <v>126</v>
      </c>
      <c r="B40" s="84" t="s">
        <v>127</v>
      </c>
      <c r="C40" s="114">
        <f>D40/B26</f>
        <v>0.43532661121623728</v>
      </c>
      <c r="D40" s="62">
        <v>4.82</v>
      </c>
      <c r="E40" s="117">
        <f>D40*49%</f>
        <v>2.3618000000000001</v>
      </c>
      <c r="F40" s="5"/>
      <c r="G40" s="2"/>
      <c r="H40" s="5"/>
      <c r="I40" s="2"/>
      <c r="J40" s="5"/>
    </row>
    <row r="41" spans="1:12" ht="43.2" x14ac:dyDescent="0.3">
      <c r="A41" s="105" t="s">
        <v>128</v>
      </c>
      <c r="B41" s="84" t="s">
        <v>129</v>
      </c>
      <c r="C41" s="114">
        <f>D41/B26</f>
        <v>1.9779362625799993E-2</v>
      </c>
      <c r="D41" s="62">
        <v>0.219</v>
      </c>
      <c r="E41" s="2"/>
      <c r="F41" s="5"/>
      <c r="G41" s="2"/>
      <c r="H41" s="5"/>
      <c r="I41" s="132"/>
      <c r="J41" s="5"/>
    </row>
    <row r="42" spans="1:12" ht="29.4" thickBot="1" x14ac:dyDescent="0.35">
      <c r="A42" s="107" t="s">
        <v>130</v>
      </c>
      <c r="B42" s="108" t="s">
        <v>131</v>
      </c>
      <c r="C42" s="115">
        <f>D42/B26</f>
        <v>0.24430673928214142</v>
      </c>
      <c r="D42" s="89">
        <f>4.422-1.717</f>
        <v>2.7049999999999996</v>
      </c>
      <c r="E42" s="118">
        <f>D42*65%</f>
        <v>1.7582499999999999</v>
      </c>
      <c r="F42" s="8"/>
      <c r="G42" s="6"/>
      <c r="H42" s="8"/>
      <c r="I42" s="6"/>
      <c r="J42" s="8"/>
    </row>
    <row r="45" spans="1:12" ht="15" thickBot="1" x14ac:dyDescent="0.35">
      <c r="A45" s="1" t="s">
        <v>241</v>
      </c>
      <c r="I45" t="s">
        <v>240</v>
      </c>
    </row>
    <row r="46" spans="1:12" x14ac:dyDescent="0.3">
      <c r="A46" s="21"/>
      <c r="B46" s="22" t="s">
        <v>132</v>
      </c>
      <c r="C46" s="18" t="s">
        <v>133</v>
      </c>
      <c r="D46" t="s">
        <v>134</v>
      </c>
      <c r="I46" s="21"/>
      <c r="J46" s="22" t="s">
        <v>132</v>
      </c>
      <c r="K46" s="18" t="s">
        <v>133</v>
      </c>
      <c r="L46" t="s">
        <v>134</v>
      </c>
    </row>
    <row r="47" spans="1:12" ht="15" thickBot="1" x14ac:dyDescent="0.35">
      <c r="A47" s="2" t="s">
        <v>135</v>
      </c>
      <c r="C47" s="20">
        <f>SUM(C48:C49)</f>
        <v>172.9585916257459</v>
      </c>
      <c r="I47" s="2" t="s">
        <v>135</v>
      </c>
      <c r="K47" s="20">
        <f>SUM(K48:K49)</f>
        <v>300.08427035053955</v>
      </c>
    </row>
    <row r="48" spans="1:12" ht="28.8" x14ac:dyDescent="0.3">
      <c r="A48" s="81" t="s">
        <v>136</v>
      </c>
      <c r="B48" s="22" t="str">
        <f>A24</f>
        <v>Buildings</v>
      </c>
      <c r="C48" s="121">
        <f>K24</f>
        <v>87.634564166819885</v>
      </c>
      <c r="I48" s="81" t="s">
        <v>136</v>
      </c>
      <c r="J48" s="22" t="str">
        <f>A24</f>
        <v>Buildings</v>
      </c>
      <c r="K48" s="121">
        <f>F24</f>
        <v>152.04653320947321</v>
      </c>
    </row>
    <row r="49" spans="1:12" ht="43.8" thickBot="1" x14ac:dyDescent="0.35">
      <c r="A49" s="83" t="s">
        <v>137</v>
      </c>
      <c r="B49" s="7" t="s">
        <v>138</v>
      </c>
      <c r="C49" s="139">
        <f>SUM(C50:C51)</f>
        <v>85.324027458925997</v>
      </c>
      <c r="D49" t="s">
        <v>139</v>
      </c>
      <c r="I49" s="83" t="s">
        <v>137</v>
      </c>
      <c r="J49" s="7" t="s">
        <v>138</v>
      </c>
      <c r="K49" s="139">
        <f>SUM(K50:K51)</f>
        <v>148.03773714106637</v>
      </c>
      <c r="L49" t="s">
        <v>139</v>
      </c>
    </row>
    <row r="50" spans="1:12" ht="72" x14ac:dyDescent="0.3">
      <c r="A50" s="81" t="s">
        <v>140</v>
      </c>
      <c r="B50" s="122">
        <f>F38*G38</f>
        <v>0.19126424189508498</v>
      </c>
      <c r="C50" s="121">
        <f>B50*K26</f>
        <v>25.597208237677805</v>
      </c>
      <c r="D50" s="64">
        <f>G39</f>
        <v>2.1177057000000001</v>
      </c>
      <c r="I50" s="81" t="s">
        <v>140</v>
      </c>
      <c r="J50" s="122">
        <f>F38*G38</f>
        <v>0.19126424189508498</v>
      </c>
      <c r="K50" s="121">
        <f>J50*F26</f>
        <v>44.41132114231992</v>
      </c>
      <c r="L50" s="64">
        <f>O39</f>
        <v>0</v>
      </c>
    </row>
    <row r="51" spans="1:12" ht="58.2" thickBot="1" x14ac:dyDescent="0.35">
      <c r="A51" s="83" t="s">
        <v>141</v>
      </c>
      <c r="B51" s="92">
        <v>0.7</v>
      </c>
      <c r="C51" s="111">
        <f>(C50/(100%-B51))*B51</f>
        <v>59.726819221248192</v>
      </c>
      <c r="D51" s="111">
        <f>(D50/(100%-B51))*B51</f>
        <v>4.9413132999999991</v>
      </c>
      <c r="I51" s="83" t="s">
        <v>141</v>
      </c>
      <c r="J51" s="92">
        <v>0.7</v>
      </c>
      <c r="K51" s="111">
        <f>(K50/(100%-J51))*J51</f>
        <v>103.62641599874645</v>
      </c>
      <c r="L51" s="111">
        <f>(L50/(100%-J51))*J51</f>
        <v>0</v>
      </c>
    </row>
    <row r="52" spans="1:12" ht="15" thickBot="1" x14ac:dyDescent="0.35">
      <c r="B52" s="25"/>
      <c r="C52" s="23"/>
      <c r="D52" s="23"/>
    </row>
    <row r="53" spans="1:12" x14ac:dyDescent="0.3">
      <c r="A53" s="17" t="s">
        <v>142</v>
      </c>
      <c r="B53" s="22" t="s">
        <v>143</v>
      </c>
      <c r="C53" s="18" t="s">
        <v>144</v>
      </c>
    </row>
    <row r="54" spans="1:12" x14ac:dyDescent="0.3">
      <c r="A54" s="2" t="s">
        <v>145</v>
      </c>
      <c r="B54" s="88">
        <f>Surfaces!F8</f>
        <v>1.1250000000000001E-2</v>
      </c>
      <c r="C54" s="123">
        <f>Surfaces!B4</f>
        <v>0.03</v>
      </c>
    </row>
    <row r="55" spans="1:12" x14ac:dyDescent="0.3">
      <c r="A55" s="2" t="s">
        <v>146</v>
      </c>
      <c r="B55">
        <v>2020</v>
      </c>
      <c r="C55" s="5" t="s">
        <v>147</v>
      </c>
    </row>
    <row r="56" spans="1:12" x14ac:dyDescent="0.3">
      <c r="A56" s="2" t="s">
        <v>148</v>
      </c>
      <c r="B56" s="112">
        <f>Surfaces!D8/(Surfaces!J8+Surfaces!D8)</f>
        <v>0.53739381556637522</v>
      </c>
      <c r="C56" s="119">
        <f>SUM(Surfaces!D8:D38)/(SUM(Surfaces!$D$8:$D$38)+SUM(Surfaces!$J$8:$J$38))</f>
        <v>0.41156639243627879</v>
      </c>
    </row>
    <row r="57" spans="1:12" x14ac:dyDescent="0.3">
      <c r="A57" s="2" t="s">
        <v>149</v>
      </c>
      <c r="B57" s="112">
        <f>Surfaces!J8/(Surfaces!J8+Surfaces!D8)</f>
        <v>0.46260618443362472</v>
      </c>
      <c r="C57" s="119">
        <f>SUM(Surfaces!J8:J38)/(SUM(Surfaces!$D$8:$D$38)+SUM(Surfaces!$J$8:$J$38))</f>
        <v>0.58843360756372121</v>
      </c>
    </row>
    <row r="58" spans="1:12" x14ac:dyDescent="0.3">
      <c r="A58" s="2" t="s">
        <v>150</v>
      </c>
      <c r="B58" s="24"/>
      <c r="C58" s="124"/>
    </row>
    <row r="59" spans="1:12" x14ac:dyDescent="0.3">
      <c r="A59" s="2"/>
      <c r="C59" s="5"/>
    </row>
    <row r="60" spans="1:12" x14ac:dyDescent="0.3">
      <c r="A60" s="2" t="s">
        <v>151</v>
      </c>
      <c r="B60" t="s">
        <v>152</v>
      </c>
      <c r="C60" s="5" t="s">
        <v>153</v>
      </c>
    </row>
    <row r="61" spans="1:12" x14ac:dyDescent="0.3">
      <c r="A61" s="2" t="s">
        <v>148</v>
      </c>
      <c r="B61" s="62">
        <v>9</v>
      </c>
      <c r="C61" s="109">
        <f>B61/B62</f>
        <v>1.8</v>
      </c>
    </row>
    <row r="62" spans="1:12" x14ac:dyDescent="0.3">
      <c r="A62" s="2" t="s">
        <v>149</v>
      </c>
      <c r="B62" s="62">
        <v>5</v>
      </c>
      <c r="C62" s="5"/>
    </row>
    <row r="63" spans="1:12" x14ac:dyDescent="0.3">
      <c r="A63" s="2"/>
      <c r="C63" s="5"/>
    </row>
    <row r="64" spans="1:12" x14ac:dyDescent="0.3">
      <c r="A64" s="2" t="s">
        <v>154</v>
      </c>
      <c r="B64" s="64">
        <f>1/((C61*B56)+B57)</f>
        <v>0.69934224294264435</v>
      </c>
      <c r="C64" s="109">
        <f>1/((C61*C56)+C57)</f>
        <v>0.75230216841782782</v>
      </c>
    </row>
    <row r="65" spans="1:17" x14ac:dyDescent="0.3">
      <c r="A65" s="2" t="s">
        <v>148</v>
      </c>
      <c r="B65" s="112">
        <f>C61*B64*B56</f>
        <v>0.67647995337905031</v>
      </c>
      <c r="C65" s="178">
        <f>C61*C64*C56</f>
        <v>0.55732012105988737</v>
      </c>
      <c r="D65" s="23"/>
    </row>
    <row r="66" spans="1:17" ht="15" thickBot="1" x14ac:dyDescent="0.35">
      <c r="A66" s="6" t="s">
        <v>149</v>
      </c>
      <c r="B66" s="125">
        <f>B64*B57</f>
        <v>0.32352004662094974</v>
      </c>
      <c r="C66" s="179">
        <f>C64*C57</f>
        <v>0.44267987894011257</v>
      </c>
      <c r="D66" s="23"/>
    </row>
    <row r="67" spans="1:17" ht="15" thickBot="1" x14ac:dyDescent="0.35">
      <c r="I67" t="s">
        <v>37</v>
      </c>
    </row>
    <row r="68" spans="1:17" x14ac:dyDescent="0.3">
      <c r="A68" s="17" t="s">
        <v>155</v>
      </c>
      <c r="B68" s="18" t="s">
        <v>133</v>
      </c>
      <c r="C68" s="18" t="s">
        <v>133</v>
      </c>
      <c r="I68" s="17" t="s">
        <v>155</v>
      </c>
      <c r="J68" s="18" t="s">
        <v>133</v>
      </c>
      <c r="K68" s="18" t="s">
        <v>133</v>
      </c>
    </row>
    <row r="69" spans="1:17" x14ac:dyDescent="0.3">
      <c r="A69" s="2" t="s">
        <v>148</v>
      </c>
      <c r="B69" s="64">
        <f>$C$49*B65</f>
        <v>57.719994117527065</v>
      </c>
      <c r="C69" s="109">
        <f>$C$49*C65</f>
        <v>47.552797312725794</v>
      </c>
      <c r="I69" s="2" t="s">
        <v>148</v>
      </c>
      <c r="J69" s="64">
        <f>$K$49*B65</f>
        <v>100.14456151952868</v>
      </c>
      <c r="K69" s="109">
        <f>$K$49*C65</f>
        <v>82.504409584890894</v>
      </c>
    </row>
    <row r="70" spans="1:17" ht="15" thickBot="1" x14ac:dyDescent="0.35">
      <c r="A70" s="6" t="s">
        <v>149</v>
      </c>
      <c r="B70" s="110">
        <f>$C$49*B66</f>
        <v>27.604033341398935</v>
      </c>
      <c r="C70" s="111">
        <f>$C$49*C66</f>
        <v>37.771230146200203</v>
      </c>
      <c r="I70" s="6" t="s">
        <v>149</v>
      </c>
      <c r="J70" s="110">
        <f>$K$49*B66</f>
        <v>47.893175621537694</v>
      </c>
      <c r="K70" s="111">
        <f>$K$49*C66</f>
        <v>65.533327556175465</v>
      </c>
    </row>
    <row r="73" spans="1:17" x14ac:dyDescent="0.3">
      <c r="Q73">
        <f>0.56+0.07</f>
        <v>0.63000000000000012</v>
      </c>
    </row>
    <row r="74" spans="1:17" x14ac:dyDescent="0.3">
      <c r="Q74">
        <v>0.22</v>
      </c>
    </row>
    <row r="75" spans="1:17" x14ac:dyDescent="0.3">
      <c r="Q75">
        <f>0.04+0.11</f>
        <v>0.15</v>
      </c>
    </row>
  </sheetData>
  <mergeCells count="13">
    <mergeCell ref="D33:G33"/>
    <mergeCell ref="I32:J32"/>
    <mergeCell ref="K32:L32"/>
    <mergeCell ref="I20:J20"/>
    <mergeCell ref="C2:G2"/>
    <mergeCell ref="C3:G3"/>
    <mergeCell ref="B16:C16"/>
    <mergeCell ref="D32:G32"/>
    <mergeCell ref="B9:G9"/>
    <mergeCell ref="C11:G11"/>
    <mergeCell ref="C13:G13"/>
    <mergeCell ref="I22:J22"/>
    <mergeCell ref="K22:L22"/>
  </mergeCells>
  <hyperlinks>
    <hyperlink ref="B9" r:id="rId1" xr:uid="{A5E65342-BA88-495E-BC4F-DF9C0C9FFA35}"/>
  </hyperlinks>
  <pageMargins left="0.7" right="0.7" top="0.75" bottom="0.75" header="0.3" footer="0.3"/>
  <pageSetup paperSize="9" orientation="portrait" horizontalDpi="1200" verticalDpi="1200"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8C277-3511-4229-8209-20CC6C5C0782}">
  <dimension ref="A1:AM93"/>
  <sheetViews>
    <sheetView topLeftCell="L1" zoomScale="85" zoomScaleNormal="85" workbookViewId="0">
      <selection activeCell="O8" sqref="O8"/>
    </sheetView>
  </sheetViews>
  <sheetFormatPr baseColWidth="10" defaultColWidth="11.44140625" defaultRowHeight="14.4" x14ac:dyDescent="0.3"/>
  <cols>
    <col min="3" max="3" width="14.5546875" bestFit="1" customWidth="1"/>
    <col min="7" max="7" width="4.6640625" customWidth="1"/>
    <col min="8" max="8" width="4.5546875" customWidth="1"/>
  </cols>
  <sheetData>
    <row r="1" spans="1:39" x14ac:dyDescent="0.3">
      <c r="A1" t="s">
        <v>226</v>
      </c>
      <c r="C1" s="317" t="s">
        <v>142</v>
      </c>
      <c r="D1" s="317"/>
      <c r="E1" s="317"/>
      <c r="F1" s="317"/>
      <c r="G1" s="317"/>
      <c r="H1" s="317"/>
      <c r="I1" s="317"/>
      <c r="J1" s="317"/>
      <c r="K1" s="317"/>
      <c r="N1" s="317" t="s">
        <v>200</v>
      </c>
      <c r="O1" s="317"/>
      <c r="P1" s="317"/>
      <c r="Q1" s="317"/>
      <c r="R1" s="143"/>
      <c r="T1" t="s">
        <v>242</v>
      </c>
      <c r="AF1" s="317" t="s">
        <v>200</v>
      </c>
      <c r="AG1" s="317"/>
      <c r="AH1" s="317"/>
      <c r="AI1" s="317"/>
    </row>
    <row r="2" spans="1:39" ht="43.2" x14ac:dyDescent="0.3">
      <c r="A2" s="47" t="s">
        <v>198</v>
      </c>
      <c r="B2" s="84">
        <v>6</v>
      </c>
      <c r="C2" s="143"/>
      <c r="D2" s="143"/>
      <c r="E2" s="143"/>
      <c r="F2" s="143"/>
      <c r="G2" s="143"/>
      <c r="H2" s="143"/>
      <c r="I2" s="143"/>
      <c r="J2" s="143"/>
      <c r="K2" s="143"/>
      <c r="N2" s="143"/>
      <c r="O2" s="143"/>
      <c r="P2" s="143"/>
      <c r="Q2" s="143"/>
      <c r="R2" s="143"/>
    </row>
    <row r="3" spans="1:39" ht="29.4" thickBot="1" x14ac:dyDescent="0.35">
      <c r="A3" s="47" t="s">
        <v>199</v>
      </c>
      <c r="B3" s="84">
        <v>99</v>
      </c>
      <c r="E3" s="47"/>
      <c r="G3" s="47"/>
      <c r="H3" s="47"/>
      <c r="I3" s="47"/>
      <c r="J3" s="47"/>
      <c r="K3" s="47"/>
      <c r="AF3" s="25">
        <v>0.25</v>
      </c>
      <c r="AG3" s="25">
        <v>7.0000000000000007E-2</v>
      </c>
      <c r="AH3" s="25">
        <v>0.09</v>
      </c>
      <c r="AI3" s="25">
        <v>0.06</v>
      </c>
      <c r="AJ3" s="25">
        <v>0.06</v>
      </c>
      <c r="AK3" s="25">
        <v>0.17</v>
      </c>
      <c r="AL3" s="25">
        <v>0.12</v>
      </c>
      <c r="AM3" s="25">
        <v>0.19</v>
      </c>
    </row>
    <row r="4" spans="1:39" ht="29.4" thickBot="1" x14ac:dyDescent="0.35">
      <c r="A4" s="47" t="s">
        <v>144</v>
      </c>
      <c r="B4" s="154">
        <v>0.03</v>
      </c>
      <c r="E4" s="47"/>
      <c r="G4" s="47"/>
      <c r="H4" s="47"/>
      <c r="I4" s="47"/>
      <c r="J4" s="47"/>
      <c r="K4" s="47"/>
      <c r="N4" s="25">
        <v>0.26</v>
      </c>
      <c r="S4" s="36">
        <f>S8/T8</f>
        <v>0.25396402414918362</v>
      </c>
      <c r="X4" t="s">
        <v>142</v>
      </c>
      <c r="AB4" t="s">
        <v>294</v>
      </c>
      <c r="AF4" s="2" t="s">
        <v>352</v>
      </c>
      <c r="AG4" t="s">
        <v>353</v>
      </c>
      <c r="AH4" t="s">
        <v>354</v>
      </c>
      <c r="AI4" t="s">
        <v>355</v>
      </c>
      <c r="AJ4" t="s">
        <v>356</v>
      </c>
      <c r="AK4" t="s">
        <v>357</v>
      </c>
      <c r="AL4" t="s">
        <v>358</v>
      </c>
      <c r="AM4" s="5" t="s">
        <v>61</v>
      </c>
    </row>
    <row r="5" spans="1:39" ht="58.2" thickBot="1" x14ac:dyDescent="0.35">
      <c r="A5" s="161" t="s">
        <v>65</v>
      </c>
      <c r="B5" s="156"/>
      <c r="C5" s="157" t="s">
        <v>203</v>
      </c>
      <c r="D5" s="157" t="s">
        <v>204</v>
      </c>
      <c r="E5" s="157" t="s">
        <v>205</v>
      </c>
      <c r="F5" s="157" t="s">
        <v>206</v>
      </c>
      <c r="G5" s="157" t="s">
        <v>207</v>
      </c>
      <c r="H5" s="157" t="s">
        <v>208</v>
      </c>
      <c r="I5" s="157" t="s">
        <v>208</v>
      </c>
      <c r="J5" s="157" t="s">
        <v>209</v>
      </c>
      <c r="K5" s="157" t="s">
        <v>210</v>
      </c>
      <c r="L5" s="156"/>
      <c r="M5" s="156"/>
      <c r="N5" s="156" t="s">
        <v>201</v>
      </c>
      <c r="O5" s="158" t="s">
        <v>202</v>
      </c>
      <c r="P5" t="s">
        <v>295</v>
      </c>
      <c r="Q5" t="s">
        <v>72</v>
      </c>
      <c r="T5" s="17" t="s">
        <v>201</v>
      </c>
      <c r="U5" s="22" t="s">
        <v>243</v>
      </c>
      <c r="V5" s="18" t="s">
        <v>244</v>
      </c>
      <c r="X5" t="s">
        <v>290</v>
      </c>
      <c r="Y5" t="s">
        <v>202</v>
      </c>
      <c r="Z5" t="s">
        <v>72</v>
      </c>
      <c r="AF5" t="s">
        <v>201</v>
      </c>
    </row>
    <row r="6" spans="1:39" x14ac:dyDescent="0.3">
      <c r="A6" s="62">
        <v>8525611</v>
      </c>
      <c r="B6">
        <v>2018</v>
      </c>
      <c r="C6" s="72">
        <v>392945800</v>
      </c>
      <c r="D6" s="141">
        <f t="shared" ref="D6:D69" si="0">(A6/1000)*($B$2*$B$3)</f>
        <v>5064212.9340000004</v>
      </c>
      <c r="E6" s="141">
        <f>D6</f>
        <v>5064212.9340000004</v>
      </c>
      <c r="F6" s="93">
        <v>0.01</v>
      </c>
      <c r="G6" s="141">
        <f>F6*$C$6</f>
        <v>3929458</v>
      </c>
      <c r="H6" s="141">
        <f>G6</f>
        <v>3929458</v>
      </c>
      <c r="I6" s="141">
        <f>IF(H6&lt;$C$6,H6,$C$6)</f>
        <v>3929458</v>
      </c>
      <c r="J6" s="141">
        <f>I6</f>
        <v>3929458</v>
      </c>
      <c r="K6" s="141">
        <f>IF(I6=0, 0, $C$6-I6)</f>
        <v>389016342</v>
      </c>
      <c r="N6" s="28">
        <f>(C6/75%)-C6</f>
        <v>130981933.33333331</v>
      </c>
      <c r="T6" s="2"/>
      <c r="V6" s="5"/>
      <c r="X6" s="223">
        <f>K6/(E6+I6+K6)</f>
        <v>0.97740340533721348</v>
      </c>
      <c r="Y6" s="223">
        <f>E6/(E6+I6+K6)</f>
        <v>1.272383299271361E-2</v>
      </c>
      <c r="Z6" s="223">
        <f>I6/(E6+I6+K6)</f>
        <v>9.8727616700728642E-3</v>
      </c>
      <c r="AF6" s="28">
        <f>$N6*AF$3</f>
        <v>32745483.333333328</v>
      </c>
      <c r="AG6" s="28">
        <f>$N6*AG$3</f>
        <v>9168735.3333333321</v>
      </c>
      <c r="AH6" s="28">
        <f t="shared" ref="AH6:AM21" si="1">$N6*AH$3</f>
        <v>11788373.999999998</v>
      </c>
      <c r="AI6" s="28">
        <f t="shared" si="1"/>
        <v>7858915.9999999981</v>
      </c>
      <c r="AJ6" s="28">
        <f t="shared" si="1"/>
        <v>7858915.9999999981</v>
      </c>
      <c r="AK6" s="28">
        <f t="shared" si="1"/>
        <v>22266928.666666664</v>
      </c>
      <c r="AL6" s="28">
        <f t="shared" si="1"/>
        <v>15717831.999999996</v>
      </c>
      <c r="AM6" s="28">
        <f t="shared" si="1"/>
        <v>24886567.333333328</v>
      </c>
    </row>
    <row r="7" spans="1:39" ht="15" thickBot="1" x14ac:dyDescent="0.35">
      <c r="A7" s="64">
        <f>A6+($A$38-$A$6)/32</f>
        <v>8585454.40625</v>
      </c>
      <c r="B7">
        <v>2019</v>
      </c>
      <c r="C7" s="28">
        <v>395877518</v>
      </c>
      <c r="D7" s="141">
        <f t="shared" si="0"/>
        <v>5099759.9173125001</v>
      </c>
      <c r="E7" s="141">
        <f t="shared" ref="E7:E70" si="2">E6+D7</f>
        <v>10163972.851312499</v>
      </c>
      <c r="F7" s="142">
        <f>F6+($F$38-$F$6)/32</f>
        <v>1.0625000000000001E-2</v>
      </c>
      <c r="G7" s="141">
        <f>F7*$C$6</f>
        <v>4175049.1250000005</v>
      </c>
      <c r="H7" s="141">
        <f t="shared" ref="H7:H70" si="3">H6+G7</f>
        <v>8104507.125</v>
      </c>
      <c r="I7" s="141">
        <f>IF(H7&lt;$C$6,H7,$C$6)</f>
        <v>8104507.125</v>
      </c>
      <c r="J7" s="141">
        <f>I7-I6</f>
        <v>4175049.125</v>
      </c>
      <c r="K7" s="141">
        <f>IF(I7=0, 0, $C$6-I7)</f>
        <v>384841292.875</v>
      </c>
      <c r="N7" s="28">
        <f>N6+O7</f>
        <v>131548573.32414581</v>
      </c>
      <c r="O7" s="28">
        <f>(D7/90%)-D7</f>
        <v>566639.99081250001</v>
      </c>
      <c r="P7" s="28">
        <f>O7</f>
        <v>566639.99081250001</v>
      </c>
      <c r="Q7" s="58"/>
      <c r="R7" s="58"/>
      <c r="T7" s="2"/>
      <c r="V7" s="5"/>
      <c r="X7" s="223">
        <f>K7/(E7+I7+K7)</f>
        <v>0.95468112854944143</v>
      </c>
      <c r="Y7" s="223">
        <f>E7/(E7+I7+K7)</f>
        <v>2.5213908309440793E-2</v>
      </c>
      <c r="Z7" s="223">
        <f>I7/(E7+I7+K7)</f>
        <v>2.0104963141117784E-2</v>
      </c>
      <c r="AF7" s="28">
        <f t="shared" ref="AF7:AM38" si="4">$N7*AF$3</f>
        <v>32887143.331036452</v>
      </c>
      <c r="AG7" s="28">
        <f t="shared" si="4"/>
        <v>9208400.132690208</v>
      </c>
      <c r="AH7" s="28">
        <f t="shared" si="1"/>
        <v>11839371.599173123</v>
      </c>
      <c r="AI7" s="28">
        <f t="shared" si="1"/>
        <v>7892914.3994487487</v>
      </c>
      <c r="AJ7" s="28">
        <f t="shared" si="1"/>
        <v>7892914.3994487487</v>
      </c>
      <c r="AK7" s="28">
        <f t="shared" si="1"/>
        <v>22363257.465104789</v>
      </c>
      <c r="AL7" s="28">
        <f t="shared" si="1"/>
        <v>15785828.798897497</v>
      </c>
      <c r="AM7" s="28">
        <f t="shared" si="1"/>
        <v>24994228.931587704</v>
      </c>
    </row>
    <row r="8" spans="1:39" ht="15" thickBot="1" x14ac:dyDescent="0.35">
      <c r="A8" s="144">
        <f t="shared" ref="A8:A71" si="5">A7+($A$38-$A$6)/32</f>
        <v>8645297.8125</v>
      </c>
      <c r="B8" s="22">
        <v>2020</v>
      </c>
      <c r="C8" s="145">
        <v>398112612</v>
      </c>
      <c r="D8" s="146">
        <f t="shared" si="0"/>
        <v>5135306.9006250007</v>
      </c>
      <c r="E8" s="146">
        <f t="shared" si="2"/>
        <v>15299279.751937501</v>
      </c>
      <c r="F8" s="147">
        <f t="shared" ref="F8:F71" si="6">F7+($F$38-$F$6)/32</f>
        <v>1.1250000000000001E-2</v>
      </c>
      <c r="G8" s="146">
        <f t="shared" ref="G8:G71" si="7">F8*$C$6</f>
        <v>4420640.2500000009</v>
      </c>
      <c r="H8" s="146">
        <f t="shared" si="3"/>
        <v>12525147.375</v>
      </c>
      <c r="I8" s="146">
        <f t="shared" ref="I8:I71" si="8">IF(H8&lt;$C$6,H8,$C$6)</f>
        <v>12525147.375</v>
      </c>
      <c r="J8" s="146">
        <f>I8-I7</f>
        <v>4420640.25</v>
      </c>
      <c r="K8" s="146">
        <f t="shared" ref="K8:K71" si="9">IF(I8=0, 0, $C$6-I8)</f>
        <v>380420652.625</v>
      </c>
      <c r="L8" s="22"/>
      <c r="M8" s="22"/>
      <c r="N8" s="145">
        <f t="shared" ref="N8:N71" si="10">N7+O8</f>
        <v>132119162.97977081</v>
      </c>
      <c r="O8" s="148">
        <f>(D8/90%)-D8</f>
        <v>570589.65562499966</v>
      </c>
      <c r="P8" s="145">
        <f>P7+O8</f>
        <v>1137229.6464374997</v>
      </c>
      <c r="Q8" s="145">
        <f>$N$7*F8</f>
        <v>1479921.4498966406</v>
      </c>
      <c r="R8" s="28">
        <f>R7+Q8</f>
        <v>1479921.4498966406</v>
      </c>
      <c r="S8" s="28">
        <f>N8-R8-P8</f>
        <v>129502011.88343668</v>
      </c>
      <c r="T8" s="205">
        <f>K8+S8</f>
        <v>509922664.50843668</v>
      </c>
      <c r="U8" s="28">
        <f>D8+O8</f>
        <v>5705896.5562500004</v>
      </c>
      <c r="V8" s="149">
        <f>Q8+J8</f>
        <v>5900561.6998966411</v>
      </c>
      <c r="X8" s="223">
        <f>K8/(E8+I8+K8)</f>
        <v>0.93184381513221293</v>
      </c>
      <c r="Y8" s="223">
        <f>E8/(E8+I8+K8)</f>
        <v>3.7475723556138929E-2</v>
      </c>
      <c r="Z8" s="223">
        <f>I8/(E8+I8+K8)</f>
        <v>3.0680461311648071E-2</v>
      </c>
      <c r="AB8" s="223">
        <f>S8/(P8+R8+S8)</f>
        <v>0.98019098034450258</v>
      </c>
      <c r="AC8" s="223">
        <f>P8/(P8+R8+S8)</f>
        <v>8.6076055947434706E-3</v>
      </c>
      <c r="AD8" s="223">
        <f>R8/(P8+R8+S8)</f>
        <v>1.1201414060753897E-2</v>
      </c>
      <c r="AF8" s="28">
        <f t="shared" si="4"/>
        <v>33029790.744942702</v>
      </c>
      <c r="AG8" s="28">
        <f t="shared" si="4"/>
        <v>9248341.4085839577</v>
      </c>
      <c r="AH8" s="28">
        <f t="shared" si="1"/>
        <v>11890724.668179372</v>
      </c>
      <c r="AI8" s="28">
        <f t="shared" si="1"/>
        <v>7927149.7787862485</v>
      </c>
      <c r="AJ8" s="28">
        <f t="shared" si="1"/>
        <v>7927149.7787862485</v>
      </c>
      <c r="AK8" s="28">
        <f t="shared" si="1"/>
        <v>22460257.70656104</v>
      </c>
      <c r="AL8" s="28">
        <f t="shared" si="1"/>
        <v>15854299.557572497</v>
      </c>
      <c r="AM8" s="28">
        <f t="shared" si="1"/>
        <v>25102640.966156453</v>
      </c>
    </row>
    <row r="9" spans="1:39" ht="15" thickBot="1" x14ac:dyDescent="0.35">
      <c r="A9" s="120">
        <f t="shared" si="5"/>
        <v>8705141.21875</v>
      </c>
      <c r="B9">
        <v>2021</v>
      </c>
      <c r="C9" s="28">
        <v>400788858.26666671</v>
      </c>
      <c r="D9" s="141">
        <f t="shared" si="0"/>
        <v>5170853.8839374995</v>
      </c>
      <c r="E9" s="141">
        <f t="shared" si="2"/>
        <v>20470133.635875002</v>
      </c>
      <c r="F9" s="142">
        <f t="shared" si="6"/>
        <v>1.1875000000000002E-2</v>
      </c>
      <c r="G9" s="141">
        <f t="shared" si="7"/>
        <v>4666231.3750000009</v>
      </c>
      <c r="H9" s="141">
        <f t="shared" si="3"/>
        <v>17191378.75</v>
      </c>
      <c r="I9" s="141">
        <f t="shared" si="8"/>
        <v>17191378.75</v>
      </c>
      <c r="J9" s="141">
        <f t="shared" ref="J9:J72" si="11">I9-I8</f>
        <v>4666231.375</v>
      </c>
      <c r="K9" s="141">
        <f t="shared" si="9"/>
        <v>375754421.25</v>
      </c>
      <c r="N9" s="28">
        <f t="shared" si="10"/>
        <v>132693702.30020832</v>
      </c>
      <c r="O9" s="149">
        <f t="shared" ref="O9:O72" si="12">(D9/90%)-D9</f>
        <v>574539.32043750025</v>
      </c>
      <c r="P9" s="145">
        <f t="shared" ref="P9:P72" si="13">P8+O9</f>
        <v>1711768.9668749999</v>
      </c>
      <c r="Q9" s="145">
        <f t="shared" ref="Q9:Q72" si="14">$N$7*F9</f>
        <v>1562139.3082242317</v>
      </c>
      <c r="R9" s="28">
        <f t="shared" ref="R9:R72" si="15">R8+Q9</f>
        <v>3042060.7581208721</v>
      </c>
      <c r="S9" s="28">
        <f t="shared" ref="S9:S48" si="16">N9-R9-P9</f>
        <v>127939872.57521243</v>
      </c>
      <c r="T9" s="205">
        <f t="shared" ref="T9:T72" si="17">K9+S9</f>
        <v>503694293.82521242</v>
      </c>
      <c r="U9" s="28">
        <f t="shared" ref="U9:U72" si="18">D9+O9</f>
        <v>5745393.2043749997</v>
      </c>
      <c r="V9" s="149">
        <f t="shared" ref="V9:V72" si="19">Q9+J9</f>
        <v>6228370.6832242319</v>
      </c>
      <c r="X9" s="223">
        <f t="shared" ref="X9:X38" si="20">K9/(E9+I9+K9)</f>
        <v>0.90890164282094121</v>
      </c>
      <c r="Y9" s="223">
        <f t="shared" ref="Y9:Y38" si="21">E9/(E9+I9+K9)</f>
        <v>4.9514621886597415E-2</v>
      </c>
      <c r="Z9" s="223">
        <f t="shared" ref="Z9:Z38" si="22">I9/(E9+I9+K9)</f>
        <v>4.1583735292461364E-2</v>
      </c>
      <c r="AB9" s="223">
        <f t="shared" ref="AB9:AB38" si="23">S9/(P9+R9+S9)</f>
        <v>0.9641744133851905</v>
      </c>
      <c r="AC9" s="223">
        <f t="shared" ref="AC9:AC38" si="24">P9/(P9+R9+S9)</f>
        <v>1.2900152284561834E-2</v>
      </c>
      <c r="AD9" s="223">
        <f t="shared" ref="AD9:AD38" si="25">R9/(P9+R9+S9)</f>
        <v>2.2925434330247765E-2</v>
      </c>
      <c r="AF9" s="28">
        <f t="shared" si="4"/>
        <v>33173425.575052079</v>
      </c>
      <c r="AG9" s="28">
        <f t="shared" si="4"/>
        <v>9288559.161014583</v>
      </c>
      <c r="AH9" s="28">
        <f t="shared" si="1"/>
        <v>11942433.207018748</v>
      </c>
      <c r="AI9" s="28">
        <f t="shared" si="1"/>
        <v>7961622.1380124986</v>
      </c>
      <c r="AJ9" s="28">
        <f t="shared" si="1"/>
        <v>7961622.1380124986</v>
      </c>
      <c r="AK9" s="28">
        <f t="shared" si="1"/>
        <v>22557929.391035415</v>
      </c>
      <c r="AL9" s="28">
        <f t="shared" si="1"/>
        <v>15923244.276024997</v>
      </c>
      <c r="AM9" s="28">
        <f t="shared" si="1"/>
        <v>25211803.43703958</v>
      </c>
    </row>
    <row r="10" spans="1:39" ht="15" thickBot="1" x14ac:dyDescent="0.35">
      <c r="A10" s="120">
        <f t="shared" si="5"/>
        <v>8764984.625</v>
      </c>
      <c r="B10">
        <v>2022</v>
      </c>
      <c r="C10" s="28">
        <v>403465104.53333342</v>
      </c>
      <c r="D10" s="141">
        <f t="shared" si="0"/>
        <v>5206400.8672499992</v>
      </c>
      <c r="E10" s="141">
        <f t="shared" si="2"/>
        <v>25676534.503125001</v>
      </c>
      <c r="F10" s="142">
        <f t="shared" si="6"/>
        <v>1.2500000000000002E-2</v>
      </c>
      <c r="G10" s="141">
        <f t="shared" si="7"/>
        <v>4911822.5000000009</v>
      </c>
      <c r="H10" s="141">
        <f t="shared" si="3"/>
        <v>22103201.25</v>
      </c>
      <c r="I10" s="141">
        <f t="shared" si="8"/>
        <v>22103201.25</v>
      </c>
      <c r="J10" s="141">
        <f t="shared" si="11"/>
        <v>4911822.5</v>
      </c>
      <c r="K10" s="141">
        <f t="shared" si="9"/>
        <v>370842598.75</v>
      </c>
      <c r="N10" s="28">
        <f t="shared" si="10"/>
        <v>133272191.28545831</v>
      </c>
      <c r="O10" s="149">
        <f t="shared" si="12"/>
        <v>578488.98524999991</v>
      </c>
      <c r="P10" s="145">
        <f t="shared" si="13"/>
        <v>2290257.9521249998</v>
      </c>
      <c r="Q10" s="145">
        <f t="shared" si="14"/>
        <v>1644357.166551823</v>
      </c>
      <c r="R10" s="28">
        <f t="shared" si="15"/>
        <v>4686417.9246726949</v>
      </c>
      <c r="S10" s="28">
        <f t="shared" si="16"/>
        <v>126295515.40866062</v>
      </c>
      <c r="T10" s="205">
        <f t="shared" si="17"/>
        <v>497138114.15866065</v>
      </c>
      <c r="U10" s="28">
        <f t="shared" si="18"/>
        <v>5784889.8524999991</v>
      </c>
      <c r="V10" s="149">
        <f t="shared" si="19"/>
        <v>6556179.6665518228</v>
      </c>
      <c r="X10" s="223">
        <f t="shared" si="20"/>
        <v>0.88586434163901895</v>
      </c>
      <c r="Y10" s="223">
        <f t="shared" si="21"/>
        <v>6.1335796938787858E-2</v>
      </c>
      <c r="Z10" s="223">
        <f t="shared" si="22"/>
        <v>5.279986142219318E-2</v>
      </c>
      <c r="AB10" s="223">
        <f t="shared" si="23"/>
        <v>0.94765092545185059</v>
      </c>
      <c r="AC10" s="223">
        <f t="shared" si="24"/>
        <v>1.7184815001799223E-2</v>
      </c>
      <c r="AD10" s="223">
        <f t="shared" si="25"/>
        <v>3.5164259546350253E-2</v>
      </c>
      <c r="AF10" s="28">
        <f t="shared" si="4"/>
        <v>33318047.821364578</v>
      </c>
      <c r="AG10" s="28">
        <f t="shared" si="4"/>
        <v>9329053.3899820819</v>
      </c>
      <c r="AH10" s="28">
        <f t="shared" si="1"/>
        <v>11994497.215691248</v>
      </c>
      <c r="AI10" s="28">
        <f t="shared" si="1"/>
        <v>7996331.477127498</v>
      </c>
      <c r="AJ10" s="28">
        <f t="shared" si="1"/>
        <v>7996331.477127498</v>
      </c>
      <c r="AK10" s="28">
        <f t="shared" si="1"/>
        <v>22656272.518527914</v>
      </c>
      <c r="AL10" s="28">
        <f t="shared" si="1"/>
        <v>15992662.954254996</v>
      </c>
      <c r="AM10" s="28">
        <f t="shared" si="1"/>
        <v>25321716.344237078</v>
      </c>
    </row>
    <row r="11" spans="1:39" ht="15" thickBot="1" x14ac:dyDescent="0.35">
      <c r="A11" s="120">
        <f t="shared" si="5"/>
        <v>8824828.03125</v>
      </c>
      <c r="B11">
        <v>2023</v>
      </c>
      <c r="C11" s="28">
        <v>406141350.80000013</v>
      </c>
      <c r="D11" s="141">
        <f t="shared" si="0"/>
        <v>5241947.8505624998</v>
      </c>
      <c r="E11" s="141">
        <f t="shared" si="2"/>
        <v>30918482.353687502</v>
      </c>
      <c r="F11" s="142">
        <f t="shared" si="6"/>
        <v>1.3125000000000003E-2</v>
      </c>
      <c r="G11" s="141">
        <f t="shared" si="7"/>
        <v>5157413.6250000009</v>
      </c>
      <c r="H11" s="141">
        <f t="shared" si="3"/>
        <v>27260614.875</v>
      </c>
      <c r="I11" s="141">
        <f t="shared" si="8"/>
        <v>27260614.875</v>
      </c>
      <c r="J11" s="141">
        <f t="shared" si="11"/>
        <v>5157413.625</v>
      </c>
      <c r="K11" s="141">
        <f t="shared" si="9"/>
        <v>365685185.125</v>
      </c>
      <c r="N11" s="28">
        <f t="shared" si="10"/>
        <v>133854629.93552081</v>
      </c>
      <c r="O11" s="149">
        <f t="shared" si="12"/>
        <v>582438.65006249957</v>
      </c>
      <c r="P11" s="145">
        <f t="shared" si="13"/>
        <v>2872696.6021874994</v>
      </c>
      <c r="Q11" s="145">
        <f t="shared" si="14"/>
        <v>1726575.0248794141</v>
      </c>
      <c r="R11" s="28">
        <f t="shared" si="15"/>
        <v>6412992.9495521095</v>
      </c>
      <c r="S11" s="28">
        <f t="shared" si="16"/>
        <v>124568940.38378121</v>
      </c>
      <c r="T11" s="205">
        <f t="shared" si="17"/>
        <v>490254125.50878119</v>
      </c>
      <c r="U11" s="28">
        <f t="shared" si="18"/>
        <v>5824386.5006249994</v>
      </c>
      <c r="V11" s="149">
        <f t="shared" si="19"/>
        <v>6883988.6498794146</v>
      </c>
      <c r="X11" s="223">
        <f t="shared" si="20"/>
        <v>0.86274121304672513</v>
      </c>
      <c r="Y11" s="223">
        <f t="shared" si="21"/>
        <v>7.294429759922072E-2</v>
      </c>
      <c r="Z11" s="223">
        <f t="shared" si="22"/>
        <v>6.4314489354054052E-2</v>
      </c>
      <c r="AB11" s="223">
        <f t="shared" si="23"/>
        <v>0.93062855161444458</v>
      </c>
      <c r="AC11" s="223">
        <f t="shared" si="24"/>
        <v>2.1461316680426428E-2</v>
      </c>
      <c r="AD11" s="223">
        <f t="shared" si="25"/>
        <v>4.7910131705129033E-2</v>
      </c>
      <c r="AF11" s="28">
        <f t="shared" si="4"/>
        <v>33463657.483880203</v>
      </c>
      <c r="AG11" s="28">
        <f t="shared" si="4"/>
        <v>9369824.0954864584</v>
      </c>
      <c r="AH11" s="28">
        <f t="shared" si="1"/>
        <v>12046916.694196872</v>
      </c>
      <c r="AI11" s="28">
        <f t="shared" si="1"/>
        <v>8031277.7961312486</v>
      </c>
      <c r="AJ11" s="28">
        <f t="shared" si="1"/>
        <v>8031277.7961312486</v>
      </c>
      <c r="AK11" s="28">
        <f t="shared" si="1"/>
        <v>22755287.08903854</v>
      </c>
      <c r="AL11" s="28">
        <f t="shared" si="1"/>
        <v>16062555.592262497</v>
      </c>
      <c r="AM11" s="28">
        <f t="shared" si="1"/>
        <v>25432379.687748954</v>
      </c>
    </row>
    <row r="12" spans="1:39" ht="15" thickBot="1" x14ac:dyDescent="0.35">
      <c r="A12" s="120">
        <f t="shared" si="5"/>
        <v>8884671.4375</v>
      </c>
      <c r="B12">
        <v>2024</v>
      </c>
      <c r="C12" s="28">
        <v>408817597.06666684</v>
      </c>
      <c r="D12" s="141">
        <f t="shared" si="0"/>
        <v>5277494.8338749995</v>
      </c>
      <c r="E12" s="141">
        <f t="shared" si="2"/>
        <v>36195977.187562503</v>
      </c>
      <c r="F12" s="142">
        <f t="shared" si="6"/>
        <v>1.3750000000000004E-2</v>
      </c>
      <c r="G12" s="141">
        <f t="shared" si="7"/>
        <v>5403004.7500000009</v>
      </c>
      <c r="H12" s="141">
        <f t="shared" si="3"/>
        <v>32663619.625</v>
      </c>
      <c r="I12" s="141">
        <f t="shared" si="8"/>
        <v>32663619.625</v>
      </c>
      <c r="J12" s="141">
        <f t="shared" si="11"/>
        <v>5403004.75</v>
      </c>
      <c r="K12" s="141">
        <f t="shared" si="9"/>
        <v>360282180.375</v>
      </c>
      <c r="N12" s="28">
        <f t="shared" si="10"/>
        <v>134441018.2503958</v>
      </c>
      <c r="O12" s="149">
        <f t="shared" si="12"/>
        <v>586388.31487500016</v>
      </c>
      <c r="P12" s="145">
        <f t="shared" si="13"/>
        <v>3459084.9170624996</v>
      </c>
      <c r="Q12" s="145">
        <f t="shared" si="14"/>
        <v>1808792.8832070054</v>
      </c>
      <c r="R12" s="28">
        <f t="shared" si="15"/>
        <v>8221785.8327591149</v>
      </c>
      <c r="S12" s="28">
        <f t="shared" si="16"/>
        <v>122760147.50057419</v>
      </c>
      <c r="T12" s="205">
        <f t="shared" si="17"/>
        <v>483042327.87557417</v>
      </c>
      <c r="U12" s="28">
        <f t="shared" si="18"/>
        <v>5863883.1487499997</v>
      </c>
      <c r="V12" s="149">
        <f t="shared" si="19"/>
        <v>7211797.6332070054</v>
      </c>
      <c r="X12" s="223">
        <f t="shared" si="20"/>
        <v>0.83954114823347437</v>
      </c>
      <c r="Y12" s="223">
        <f t="shared" si="21"/>
        <v>8.4345032601527731E-2</v>
      </c>
      <c r="Z12" s="223">
        <f t="shared" si="22"/>
        <v>7.6113819164998014E-2</v>
      </c>
      <c r="AB12" s="223">
        <f t="shared" si="23"/>
        <v>0.91311527611263665</v>
      </c>
      <c r="AC12" s="223">
        <f t="shared" si="24"/>
        <v>2.5729386478016474E-2</v>
      </c>
      <c r="AD12" s="223">
        <f t="shared" si="25"/>
        <v>6.1155337409346866E-2</v>
      </c>
      <c r="AF12" s="28">
        <f t="shared" si="4"/>
        <v>33610254.562598951</v>
      </c>
      <c r="AG12" s="28">
        <f t="shared" si="4"/>
        <v>9410871.2775277067</v>
      </c>
      <c r="AH12" s="28">
        <f t="shared" si="1"/>
        <v>12099691.642535621</v>
      </c>
      <c r="AI12" s="28">
        <f t="shared" si="1"/>
        <v>8066461.0950237475</v>
      </c>
      <c r="AJ12" s="28">
        <f t="shared" si="1"/>
        <v>8066461.0950237475</v>
      </c>
      <c r="AK12" s="28">
        <f t="shared" si="1"/>
        <v>22854973.102567289</v>
      </c>
      <c r="AL12" s="28">
        <f t="shared" si="1"/>
        <v>16132922.190047495</v>
      </c>
      <c r="AM12" s="28">
        <f t="shared" si="1"/>
        <v>25543793.467575204</v>
      </c>
    </row>
    <row r="13" spans="1:39" ht="15" thickBot="1" x14ac:dyDescent="0.35">
      <c r="A13" s="120">
        <f t="shared" si="5"/>
        <v>8944514.84375</v>
      </c>
      <c r="B13">
        <v>2025</v>
      </c>
      <c r="C13" s="28">
        <v>411493843.33333355</v>
      </c>
      <c r="D13" s="141">
        <f t="shared" si="0"/>
        <v>5313041.8171874993</v>
      </c>
      <c r="E13" s="141">
        <f t="shared" si="2"/>
        <v>41509019.004749998</v>
      </c>
      <c r="F13" s="142">
        <f t="shared" si="6"/>
        <v>1.4375000000000004E-2</v>
      </c>
      <c r="G13" s="141">
        <f t="shared" si="7"/>
        <v>5648595.8750000019</v>
      </c>
      <c r="H13" s="141">
        <f t="shared" si="3"/>
        <v>38312215.5</v>
      </c>
      <c r="I13" s="141">
        <f t="shared" si="8"/>
        <v>38312215.5</v>
      </c>
      <c r="J13" s="141">
        <f t="shared" si="11"/>
        <v>5648595.875</v>
      </c>
      <c r="K13" s="141">
        <f t="shared" si="9"/>
        <v>354633584.5</v>
      </c>
      <c r="N13" s="28">
        <f t="shared" si="10"/>
        <v>135031356.23008332</v>
      </c>
      <c r="O13" s="149">
        <f t="shared" si="12"/>
        <v>590337.97968749981</v>
      </c>
      <c r="P13" s="145">
        <f t="shared" si="13"/>
        <v>4049422.8967499994</v>
      </c>
      <c r="Q13" s="145">
        <f t="shared" si="14"/>
        <v>1891010.7415345965</v>
      </c>
      <c r="R13" s="28">
        <f t="shared" si="15"/>
        <v>10112796.574293712</v>
      </c>
      <c r="S13" s="28">
        <f t="shared" si="16"/>
        <v>120869136.7590396</v>
      </c>
      <c r="T13" s="205">
        <f t="shared" si="17"/>
        <v>475502721.25903958</v>
      </c>
      <c r="U13" s="28">
        <f t="shared" si="18"/>
        <v>5903379.7968749991</v>
      </c>
      <c r="V13" s="149">
        <f t="shared" si="19"/>
        <v>7539606.6165345963</v>
      </c>
      <c r="X13" s="223">
        <f t="shared" si="20"/>
        <v>0.8162726455938395</v>
      </c>
      <c r="Y13" s="223">
        <f t="shared" si="21"/>
        <v>9.5542774965274746E-2</v>
      </c>
      <c r="Z13" s="223">
        <f t="shared" si="22"/>
        <v>8.8184579440885716E-2</v>
      </c>
      <c r="AB13" s="223">
        <f t="shared" si="23"/>
        <v>0.89511903111665148</v>
      </c>
      <c r="AC13" s="223">
        <f t="shared" si="24"/>
        <v>2.9988759720742834E-2</v>
      </c>
      <c r="AD13" s="223">
        <f t="shared" si="25"/>
        <v>7.4892209162605639E-2</v>
      </c>
      <c r="AF13" s="28">
        <f t="shared" si="4"/>
        <v>33757839.057520829</v>
      </c>
      <c r="AG13" s="28">
        <f t="shared" si="4"/>
        <v>9452194.9361058325</v>
      </c>
      <c r="AH13" s="28">
        <f t="shared" si="1"/>
        <v>12152822.060707498</v>
      </c>
      <c r="AI13" s="28">
        <f t="shared" si="1"/>
        <v>8101881.3738049986</v>
      </c>
      <c r="AJ13" s="28">
        <f t="shared" si="1"/>
        <v>8101881.3738049986</v>
      </c>
      <c r="AK13" s="28">
        <f t="shared" si="1"/>
        <v>22955330.559114166</v>
      </c>
      <c r="AL13" s="28">
        <f t="shared" si="1"/>
        <v>16203762.747609997</v>
      </c>
      <c r="AM13" s="28">
        <f t="shared" si="1"/>
        <v>25655957.683715831</v>
      </c>
    </row>
    <row r="14" spans="1:39" ht="15" thickBot="1" x14ac:dyDescent="0.35">
      <c r="A14" s="120">
        <f t="shared" si="5"/>
        <v>9004358.25</v>
      </c>
      <c r="B14">
        <v>2026</v>
      </c>
      <c r="C14" s="28">
        <v>414170089.60000026</v>
      </c>
      <c r="D14" s="141">
        <f t="shared" si="0"/>
        <v>5348588.8004999999</v>
      </c>
      <c r="E14" s="141">
        <f t="shared" si="2"/>
        <v>46857607.805249996</v>
      </c>
      <c r="F14" s="142">
        <f t="shared" si="6"/>
        <v>1.5000000000000005E-2</v>
      </c>
      <c r="G14" s="141">
        <f t="shared" si="7"/>
        <v>5894187.0000000019</v>
      </c>
      <c r="H14" s="141">
        <f t="shared" si="3"/>
        <v>44206402.5</v>
      </c>
      <c r="I14" s="141">
        <f t="shared" si="8"/>
        <v>44206402.5</v>
      </c>
      <c r="J14" s="141">
        <f t="shared" si="11"/>
        <v>5894187</v>
      </c>
      <c r="K14" s="141">
        <f t="shared" si="9"/>
        <v>348739397.5</v>
      </c>
      <c r="N14" s="28">
        <f t="shared" si="10"/>
        <v>135625643.8745833</v>
      </c>
      <c r="O14" s="149">
        <f t="shared" si="12"/>
        <v>594287.64449999947</v>
      </c>
      <c r="P14" s="145">
        <f t="shared" si="13"/>
        <v>4643710.5412499988</v>
      </c>
      <c r="Q14" s="145">
        <f t="shared" si="14"/>
        <v>1973228.5998621876</v>
      </c>
      <c r="R14" s="28">
        <f t="shared" si="15"/>
        <v>12086025.1741559</v>
      </c>
      <c r="S14" s="28">
        <f t="shared" si="16"/>
        <v>118895908.15917739</v>
      </c>
      <c r="T14" s="205">
        <f t="shared" si="17"/>
        <v>467635305.65917742</v>
      </c>
      <c r="U14" s="28">
        <f t="shared" si="18"/>
        <v>5942876.4449999994</v>
      </c>
      <c r="V14" s="149">
        <f t="shared" si="19"/>
        <v>7867415.5998621881</v>
      </c>
      <c r="X14" s="223">
        <f t="shared" si="20"/>
        <v>0.79294382742578884</v>
      </c>
      <c r="Y14" s="223">
        <f t="shared" si="21"/>
        <v>0.10654216628080128</v>
      </c>
      <c r="Z14" s="223">
        <f t="shared" si="22"/>
        <v>0.10051400629340985</v>
      </c>
      <c r="AB14" s="223">
        <f t="shared" si="23"/>
        <v>0.87664769554291411</v>
      </c>
      <c r="AC14" s="223">
        <f t="shared" si="24"/>
        <v>3.4239177847105104E-2</v>
      </c>
      <c r="AD14" s="223">
        <f t="shared" si="25"/>
        <v>8.9113126609980733E-2</v>
      </c>
      <c r="AF14" s="28">
        <f t="shared" si="4"/>
        <v>33906410.968645826</v>
      </c>
      <c r="AG14" s="28">
        <f t="shared" si="4"/>
        <v>9493795.0712208319</v>
      </c>
      <c r="AH14" s="28">
        <f t="shared" si="1"/>
        <v>12206307.948712496</v>
      </c>
      <c r="AI14" s="28">
        <f t="shared" si="1"/>
        <v>8137538.632474998</v>
      </c>
      <c r="AJ14" s="28">
        <f t="shared" si="1"/>
        <v>8137538.632474998</v>
      </c>
      <c r="AK14" s="28">
        <f t="shared" si="1"/>
        <v>23056359.458679162</v>
      </c>
      <c r="AL14" s="28">
        <f t="shared" si="1"/>
        <v>16275077.264949996</v>
      </c>
      <c r="AM14" s="28">
        <f t="shared" si="1"/>
        <v>25768872.33617083</v>
      </c>
    </row>
    <row r="15" spans="1:39" ht="15" thickBot="1" x14ac:dyDescent="0.35">
      <c r="A15" s="120">
        <f t="shared" si="5"/>
        <v>9064201.65625</v>
      </c>
      <c r="B15">
        <v>2027</v>
      </c>
      <c r="C15" s="28">
        <v>416846335.86666697</v>
      </c>
      <c r="D15" s="141">
        <f t="shared" si="0"/>
        <v>5384135.7838124996</v>
      </c>
      <c r="E15" s="141">
        <f t="shared" si="2"/>
        <v>52241743.589062497</v>
      </c>
      <c r="F15" s="142">
        <f t="shared" si="6"/>
        <v>1.5625000000000003E-2</v>
      </c>
      <c r="G15" s="141">
        <f t="shared" si="7"/>
        <v>6139778.1250000009</v>
      </c>
      <c r="H15" s="141">
        <f t="shared" si="3"/>
        <v>50346180.625</v>
      </c>
      <c r="I15" s="141">
        <f t="shared" si="8"/>
        <v>50346180.625</v>
      </c>
      <c r="J15" s="141">
        <f t="shared" si="11"/>
        <v>6139778.125</v>
      </c>
      <c r="K15" s="141">
        <f t="shared" si="9"/>
        <v>342599619.375</v>
      </c>
      <c r="N15" s="28">
        <f t="shared" si="10"/>
        <v>136223881.1838958</v>
      </c>
      <c r="O15" s="149">
        <f t="shared" si="12"/>
        <v>598237.30931250006</v>
      </c>
      <c r="P15" s="145">
        <f t="shared" si="13"/>
        <v>5241947.8505624989</v>
      </c>
      <c r="Q15" s="145">
        <f t="shared" si="14"/>
        <v>2055446.4581897787</v>
      </c>
      <c r="R15" s="28">
        <f t="shared" si="15"/>
        <v>14141471.632345678</v>
      </c>
      <c r="S15" s="28">
        <f t="shared" si="16"/>
        <v>116840461.70098762</v>
      </c>
      <c r="T15" s="205">
        <f t="shared" si="17"/>
        <v>459440081.07598764</v>
      </c>
      <c r="U15" s="28">
        <f t="shared" si="18"/>
        <v>5982373.0931249997</v>
      </c>
      <c r="V15" s="149">
        <f t="shared" si="19"/>
        <v>8195224.583189779</v>
      </c>
      <c r="X15" s="223">
        <f t="shared" si="20"/>
        <v>0.76956245588767436</v>
      </c>
      <c r="Y15" s="223">
        <f t="shared" si="21"/>
        <v>0.11734772084567818</v>
      </c>
      <c r="Z15" s="223">
        <f t="shared" si="22"/>
        <v>0.11308982326664747</v>
      </c>
      <c r="AB15" s="223">
        <f t="shared" si="23"/>
        <v>0.85770909392354289</v>
      </c>
      <c r="AC15" s="223">
        <f t="shared" si="24"/>
        <v>3.8480388350454628E-2</v>
      </c>
      <c r="AD15" s="223">
        <f t="shared" si="25"/>
        <v>0.10381051772600254</v>
      </c>
      <c r="AF15" s="28">
        <f t="shared" si="4"/>
        <v>34055970.295973949</v>
      </c>
      <c r="AG15" s="28">
        <f t="shared" si="4"/>
        <v>9535671.682872707</v>
      </c>
      <c r="AH15" s="28">
        <f t="shared" si="1"/>
        <v>12260149.306550622</v>
      </c>
      <c r="AI15" s="28">
        <f t="shared" si="1"/>
        <v>8173432.8710337477</v>
      </c>
      <c r="AJ15" s="28">
        <f t="shared" si="1"/>
        <v>8173432.8710337477</v>
      </c>
      <c r="AK15" s="28">
        <f t="shared" si="1"/>
        <v>23158059.801262286</v>
      </c>
      <c r="AL15" s="28">
        <f t="shared" si="1"/>
        <v>16346865.742067495</v>
      </c>
      <c r="AM15" s="28">
        <f t="shared" si="1"/>
        <v>25882537.424940202</v>
      </c>
    </row>
    <row r="16" spans="1:39" ht="15" thickBot="1" x14ac:dyDescent="0.35">
      <c r="A16" s="120">
        <f t="shared" si="5"/>
        <v>9124045.0625</v>
      </c>
      <c r="B16">
        <v>2028</v>
      </c>
      <c r="C16" s="28">
        <v>419522582.13333368</v>
      </c>
      <c r="D16" s="141">
        <f t="shared" si="0"/>
        <v>5419682.7671249993</v>
      </c>
      <c r="E16" s="141">
        <f t="shared" si="2"/>
        <v>57661426.356187493</v>
      </c>
      <c r="F16" s="142">
        <f t="shared" si="6"/>
        <v>1.6250000000000004E-2</v>
      </c>
      <c r="G16" s="141">
        <f t="shared" si="7"/>
        <v>6385369.2500000019</v>
      </c>
      <c r="H16" s="141">
        <f t="shared" si="3"/>
        <v>56731549.875</v>
      </c>
      <c r="I16" s="141">
        <f t="shared" si="8"/>
        <v>56731549.875</v>
      </c>
      <c r="J16" s="141">
        <f t="shared" si="11"/>
        <v>6385369.25</v>
      </c>
      <c r="K16" s="141">
        <f t="shared" si="9"/>
        <v>336214250.125</v>
      </c>
      <c r="N16" s="28">
        <f t="shared" si="10"/>
        <v>136826068.15802079</v>
      </c>
      <c r="O16" s="149">
        <f t="shared" si="12"/>
        <v>602186.97412499972</v>
      </c>
      <c r="P16" s="145">
        <f t="shared" si="13"/>
        <v>5844134.8246874986</v>
      </c>
      <c r="Q16" s="145">
        <f t="shared" si="14"/>
        <v>2137664.3165173698</v>
      </c>
      <c r="R16" s="28">
        <f t="shared" si="15"/>
        <v>16279135.948863048</v>
      </c>
      <c r="S16" s="28">
        <f t="shared" si="16"/>
        <v>114702797.38447025</v>
      </c>
      <c r="T16" s="205">
        <f t="shared" si="17"/>
        <v>450917047.50947022</v>
      </c>
      <c r="U16" s="28">
        <f t="shared" si="18"/>
        <v>6021869.741249999</v>
      </c>
      <c r="V16" s="149">
        <f t="shared" si="19"/>
        <v>8523033.5665173698</v>
      </c>
      <c r="X16" s="223">
        <f t="shared" si="20"/>
        <v>0.74613594824872098</v>
      </c>
      <c r="Y16" s="223">
        <f t="shared" si="21"/>
        <v>0.1279638296581786</v>
      </c>
      <c r="Z16" s="223">
        <f t="shared" si="22"/>
        <v>0.12590022209310048</v>
      </c>
      <c r="AB16" s="223">
        <f t="shared" si="23"/>
        <v>0.83831099532875331</v>
      </c>
      <c r="AC16" s="223">
        <f t="shared" si="24"/>
        <v>4.2712144720391233E-2</v>
      </c>
      <c r="AD16" s="223">
        <f t="shared" si="25"/>
        <v>0.1189768599508555</v>
      </c>
      <c r="AF16" s="28">
        <f t="shared" si="4"/>
        <v>34206517.039505199</v>
      </c>
      <c r="AG16" s="28">
        <f t="shared" si="4"/>
        <v>9577824.7710614558</v>
      </c>
      <c r="AH16" s="28">
        <f t="shared" si="1"/>
        <v>12314346.13422187</v>
      </c>
      <c r="AI16" s="28">
        <f t="shared" si="1"/>
        <v>8209564.0894812476</v>
      </c>
      <c r="AJ16" s="28">
        <f t="shared" si="1"/>
        <v>8209564.0894812476</v>
      </c>
      <c r="AK16" s="28">
        <f t="shared" si="1"/>
        <v>23260431.586863536</v>
      </c>
      <c r="AL16" s="28">
        <f t="shared" si="1"/>
        <v>16419128.178962495</v>
      </c>
      <c r="AM16" s="28">
        <f t="shared" si="1"/>
        <v>25996952.950023953</v>
      </c>
    </row>
    <row r="17" spans="1:39" ht="15" thickBot="1" x14ac:dyDescent="0.35">
      <c r="A17" s="120">
        <f t="shared" si="5"/>
        <v>9183888.46875</v>
      </c>
      <c r="B17">
        <v>2029</v>
      </c>
      <c r="C17" s="28">
        <v>422198828.40000033</v>
      </c>
      <c r="D17" s="141">
        <f t="shared" si="0"/>
        <v>5455229.7504375</v>
      </c>
      <c r="E17" s="141">
        <f t="shared" si="2"/>
        <v>63116656.106624991</v>
      </c>
      <c r="F17" s="142">
        <f t="shared" si="6"/>
        <v>1.6875000000000005E-2</v>
      </c>
      <c r="G17" s="141">
        <f t="shared" si="7"/>
        <v>6630960.3750000019</v>
      </c>
      <c r="H17" s="141">
        <f t="shared" si="3"/>
        <v>63362510.25</v>
      </c>
      <c r="I17" s="141">
        <f t="shared" si="8"/>
        <v>63362510.25</v>
      </c>
      <c r="J17" s="141">
        <f t="shared" si="11"/>
        <v>6630960.375</v>
      </c>
      <c r="K17" s="141">
        <f t="shared" si="9"/>
        <v>329583289.75</v>
      </c>
      <c r="N17" s="28">
        <f t="shared" si="10"/>
        <v>137432204.7969583</v>
      </c>
      <c r="O17" s="149">
        <f t="shared" si="12"/>
        <v>606136.63893750031</v>
      </c>
      <c r="P17" s="145">
        <f t="shared" si="13"/>
        <v>6450271.4636249989</v>
      </c>
      <c r="Q17" s="145">
        <f t="shared" si="14"/>
        <v>2219882.1748449611</v>
      </c>
      <c r="R17" s="28">
        <f t="shared" si="15"/>
        <v>18499018.12370801</v>
      </c>
      <c r="S17" s="28">
        <f t="shared" si="16"/>
        <v>112482915.20962529</v>
      </c>
      <c r="T17" s="205">
        <f t="shared" si="17"/>
        <v>442066204.9596253</v>
      </c>
      <c r="U17" s="28">
        <f t="shared" si="18"/>
        <v>6061366.3893750003</v>
      </c>
      <c r="V17" s="149">
        <f t="shared" si="19"/>
        <v>8850842.5498449616</v>
      </c>
      <c r="X17" s="223">
        <f t="shared" si="20"/>
        <v>0.72267139146605219</v>
      </c>
      <c r="Y17" s="223">
        <f t="shared" si="21"/>
        <v>0.13839476427296321</v>
      </c>
      <c r="Z17" s="223">
        <f t="shared" si="22"/>
        <v>0.13893384426098471</v>
      </c>
      <c r="AB17" s="223">
        <f t="shared" si="23"/>
        <v>0.81846111234122332</v>
      </c>
      <c r="AC17" s="223">
        <f t="shared" si="24"/>
        <v>4.6934206383100675E-2</v>
      </c>
      <c r="AD17" s="223">
        <f t="shared" si="25"/>
        <v>0.13460468127567607</v>
      </c>
      <c r="AF17" s="28">
        <f t="shared" si="4"/>
        <v>34358051.199239574</v>
      </c>
      <c r="AG17" s="28">
        <f t="shared" si="4"/>
        <v>9620254.3357870821</v>
      </c>
      <c r="AH17" s="28">
        <f t="shared" si="1"/>
        <v>12368898.431726247</v>
      </c>
      <c r="AI17" s="28">
        <f t="shared" si="1"/>
        <v>8245932.2878174977</v>
      </c>
      <c r="AJ17" s="28">
        <f t="shared" si="1"/>
        <v>8245932.2878174977</v>
      </c>
      <c r="AK17" s="28">
        <f t="shared" si="1"/>
        <v>23363474.815482911</v>
      </c>
      <c r="AL17" s="28">
        <f t="shared" si="1"/>
        <v>16491864.575634995</v>
      </c>
      <c r="AM17" s="28">
        <f t="shared" si="1"/>
        <v>26112118.911422078</v>
      </c>
    </row>
    <row r="18" spans="1:39" ht="15" thickBot="1" x14ac:dyDescent="0.35">
      <c r="A18" s="120">
        <f t="shared" si="5"/>
        <v>9243731.875</v>
      </c>
      <c r="B18">
        <v>2030</v>
      </c>
      <c r="C18" s="28">
        <v>424875074.66666704</v>
      </c>
      <c r="D18" s="141">
        <f t="shared" si="0"/>
        <v>5490776.7337499997</v>
      </c>
      <c r="E18" s="141">
        <f t="shared" si="2"/>
        <v>68607432.840374991</v>
      </c>
      <c r="F18" s="142">
        <f t="shared" si="6"/>
        <v>1.7500000000000005E-2</v>
      </c>
      <c r="G18" s="141">
        <f t="shared" si="7"/>
        <v>6876551.5000000019</v>
      </c>
      <c r="H18" s="141">
        <f t="shared" si="3"/>
        <v>70239061.75</v>
      </c>
      <c r="I18" s="141">
        <f t="shared" si="8"/>
        <v>70239061.75</v>
      </c>
      <c r="J18" s="141">
        <f t="shared" si="11"/>
        <v>6876551.5</v>
      </c>
      <c r="K18" s="141">
        <f t="shared" si="9"/>
        <v>322706738.25</v>
      </c>
      <c r="N18" s="28">
        <f t="shared" si="10"/>
        <v>138042291.10070831</v>
      </c>
      <c r="O18" s="149">
        <f t="shared" si="12"/>
        <v>610086.30374999996</v>
      </c>
      <c r="P18" s="145">
        <f t="shared" si="13"/>
        <v>7060357.7673749989</v>
      </c>
      <c r="Q18" s="145">
        <f t="shared" si="14"/>
        <v>2302100.0331725525</v>
      </c>
      <c r="R18" s="28">
        <f t="shared" si="15"/>
        <v>20801118.156880561</v>
      </c>
      <c r="S18" s="28">
        <f t="shared" si="16"/>
        <v>110180815.17645276</v>
      </c>
      <c r="T18" s="205">
        <f t="shared" si="17"/>
        <v>432887553.42645276</v>
      </c>
      <c r="U18" s="28">
        <f t="shared" si="18"/>
        <v>6100863.0374999996</v>
      </c>
      <c r="V18" s="149">
        <f t="shared" si="19"/>
        <v>9178651.5331725515</v>
      </c>
      <c r="X18" s="223">
        <f t="shared" si="20"/>
        <v>0.69917555611966842</v>
      </c>
      <c r="Y18" s="223">
        <f t="shared" si="21"/>
        <v>0.14864468052399579</v>
      </c>
      <c r="Z18" s="223">
        <f t="shared" si="22"/>
        <v>0.15217976335633573</v>
      </c>
      <c r="AB18" s="223">
        <f t="shared" si="23"/>
        <v>0.79816710008145764</v>
      </c>
      <c r="AC18" s="223">
        <f t="shared" si="24"/>
        <v>5.114633864070061E-2</v>
      </c>
      <c r="AD18" s="223">
        <f t="shared" si="25"/>
        <v>0.15068656127784183</v>
      </c>
      <c r="AF18" s="28">
        <f t="shared" si="4"/>
        <v>34510572.775177076</v>
      </c>
      <c r="AG18" s="28">
        <f t="shared" si="4"/>
        <v>9662960.3770495821</v>
      </c>
      <c r="AH18" s="28">
        <f t="shared" si="1"/>
        <v>12423806.199063746</v>
      </c>
      <c r="AI18" s="28">
        <f t="shared" si="1"/>
        <v>8282537.4660424981</v>
      </c>
      <c r="AJ18" s="28">
        <f t="shared" si="1"/>
        <v>8282537.4660424981</v>
      </c>
      <c r="AK18" s="28">
        <f t="shared" si="1"/>
        <v>23467189.487120412</v>
      </c>
      <c r="AL18" s="28">
        <f t="shared" si="1"/>
        <v>16565074.932084996</v>
      </c>
      <c r="AM18" s="28">
        <f t="shared" si="1"/>
        <v>26228035.30913458</v>
      </c>
    </row>
    <row r="19" spans="1:39" ht="15" thickBot="1" x14ac:dyDescent="0.35">
      <c r="A19" s="120">
        <f t="shared" si="5"/>
        <v>9303575.28125</v>
      </c>
      <c r="B19">
        <v>2031</v>
      </c>
      <c r="C19" s="28">
        <v>427551320.93333375</v>
      </c>
      <c r="D19" s="141">
        <f t="shared" si="0"/>
        <v>5526323.7170624994</v>
      </c>
      <c r="E19" s="141">
        <f t="shared" si="2"/>
        <v>74133756.557437494</v>
      </c>
      <c r="F19" s="142">
        <f t="shared" si="6"/>
        <v>1.8125000000000006E-2</v>
      </c>
      <c r="G19" s="141">
        <f t="shared" si="7"/>
        <v>7122142.6250000019</v>
      </c>
      <c r="H19" s="141">
        <f t="shared" si="3"/>
        <v>77361204.375</v>
      </c>
      <c r="I19" s="141">
        <f t="shared" si="8"/>
        <v>77361204.375</v>
      </c>
      <c r="J19" s="141">
        <f t="shared" si="11"/>
        <v>7122142.625</v>
      </c>
      <c r="K19" s="141">
        <f t="shared" si="9"/>
        <v>315584595.625</v>
      </c>
      <c r="N19" s="28">
        <f t="shared" si="10"/>
        <v>138656327.06927082</v>
      </c>
      <c r="O19" s="149">
        <f t="shared" si="12"/>
        <v>614035.96856249962</v>
      </c>
      <c r="P19" s="145">
        <f t="shared" si="13"/>
        <v>7674393.7359374985</v>
      </c>
      <c r="Q19" s="145">
        <f t="shared" si="14"/>
        <v>2384317.8915001433</v>
      </c>
      <c r="R19" s="28">
        <f t="shared" si="15"/>
        <v>23185436.048380703</v>
      </c>
      <c r="S19" s="28">
        <f t="shared" si="16"/>
        <v>107796497.28495261</v>
      </c>
      <c r="T19" s="205">
        <f t="shared" si="17"/>
        <v>423381092.90995264</v>
      </c>
      <c r="U19" s="28">
        <f t="shared" si="18"/>
        <v>6140359.685624999</v>
      </c>
      <c r="V19" s="149">
        <f t="shared" si="19"/>
        <v>9506460.5165001433</v>
      </c>
      <c r="X19" s="223">
        <f t="shared" si="20"/>
        <v>0.67565490973525855</v>
      </c>
      <c r="Y19" s="223">
        <f t="shared" si="21"/>
        <v>0.15871762211952248</v>
      </c>
      <c r="Z19" s="223">
        <f t="shared" si="22"/>
        <v>0.165627468145219</v>
      </c>
      <c r="AB19" s="223">
        <f t="shared" si="23"/>
        <v>0.77743655528318545</v>
      </c>
      <c r="AC19" s="223">
        <f t="shared" si="24"/>
        <v>5.53483126096617E-2</v>
      </c>
      <c r="AD19" s="223">
        <f t="shared" si="25"/>
        <v>0.16721513210715278</v>
      </c>
      <c r="AF19" s="28">
        <f t="shared" si="4"/>
        <v>34664081.767317705</v>
      </c>
      <c r="AG19" s="28">
        <f t="shared" si="4"/>
        <v>9705942.8948489577</v>
      </c>
      <c r="AH19" s="28">
        <f t="shared" si="1"/>
        <v>12479069.436234374</v>
      </c>
      <c r="AI19" s="28">
        <f t="shared" si="1"/>
        <v>8319379.6241562488</v>
      </c>
      <c r="AJ19" s="28">
        <f t="shared" si="1"/>
        <v>8319379.6241562488</v>
      </c>
      <c r="AK19" s="28">
        <f t="shared" si="1"/>
        <v>23571575.601776041</v>
      </c>
      <c r="AL19" s="28">
        <f t="shared" si="1"/>
        <v>16638759.248312498</v>
      </c>
      <c r="AM19" s="28">
        <f t="shared" si="1"/>
        <v>26344702.143161457</v>
      </c>
    </row>
    <row r="20" spans="1:39" ht="15" thickBot="1" x14ac:dyDescent="0.35">
      <c r="A20" s="120">
        <f t="shared" si="5"/>
        <v>9363418.6875</v>
      </c>
      <c r="B20">
        <v>2032</v>
      </c>
      <c r="C20" s="28">
        <v>430227567.20000046</v>
      </c>
      <c r="D20" s="141">
        <f t="shared" si="0"/>
        <v>5561870.700375</v>
      </c>
      <c r="E20" s="141">
        <f t="shared" si="2"/>
        <v>79695627.2578125</v>
      </c>
      <c r="F20" s="142">
        <f t="shared" si="6"/>
        <v>1.8750000000000006E-2</v>
      </c>
      <c r="G20" s="141">
        <f t="shared" si="7"/>
        <v>7367733.7500000028</v>
      </c>
      <c r="H20" s="141">
        <f t="shared" si="3"/>
        <v>84728938.125</v>
      </c>
      <c r="I20" s="141">
        <f t="shared" si="8"/>
        <v>84728938.125</v>
      </c>
      <c r="J20" s="141">
        <f t="shared" si="11"/>
        <v>7367733.75</v>
      </c>
      <c r="K20" s="141">
        <f t="shared" si="9"/>
        <v>308216861.875</v>
      </c>
      <c r="N20" s="28">
        <f t="shared" si="10"/>
        <v>139274312.70264581</v>
      </c>
      <c r="O20" s="149">
        <f t="shared" si="12"/>
        <v>617985.63337500021</v>
      </c>
      <c r="P20" s="145">
        <f t="shared" si="13"/>
        <v>8292379.3693124987</v>
      </c>
      <c r="Q20" s="145">
        <f t="shared" si="14"/>
        <v>2466535.7498277347</v>
      </c>
      <c r="R20" s="28">
        <f t="shared" si="15"/>
        <v>25651971.798208438</v>
      </c>
      <c r="S20" s="28">
        <f t="shared" si="16"/>
        <v>105329961.53512487</v>
      </c>
      <c r="T20" s="205">
        <f t="shared" si="17"/>
        <v>413546823.4101249</v>
      </c>
      <c r="U20" s="28">
        <f t="shared" si="18"/>
        <v>6179856.3337500002</v>
      </c>
      <c r="V20" s="149">
        <f t="shared" si="19"/>
        <v>9834269.4998277351</v>
      </c>
      <c r="X20" s="223">
        <f t="shared" si="20"/>
        <v>0.65211562952325897</v>
      </c>
      <c r="Y20" s="223">
        <f t="shared" si="21"/>
        <v>0.16861752411377345</v>
      </c>
      <c r="Z20" s="223">
        <f t="shared" si="22"/>
        <v>0.17926684636296761</v>
      </c>
      <c r="AB20" s="223">
        <f t="shared" si="23"/>
        <v>0.756277015417818</v>
      </c>
      <c r="AC20" s="223">
        <f t="shared" si="24"/>
        <v>5.9539905158368572E-2</v>
      </c>
      <c r="AD20" s="223">
        <f t="shared" si="25"/>
        <v>0.1841830794238134</v>
      </c>
      <c r="AF20" s="28">
        <f t="shared" si="4"/>
        <v>34818578.175661452</v>
      </c>
      <c r="AG20" s="28">
        <f t="shared" si="4"/>
        <v>9749201.889185207</v>
      </c>
      <c r="AH20" s="28">
        <f t="shared" si="1"/>
        <v>12534688.143238122</v>
      </c>
      <c r="AI20" s="28">
        <f t="shared" si="1"/>
        <v>8356458.7621587478</v>
      </c>
      <c r="AJ20" s="28">
        <f t="shared" si="1"/>
        <v>8356458.7621587478</v>
      </c>
      <c r="AK20" s="28">
        <f t="shared" si="1"/>
        <v>23676633.15944979</v>
      </c>
      <c r="AL20" s="28">
        <f t="shared" si="1"/>
        <v>16712917.524317496</v>
      </c>
      <c r="AM20" s="28">
        <f t="shared" si="1"/>
        <v>26462119.413502704</v>
      </c>
    </row>
    <row r="21" spans="1:39" ht="15" thickBot="1" x14ac:dyDescent="0.35">
      <c r="A21" s="120">
        <f t="shared" si="5"/>
        <v>9423262.09375</v>
      </c>
      <c r="B21">
        <v>2033</v>
      </c>
      <c r="C21" s="28">
        <v>432903813.46666718</v>
      </c>
      <c r="D21" s="141">
        <f t="shared" si="0"/>
        <v>5597417.6836874997</v>
      </c>
      <c r="E21" s="141">
        <f t="shared" si="2"/>
        <v>85293044.941499993</v>
      </c>
      <c r="F21" s="142">
        <f t="shared" si="6"/>
        <v>1.9375000000000007E-2</v>
      </c>
      <c r="G21" s="141">
        <f t="shared" si="7"/>
        <v>7613324.8750000028</v>
      </c>
      <c r="H21" s="141">
        <f t="shared" si="3"/>
        <v>92342263</v>
      </c>
      <c r="I21" s="141">
        <f t="shared" si="8"/>
        <v>92342263</v>
      </c>
      <c r="J21" s="141">
        <f t="shared" si="11"/>
        <v>7613324.875</v>
      </c>
      <c r="K21" s="141">
        <f t="shared" si="9"/>
        <v>300603537</v>
      </c>
      <c r="N21" s="28">
        <f t="shared" si="10"/>
        <v>139896248.0008333</v>
      </c>
      <c r="O21" s="149">
        <f t="shared" si="12"/>
        <v>621935.29818749987</v>
      </c>
      <c r="P21" s="145">
        <f t="shared" si="13"/>
        <v>8914314.6674999986</v>
      </c>
      <c r="Q21" s="145">
        <f t="shared" si="14"/>
        <v>2548753.608155326</v>
      </c>
      <c r="R21" s="28">
        <f t="shared" si="15"/>
        <v>28200725.406363763</v>
      </c>
      <c r="S21" s="28">
        <f t="shared" si="16"/>
        <v>102781207.92696954</v>
      </c>
      <c r="T21" s="205">
        <f t="shared" si="17"/>
        <v>403384744.92696953</v>
      </c>
      <c r="U21" s="28">
        <f t="shared" si="18"/>
        <v>6219352.9818749996</v>
      </c>
      <c r="V21" s="149">
        <f t="shared" si="19"/>
        <v>10162078.483155325</v>
      </c>
      <c r="X21" s="223">
        <f t="shared" si="20"/>
        <v>0.62856361456119481</v>
      </c>
      <c r="Y21" s="223">
        <f t="shared" si="21"/>
        <v>0.1783482162598761</v>
      </c>
      <c r="Z21" s="223">
        <f t="shared" si="22"/>
        <v>0.1930881691789291</v>
      </c>
      <c r="AB21" s="223">
        <f t="shared" si="23"/>
        <v>0.73469595786698527</v>
      </c>
      <c r="AC21" s="223">
        <f t="shared" si="24"/>
        <v>6.3720898843883933E-2</v>
      </c>
      <c r="AD21" s="223">
        <f t="shared" si="25"/>
        <v>0.20158314328913082</v>
      </c>
      <c r="AF21" s="28">
        <f t="shared" si="4"/>
        <v>34974062.000208326</v>
      </c>
      <c r="AG21" s="28">
        <f t="shared" si="4"/>
        <v>9792737.3600583319</v>
      </c>
      <c r="AH21" s="28">
        <f t="shared" si="1"/>
        <v>12590662.320074996</v>
      </c>
      <c r="AI21" s="28">
        <f t="shared" si="1"/>
        <v>8393774.8800499979</v>
      </c>
      <c r="AJ21" s="28">
        <f t="shared" si="1"/>
        <v>8393774.8800499979</v>
      </c>
      <c r="AK21" s="28">
        <f t="shared" si="1"/>
        <v>23782362.160141662</v>
      </c>
      <c r="AL21" s="28">
        <f t="shared" si="1"/>
        <v>16787549.760099996</v>
      </c>
      <c r="AM21" s="28">
        <f t="shared" si="1"/>
        <v>26580287.12015833</v>
      </c>
    </row>
    <row r="22" spans="1:39" ht="15" thickBot="1" x14ac:dyDescent="0.35">
      <c r="A22" s="120">
        <f t="shared" si="5"/>
        <v>9483105.5</v>
      </c>
      <c r="B22">
        <v>2034</v>
      </c>
      <c r="C22" s="28">
        <v>435580059.73333389</v>
      </c>
      <c r="D22" s="141">
        <f t="shared" si="0"/>
        <v>5632964.6669999994</v>
      </c>
      <c r="E22" s="141">
        <f t="shared" si="2"/>
        <v>90926009.608499989</v>
      </c>
      <c r="F22" s="142">
        <f t="shared" si="6"/>
        <v>2.0000000000000007E-2</v>
      </c>
      <c r="G22" s="141">
        <f t="shared" si="7"/>
        <v>7858916.0000000028</v>
      </c>
      <c r="H22" s="141">
        <f t="shared" si="3"/>
        <v>100201179</v>
      </c>
      <c r="I22" s="141">
        <f t="shared" si="8"/>
        <v>100201179</v>
      </c>
      <c r="J22" s="141">
        <f t="shared" si="11"/>
        <v>7858916</v>
      </c>
      <c r="K22" s="141">
        <f t="shared" si="9"/>
        <v>292744621</v>
      </c>
      <c r="N22" s="28">
        <f t="shared" si="10"/>
        <v>140522132.9638333</v>
      </c>
      <c r="O22" s="149">
        <f t="shared" si="12"/>
        <v>625884.96299999952</v>
      </c>
      <c r="P22" s="145">
        <f t="shared" si="13"/>
        <v>9540199.6304999981</v>
      </c>
      <c r="Q22" s="145">
        <f t="shared" si="14"/>
        <v>2630971.4664829173</v>
      </c>
      <c r="R22" s="28">
        <f t="shared" si="15"/>
        <v>30831696.872846682</v>
      </c>
      <c r="S22" s="28">
        <f t="shared" si="16"/>
        <v>100150236.46048662</v>
      </c>
      <c r="T22" s="205">
        <f t="shared" si="17"/>
        <v>392894857.46048665</v>
      </c>
      <c r="U22" s="28">
        <f t="shared" si="18"/>
        <v>6258849.629999999</v>
      </c>
      <c r="V22" s="149">
        <f t="shared" si="19"/>
        <v>10489887.466482917</v>
      </c>
      <c r="X22" s="223">
        <f t="shared" si="20"/>
        <v>0.60500449744501394</v>
      </c>
      <c r="Y22" s="223">
        <f t="shared" si="21"/>
        <v>0.18791342624830343</v>
      </c>
      <c r="Z22" s="223">
        <f t="shared" si="22"/>
        <v>0.20708207630668263</v>
      </c>
      <c r="AB22" s="223">
        <f t="shared" si="23"/>
        <v>0.71270079914217255</v>
      </c>
      <c r="AC22" s="223">
        <f t="shared" si="24"/>
        <v>6.7891081847977597E-2</v>
      </c>
      <c r="AD22" s="223">
        <f t="shared" si="25"/>
        <v>0.21940811900984986</v>
      </c>
      <c r="AF22" s="28">
        <f t="shared" si="4"/>
        <v>35130533.240958326</v>
      </c>
      <c r="AG22" s="28">
        <f t="shared" si="4"/>
        <v>9836549.3074683324</v>
      </c>
      <c r="AH22" s="28">
        <f t="shared" si="4"/>
        <v>12646991.966744997</v>
      </c>
      <c r="AI22" s="28">
        <f t="shared" si="4"/>
        <v>8431327.9778299984</v>
      </c>
      <c r="AJ22" s="28">
        <f t="shared" si="4"/>
        <v>8431327.9778299984</v>
      </c>
      <c r="AK22" s="28">
        <f t="shared" si="4"/>
        <v>23888762.603851665</v>
      </c>
      <c r="AL22" s="28">
        <f t="shared" si="4"/>
        <v>16862655.955659997</v>
      </c>
      <c r="AM22" s="28">
        <f t="shared" si="4"/>
        <v>26699205.263128329</v>
      </c>
    </row>
    <row r="23" spans="1:39" ht="15" thickBot="1" x14ac:dyDescent="0.35">
      <c r="A23" s="120">
        <f t="shared" si="5"/>
        <v>9542948.90625</v>
      </c>
      <c r="B23">
        <v>2035</v>
      </c>
      <c r="C23" s="28">
        <v>438256306.0000006</v>
      </c>
      <c r="D23" s="141">
        <f t="shared" si="0"/>
        <v>5668511.6503125001</v>
      </c>
      <c r="E23" s="141">
        <f t="shared" si="2"/>
        <v>96594521.258812487</v>
      </c>
      <c r="F23" s="142">
        <f t="shared" si="6"/>
        <v>2.0625000000000008E-2</v>
      </c>
      <c r="G23" s="141">
        <f t="shared" si="7"/>
        <v>8104507.1250000028</v>
      </c>
      <c r="H23" s="141">
        <f t="shared" si="3"/>
        <v>108305686.125</v>
      </c>
      <c r="I23" s="141">
        <f t="shared" si="8"/>
        <v>108305686.125</v>
      </c>
      <c r="J23" s="141">
        <f t="shared" si="11"/>
        <v>8104507.125</v>
      </c>
      <c r="K23" s="141">
        <f t="shared" si="9"/>
        <v>284640113.875</v>
      </c>
      <c r="N23" s="28">
        <f t="shared" si="10"/>
        <v>141151967.59164581</v>
      </c>
      <c r="O23" s="149">
        <f t="shared" si="12"/>
        <v>629834.62781250011</v>
      </c>
      <c r="P23" s="145">
        <f t="shared" si="13"/>
        <v>10170034.258312497</v>
      </c>
      <c r="Q23" s="145">
        <f t="shared" si="14"/>
        <v>2713189.3248105082</v>
      </c>
      <c r="R23" s="28">
        <f t="shared" si="15"/>
        <v>33544886.19765719</v>
      </c>
      <c r="S23" s="28">
        <f t="shared" si="16"/>
        <v>97437047.135676116</v>
      </c>
      <c r="T23" s="205">
        <f t="shared" si="17"/>
        <v>382077161.01067615</v>
      </c>
      <c r="U23" s="28">
        <f t="shared" si="18"/>
        <v>6298346.2781250002</v>
      </c>
      <c r="V23" s="149">
        <f t="shared" si="19"/>
        <v>10817696.449810509</v>
      </c>
      <c r="X23" s="223">
        <f t="shared" si="20"/>
        <v>0.58144365543388021</v>
      </c>
      <c r="Y23" s="223">
        <f t="shared" si="21"/>
        <v>0.19731678283502299</v>
      </c>
      <c r="Z23" s="223">
        <f t="shared" si="22"/>
        <v>0.2212395617310968</v>
      </c>
      <c r="AB23" s="223">
        <f t="shared" si="23"/>
        <v>0.6902988941504703</v>
      </c>
      <c r="AC23" s="223">
        <f t="shared" si="24"/>
        <v>7.2050247912480533E-2</v>
      </c>
      <c r="AD23" s="223">
        <f t="shared" si="25"/>
        <v>0.23765085793704921</v>
      </c>
      <c r="AF23" s="28">
        <f t="shared" si="4"/>
        <v>35287991.897911452</v>
      </c>
      <c r="AG23" s="28">
        <f t="shared" si="4"/>
        <v>9880637.7314152066</v>
      </c>
      <c r="AH23" s="28">
        <f t="shared" si="4"/>
        <v>12703677.083248122</v>
      </c>
      <c r="AI23" s="28">
        <f t="shared" si="4"/>
        <v>8469118.055498749</v>
      </c>
      <c r="AJ23" s="28">
        <f t="shared" si="4"/>
        <v>8469118.055498749</v>
      </c>
      <c r="AK23" s="28">
        <f t="shared" si="4"/>
        <v>23995834.490579788</v>
      </c>
      <c r="AL23" s="28">
        <f t="shared" si="4"/>
        <v>16938236.110997498</v>
      </c>
      <c r="AM23" s="28">
        <f t="shared" si="4"/>
        <v>26818873.842412703</v>
      </c>
    </row>
    <row r="24" spans="1:39" ht="15" thickBot="1" x14ac:dyDescent="0.35">
      <c r="A24" s="120">
        <f t="shared" si="5"/>
        <v>9602792.3125</v>
      </c>
      <c r="B24">
        <v>2036</v>
      </c>
      <c r="C24" s="28">
        <v>440932552.26666731</v>
      </c>
      <c r="D24" s="141">
        <f t="shared" si="0"/>
        <v>5704058.6336249998</v>
      </c>
      <c r="E24" s="141">
        <f t="shared" si="2"/>
        <v>102298579.89243749</v>
      </c>
      <c r="F24" s="142">
        <f t="shared" si="6"/>
        <v>2.1250000000000008E-2</v>
      </c>
      <c r="G24" s="141">
        <f t="shared" si="7"/>
        <v>8350098.2500000037</v>
      </c>
      <c r="H24" s="141">
        <f t="shared" si="3"/>
        <v>116655784.375</v>
      </c>
      <c r="I24" s="141">
        <f t="shared" si="8"/>
        <v>116655784.375</v>
      </c>
      <c r="J24" s="141">
        <f t="shared" si="11"/>
        <v>8350098.25</v>
      </c>
      <c r="K24" s="141">
        <f t="shared" si="9"/>
        <v>276290015.625</v>
      </c>
      <c r="N24" s="28">
        <f t="shared" si="10"/>
        <v>141785751.88427082</v>
      </c>
      <c r="O24" s="149">
        <f t="shared" si="12"/>
        <v>633784.29262499977</v>
      </c>
      <c r="P24" s="145">
        <f t="shared" si="13"/>
        <v>10803818.550937496</v>
      </c>
      <c r="Q24" s="145">
        <f t="shared" si="14"/>
        <v>2795407.1831380995</v>
      </c>
      <c r="R24" s="28">
        <f t="shared" si="15"/>
        <v>36340293.380795293</v>
      </c>
      <c r="S24" s="28">
        <f t="shared" si="16"/>
        <v>94641639.952538013</v>
      </c>
      <c r="T24" s="205">
        <f t="shared" si="17"/>
        <v>370931655.57753801</v>
      </c>
      <c r="U24" s="28">
        <f t="shared" si="18"/>
        <v>6337842.9262499996</v>
      </c>
      <c r="V24" s="149">
        <f t="shared" si="19"/>
        <v>11145505.433138099</v>
      </c>
      <c r="X24" s="223">
        <f t="shared" si="20"/>
        <v>0.55788622111170183</v>
      </c>
      <c r="Y24" s="223">
        <f t="shared" si="21"/>
        <v>0.20656181886335753</v>
      </c>
      <c r="Z24" s="223">
        <f t="shared" si="22"/>
        <v>0.23555196002494075</v>
      </c>
      <c r="AB24" s="223">
        <f t="shared" si="23"/>
        <v>0.66749753550545032</v>
      </c>
      <c r="AC24" s="223">
        <f t="shared" si="24"/>
        <v>7.6198196274022328E-2</v>
      </c>
      <c r="AD24" s="223">
        <f t="shared" si="25"/>
        <v>0.25630426822052743</v>
      </c>
      <c r="AF24" s="28">
        <f t="shared" si="4"/>
        <v>35446437.971067704</v>
      </c>
      <c r="AG24" s="28">
        <f t="shared" si="4"/>
        <v>9925002.6318989582</v>
      </c>
      <c r="AH24" s="28">
        <f t="shared" si="4"/>
        <v>12760717.669584373</v>
      </c>
      <c r="AI24" s="28">
        <f t="shared" si="4"/>
        <v>8507145.1130562481</v>
      </c>
      <c r="AJ24" s="28">
        <f t="shared" si="4"/>
        <v>8507145.1130562481</v>
      </c>
      <c r="AK24" s="28">
        <f t="shared" si="4"/>
        <v>24103577.820326041</v>
      </c>
      <c r="AL24" s="28">
        <f t="shared" si="4"/>
        <v>17014290.226112496</v>
      </c>
      <c r="AM24" s="28">
        <f t="shared" si="4"/>
        <v>26939292.858011454</v>
      </c>
    </row>
    <row r="25" spans="1:39" ht="15" thickBot="1" x14ac:dyDescent="0.35">
      <c r="A25" s="120">
        <f t="shared" si="5"/>
        <v>9662635.71875</v>
      </c>
      <c r="B25">
        <v>2037</v>
      </c>
      <c r="C25" s="28">
        <v>443608798.53333402</v>
      </c>
      <c r="D25" s="141">
        <f t="shared" si="0"/>
        <v>5739605.6169374995</v>
      </c>
      <c r="E25" s="141">
        <f t="shared" si="2"/>
        <v>108038185.50937499</v>
      </c>
      <c r="F25" s="142">
        <f t="shared" si="6"/>
        <v>2.1875000000000009E-2</v>
      </c>
      <c r="G25" s="141">
        <f t="shared" si="7"/>
        <v>8595689.3750000037</v>
      </c>
      <c r="H25" s="141">
        <f t="shared" si="3"/>
        <v>125251473.75</v>
      </c>
      <c r="I25" s="141">
        <f t="shared" si="8"/>
        <v>125251473.75</v>
      </c>
      <c r="J25" s="141">
        <f t="shared" si="11"/>
        <v>8595689.375</v>
      </c>
      <c r="K25" s="141">
        <f t="shared" si="9"/>
        <v>267694326.25</v>
      </c>
      <c r="N25" s="28">
        <f t="shared" si="10"/>
        <v>142423485.8417083</v>
      </c>
      <c r="O25" s="149">
        <f t="shared" si="12"/>
        <v>637733.95743749943</v>
      </c>
      <c r="P25" s="145">
        <f t="shared" si="13"/>
        <v>11441552.508374996</v>
      </c>
      <c r="Q25" s="145">
        <f t="shared" si="14"/>
        <v>2877625.0414656908</v>
      </c>
      <c r="R25" s="28">
        <f t="shared" si="15"/>
        <v>39217918.422260985</v>
      </c>
      <c r="S25" s="28">
        <f t="shared" si="16"/>
        <v>91764014.911072314</v>
      </c>
      <c r="T25" s="205">
        <f t="shared" si="17"/>
        <v>359458341.16107231</v>
      </c>
      <c r="U25" s="28">
        <f t="shared" si="18"/>
        <v>6377339.5743749989</v>
      </c>
      <c r="V25" s="149">
        <f t="shared" si="19"/>
        <v>11473314.41646569</v>
      </c>
      <c r="X25" s="223">
        <f t="shared" si="20"/>
        <v>0.53433709258754458</v>
      </c>
      <c r="Y25" s="223">
        <f t="shared" si="21"/>
        <v>0.2156519741834208</v>
      </c>
      <c r="Z25" s="223">
        <f t="shared" si="22"/>
        <v>0.25001093322903462</v>
      </c>
      <c r="AB25" s="223">
        <f t="shared" si="23"/>
        <v>0.64430395288218323</v>
      </c>
      <c r="AC25" s="223">
        <f t="shared" si="24"/>
        <v>8.033473159820928E-2</v>
      </c>
      <c r="AD25" s="223">
        <f t="shared" si="25"/>
        <v>0.27536131551960746</v>
      </c>
      <c r="AF25" s="28">
        <f t="shared" si="4"/>
        <v>35605871.460427076</v>
      </c>
      <c r="AG25" s="28">
        <f t="shared" si="4"/>
        <v>9969644.0089195818</v>
      </c>
      <c r="AH25" s="28">
        <f t="shared" si="4"/>
        <v>12818113.725753747</v>
      </c>
      <c r="AI25" s="28">
        <f t="shared" si="4"/>
        <v>8545409.1505024973</v>
      </c>
      <c r="AJ25" s="28">
        <f t="shared" si="4"/>
        <v>8545409.1505024973</v>
      </c>
      <c r="AK25" s="28">
        <f t="shared" si="4"/>
        <v>24211992.593090415</v>
      </c>
      <c r="AL25" s="28">
        <f t="shared" si="4"/>
        <v>17090818.301004995</v>
      </c>
      <c r="AM25" s="28">
        <f t="shared" si="4"/>
        <v>27060462.309924576</v>
      </c>
    </row>
    <row r="26" spans="1:39" ht="15" thickBot="1" x14ac:dyDescent="0.35">
      <c r="A26" s="120">
        <f t="shared" si="5"/>
        <v>9722479.125</v>
      </c>
      <c r="B26">
        <v>2038</v>
      </c>
      <c r="C26" s="28">
        <v>446285044.80000073</v>
      </c>
      <c r="D26" s="141">
        <f t="shared" si="0"/>
        <v>5775152.6002500001</v>
      </c>
      <c r="E26" s="141">
        <f t="shared" si="2"/>
        <v>113813338.109625</v>
      </c>
      <c r="F26" s="142">
        <f t="shared" si="6"/>
        <v>2.250000000000001E-2</v>
      </c>
      <c r="G26" s="141">
        <f t="shared" si="7"/>
        <v>8841280.5000000037</v>
      </c>
      <c r="H26" s="141">
        <f t="shared" si="3"/>
        <v>134092754.25</v>
      </c>
      <c r="I26" s="141">
        <f t="shared" si="8"/>
        <v>134092754.25</v>
      </c>
      <c r="J26" s="141">
        <f t="shared" si="11"/>
        <v>8841280.5</v>
      </c>
      <c r="K26" s="141">
        <f t="shared" si="9"/>
        <v>258853045.75</v>
      </c>
      <c r="N26" s="28">
        <f t="shared" si="10"/>
        <v>143065169.46395829</v>
      </c>
      <c r="O26" s="149">
        <f t="shared" si="12"/>
        <v>641683.62225000001</v>
      </c>
      <c r="P26" s="145">
        <f t="shared" si="13"/>
        <v>12083236.130624996</v>
      </c>
      <c r="Q26" s="145">
        <f t="shared" si="14"/>
        <v>2959842.8997932822</v>
      </c>
      <c r="R26" s="28">
        <f t="shared" si="15"/>
        <v>42177761.322054267</v>
      </c>
      <c r="S26" s="28">
        <f t="shared" si="16"/>
        <v>88804172.011279032</v>
      </c>
      <c r="T26" s="205">
        <f t="shared" si="17"/>
        <v>347657217.76127905</v>
      </c>
      <c r="U26" s="28">
        <f t="shared" si="18"/>
        <v>6416836.2225000001</v>
      </c>
      <c r="V26" s="149">
        <f t="shared" si="19"/>
        <v>11801123.399793282</v>
      </c>
      <c r="X26" s="223">
        <f t="shared" si="20"/>
        <v>0.51080094325601177</v>
      </c>
      <c r="Y26" s="223">
        <f t="shared" si="21"/>
        <v>0.22459059847284737</v>
      </c>
      <c r="Z26" s="223">
        <f t="shared" si="22"/>
        <v>0.26460845827114082</v>
      </c>
      <c r="AB26" s="223">
        <f t="shared" si="23"/>
        <v>0.62072531241540962</v>
      </c>
      <c r="AC26" s="223">
        <f t="shared" si="24"/>
        <v>8.4459663913298386E-2</v>
      </c>
      <c r="AD26" s="223">
        <f t="shared" si="25"/>
        <v>0.29481502367129203</v>
      </c>
      <c r="AF26" s="28">
        <f t="shared" si="4"/>
        <v>35766292.365989573</v>
      </c>
      <c r="AG26" s="28">
        <f t="shared" si="4"/>
        <v>10014561.862477081</v>
      </c>
      <c r="AH26" s="28">
        <f t="shared" si="4"/>
        <v>12875865.251756245</v>
      </c>
      <c r="AI26" s="28">
        <f t="shared" si="4"/>
        <v>8583910.1678374968</v>
      </c>
      <c r="AJ26" s="28">
        <f t="shared" si="4"/>
        <v>8583910.1678374968</v>
      </c>
      <c r="AK26" s="28">
        <f t="shared" si="4"/>
        <v>24321078.808872912</v>
      </c>
      <c r="AL26" s="28">
        <f t="shared" si="4"/>
        <v>17167820.335674994</v>
      </c>
      <c r="AM26" s="28">
        <f t="shared" si="4"/>
        <v>27182382.198152076</v>
      </c>
    </row>
    <row r="27" spans="1:39" ht="15" thickBot="1" x14ac:dyDescent="0.35">
      <c r="A27" s="120">
        <f t="shared" si="5"/>
        <v>9782322.53125</v>
      </c>
      <c r="B27">
        <v>2039</v>
      </c>
      <c r="C27" s="28">
        <v>448961291.06666744</v>
      </c>
      <c r="D27" s="141">
        <f t="shared" si="0"/>
        <v>5810699.5835624998</v>
      </c>
      <c r="E27" s="141">
        <f t="shared" si="2"/>
        <v>119624037.69318749</v>
      </c>
      <c r="F27" s="142">
        <f t="shared" si="6"/>
        <v>2.312500000000001E-2</v>
      </c>
      <c r="G27" s="141">
        <f t="shared" si="7"/>
        <v>9086871.6250000037</v>
      </c>
      <c r="H27" s="141">
        <f t="shared" si="3"/>
        <v>143179625.875</v>
      </c>
      <c r="I27" s="141">
        <f t="shared" si="8"/>
        <v>143179625.875</v>
      </c>
      <c r="J27" s="141">
        <f t="shared" si="11"/>
        <v>9086871.625</v>
      </c>
      <c r="K27" s="141">
        <f t="shared" si="9"/>
        <v>249766174.125</v>
      </c>
      <c r="N27" s="28">
        <f t="shared" si="10"/>
        <v>143710802.75102079</v>
      </c>
      <c r="O27" s="149">
        <f t="shared" si="12"/>
        <v>645633.28706249967</v>
      </c>
      <c r="P27" s="145">
        <f t="shared" si="13"/>
        <v>12728869.417687496</v>
      </c>
      <c r="Q27" s="145">
        <f t="shared" si="14"/>
        <v>3042060.758120873</v>
      </c>
      <c r="R27" s="28">
        <f t="shared" si="15"/>
        <v>45219822.080175139</v>
      </c>
      <c r="S27" s="28">
        <f t="shared" si="16"/>
        <v>85762111.253158167</v>
      </c>
      <c r="T27" s="205">
        <f t="shared" si="17"/>
        <v>335528285.37815815</v>
      </c>
      <c r="U27" s="28">
        <f t="shared" si="18"/>
        <v>6456332.8706249995</v>
      </c>
      <c r="V27" s="149">
        <f t="shared" si="19"/>
        <v>12128932.383120872</v>
      </c>
      <c r="X27" s="223">
        <f t="shared" si="20"/>
        <v>0.4872822311376509</v>
      </c>
      <c r="Y27" s="223">
        <f t="shared" si="21"/>
        <v>0.23338095396239777</v>
      </c>
      <c r="Z27" s="223">
        <f t="shared" si="22"/>
        <v>0.27933681489995132</v>
      </c>
      <c r="AB27" s="223">
        <f t="shared" si="23"/>
        <v>0.5967687161398797</v>
      </c>
      <c r="AC27" s="223">
        <f t="shared" si="24"/>
        <v>8.857280854342095E-2</v>
      </c>
      <c r="AD27" s="223">
        <f t="shared" si="25"/>
        <v>0.31465847531669944</v>
      </c>
      <c r="AF27" s="28">
        <f t="shared" si="4"/>
        <v>35927700.687755197</v>
      </c>
      <c r="AG27" s="28">
        <f t="shared" si="4"/>
        <v>10059756.192571456</v>
      </c>
      <c r="AH27" s="28">
        <f t="shared" si="4"/>
        <v>12933972.24759187</v>
      </c>
      <c r="AI27" s="28">
        <f t="shared" si="4"/>
        <v>8622648.1650612466</v>
      </c>
      <c r="AJ27" s="28">
        <f t="shared" si="4"/>
        <v>8622648.1650612466</v>
      </c>
      <c r="AK27" s="28">
        <f t="shared" si="4"/>
        <v>24430836.467673536</v>
      </c>
      <c r="AL27" s="28">
        <f t="shared" si="4"/>
        <v>17245296.330122493</v>
      </c>
      <c r="AM27" s="28">
        <f t="shared" si="4"/>
        <v>27305052.522693951</v>
      </c>
    </row>
    <row r="28" spans="1:39" ht="15" thickBot="1" x14ac:dyDescent="0.35">
      <c r="A28" s="120">
        <f t="shared" si="5"/>
        <v>9842165.9375</v>
      </c>
      <c r="B28">
        <v>2040</v>
      </c>
      <c r="C28" s="28">
        <v>451637537.33333415</v>
      </c>
      <c r="D28" s="141">
        <f t="shared" si="0"/>
        <v>5846246.5668749996</v>
      </c>
      <c r="E28" s="141">
        <f t="shared" si="2"/>
        <v>125470284.26006249</v>
      </c>
      <c r="F28" s="142">
        <f t="shared" si="6"/>
        <v>2.3750000000000011E-2</v>
      </c>
      <c r="G28" s="141">
        <f t="shared" si="7"/>
        <v>9332462.7500000037</v>
      </c>
      <c r="H28" s="141">
        <f t="shared" si="3"/>
        <v>152512088.625</v>
      </c>
      <c r="I28" s="141">
        <f t="shared" si="8"/>
        <v>152512088.625</v>
      </c>
      <c r="J28" s="141">
        <f t="shared" si="11"/>
        <v>9332462.75</v>
      </c>
      <c r="K28" s="141">
        <f t="shared" si="9"/>
        <v>240433711.375</v>
      </c>
      <c r="N28" s="28">
        <f t="shared" si="10"/>
        <v>144360385.70289579</v>
      </c>
      <c r="O28" s="149">
        <f t="shared" si="12"/>
        <v>649582.95187499933</v>
      </c>
      <c r="P28" s="145">
        <f t="shared" si="13"/>
        <v>13378452.369562495</v>
      </c>
      <c r="Q28" s="145">
        <f t="shared" si="14"/>
        <v>3124278.6164484643</v>
      </c>
      <c r="R28" s="28">
        <f t="shared" si="15"/>
        <v>48344100.696623601</v>
      </c>
      <c r="S28" s="28">
        <f t="shared" si="16"/>
        <v>82637832.636709705</v>
      </c>
      <c r="T28" s="205">
        <f t="shared" si="17"/>
        <v>323071544.01170969</v>
      </c>
      <c r="U28" s="28">
        <f t="shared" si="18"/>
        <v>6495829.5187499989</v>
      </c>
      <c r="V28" s="149">
        <f t="shared" si="19"/>
        <v>12456741.366448464</v>
      </c>
      <c r="X28" s="223">
        <f t="shared" si="20"/>
        <v>0.46378520781848831</v>
      </c>
      <c r="Y28" s="223">
        <f t="shared" si="21"/>
        <v>0.24202621806988642</v>
      </c>
      <c r="Z28" s="223">
        <f t="shared" si="22"/>
        <v>0.29418857411162536</v>
      </c>
      <c r="AB28" s="223">
        <f t="shared" si="23"/>
        <v>0.57244120147188005</v>
      </c>
      <c r="AC28" s="223">
        <f t="shared" si="24"/>
        <v>9.2673986041408363E-2</v>
      </c>
      <c r="AD28" s="223">
        <f t="shared" si="25"/>
        <v>0.33488481248671143</v>
      </c>
      <c r="AF28" s="28">
        <f t="shared" si="4"/>
        <v>36090096.425723948</v>
      </c>
      <c r="AG28" s="28">
        <f t="shared" si="4"/>
        <v>10105226.999202706</v>
      </c>
      <c r="AH28" s="28">
        <f t="shared" si="4"/>
        <v>12992434.713260621</v>
      </c>
      <c r="AI28" s="28">
        <f t="shared" si="4"/>
        <v>8661623.1421737466</v>
      </c>
      <c r="AJ28" s="28">
        <f t="shared" si="4"/>
        <v>8661623.1421737466</v>
      </c>
      <c r="AK28" s="28">
        <f t="shared" si="4"/>
        <v>24541265.569492288</v>
      </c>
      <c r="AL28" s="28">
        <f t="shared" si="4"/>
        <v>17323246.284347493</v>
      </c>
      <c r="AM28" s="28">
        <f t="shared" si="4"/>
        <v>27428473.283550199</v>
      </c>
    </row>
    <row r="29" spans="1:39" ht="15" thickBot="1" x14ac:dyDescent="0.35">
      <c r="A29" s="120">
        <f t="shared" si="5"/>
        <v>9902009.34375</v>
      </c>
      <c r="B29">
        <v>2041</v>
      </c>
      <c r="C29" s="28">
        <v>454313783.60000086</v>
      </c>
      <c r="D29" s="141">
        <f t="shared" si="0"/>
        <v>5881793.5501875002</v>
      </c>
      <c r="E29" s="141">
        <f t="shared" si="2"/>
        <v>131352077.81024998</v>
      </c>
      <c r="F29" s="142">
        <f t="shared" si="6"/>
        <v>2.4375000000000011E-2</v>
      </c>
      <c r="G29" s="141">
        <f t="shared" si="7"/>
        <v>9578053.8750000037</v>
      </c>
      <c r="H29" s="141">
        <f t="shared" si="3"/>
        <v>162090142.5</v>
      </c>
      <c r="I29" s="141">
        <f t="shared" si="8"/>
        <v>162090142.5</v>
      </c>
      <c r="J29" s="141">
        <f t="shared" si="11"/>
        <v>9578053.875</v>
      </c>
      <c r="K29" s="141">
        <f t="shared" si="9"/>
        <v>230855657.5</v>
      </c>
      <c r="N29" s="28">
        <f t="shared" si="10"/>
        <v>145013918.3195833</v>
      </c>
      <c r="O29" s="149">
        <f t="shared" si="12"/>
        <v>653532.61668749992</v>
      </c>
      <c r="P29" s="145">
        <f t="shared" si="13"/>
        <v>14031984.986249994</v>
      </c>
      <c r="Q29" s="145">
        <f t="shared" si="14"/>
        <v>3206496.4747760557</v>
      </c>
      <c r="R29" s="28">
        <f t="shared" si="15"/>
        <v>51550597.171399653</v>
      </c>
      <c r="S29" s="28">
        <f t="shared" si="16"/>
        <v>79431336.161933646</v>
      </c>
      <c r="T29" s="205">
        <f t="shared" si="17"/>
        <v>310286993.66193366</v>
      </c>
      <c r="U29" s="28">
        <f t="shared" si="18"/>
        <v>6535326.1668750001</v>
      </c>
      <c r="V29" s="149">
        <f t="shared" si="19"/>
        <v>12784550.349776056</v>
      </c>
      <c r="X29" s="223">
        <f t="shared" si="20"/>
        <v>0.44031392700687144</v>
      </c>
      <c r="Y29" s="223">
        <f t="shared" si="21"/>
        <v>0.25052948594575081</v>
      </c>
      <c r="Z29" s="223">
        <f t="shared" si="22"/>
        <v>0.30915658704737781</v>
      </c>
      <c r="AB29" s="223">
        <f t="shared" si="23"/>
        <v>0.54774974073096883</v>
      </c>
      <c r="AC29" s="223">
        <f t="shared" si="24"/>
        <v>9.6763022121270789E-2</v>
      </c>
      <c r="AD29" s="223">
        <f t="shared" si="25"/>
        <v>0.35548723714776032</v>
      </c>
      <c r="AF29" s="28">
        <f t="shared" si="4"/>
        <v>36253479.579895824</v>
      </c>
      <c r="AG29" s="28">
        <f t="shared" si="4"/>
        <v>10150974.282370832</v>
      </c>
      <c r="AH29" s="28">
        <f t="shared" si="4"/>
        <v>13051252.648762496</v>
      </c>
      <c r="AI29" s="28">
        <f t="shared" si="4"/>
        <v>8700835.0991749968</v>
      </c>
      <c r="AJ29" s="28">
        <f t="shared" si="4"/>
        <v>8700835.0991749968</v>
      </c>
      <c r="AK29" s="28">
        <f t="shared" si="4"/>
        <v>24652366.114329163</v>
      </c>
      <c r="AL29" s="28">
        <f t="shared" si="4"/>
        <v>17401670.198349994</v>
      </c>
      <c r="AM29" s="28">
        <f t="shared" si="4"/>
        <v>27552644.480720825</v>
      </c>
    </row>
    <row r="30" spans="1:39" ht="15" thickBot="1" x14ac:dyDescent="0.35">
      <c r="A30" s="120">
        <f t="shared" si="5"/>
        <v>9961852.75</v>
      </c>
      <c r="B30">
        <v>2042</v>
      </c>
      <c r="C30" s="28">
        <v>456990029.86666757</v>
      </c>
      <c r="D30" s="141">
        <f t="shared" si="0"/>
        <v>5917340.5334999999</v>
      </c>
      <c r="E30" s="141">
        <f t="shared" si="2"/>
        <v>137269418.34374997</v>
      </c>
      <c r="F30" s="142">
        <f t="shared" si="6"/>
        <v>2.5000000000000012E-2</v>
      </c>
      <c r="G30" s="141">
        <f t="shared" si="7"/>
        <v>9823645.0000000037</v>
      </c>
      <c r="H30" s="141">
        <f t="shared" si="3"/>
        <v>171913787.5</v>
      </c>
      <c r="I30" s="141">
        <f t="shared" si="8"/>
        <v>171913787.5</v>
      </c>
      <c r="J30" s="141">
        <f t="shared" si="11"/>
        <v>9823645</v>
      </c>
      <c r="K30" s="141">
        <f t="shared" si="9"/>
        <v>221032012.5</v>
      </c>
      <c r="N30" s="28">
        <f t="shared" si="10"/>
        <v>145671400.60108331</v>
      </c>
      <c r="O30" s="149">
        <f t="shared" si="12"/>
        <v>657482.28149999958</v>
      </c>
      <c r="P30" s="145">
        <f t="shared" si="13"/>
        <v>14689467.267749995</v>
      </c>
      <c r="Q30" s="145">
        <f t="shared" si="14"/>
        <v>3288714.333103647</v>
      </c>
      <c r="R30" s="28">
        <f t="shared" si="15"/>
        <v>54839311.504503302</v>
      </c>
      <c r="S30" s="28">
        <f t="shared" si="16"/>
        <v>76142621.828830004</v>
      </c>
      <c r="T30" s="205">
        <f t="shared" si="17"/>
        <v>297174634.32883</v>
      </c>
      <c r="U30" s="28">
        <f t="shared" si="18"/>
        <v>6574822.8149999995</v>
      </c>
      <c r="V30" s="149">
        <f t="shared" si="19"/>
        <v>13112359.333103647</v>
      </c>
      <c r="X30" s="223">
        <f t="shared" si="20"/>
        <v>0.41687225272493056</v>
      </c>
      <c r="Y30" s="223">
        <f t="shared" si="21"/>
        <v>0.25889377293345667</v>
      </c>
      <c r="Z30" s="223">
        <f t="shared" si="22"/>
        <v>0.32423397434161266</v>
      </c>
      <c r="AB30" s="223">
        <f t="shared" si="23"/>
        <v>0.52270124070094071</v>
      </c>
      <c r="AC30" s="223">
        <f t="shared" si="24"/>
        <v>0.10083974759037742</v>
      </c>
      <c r="AD30" s="223">
        <f t="shared" si="25"/>
        <v>0.37645901170868185</v>
      </c>
      <c r="AF30" s="28">
        <f t="shared" si="4"/>
        <v>36417850.150270827</v>
      </c>
      <c r="AG30" s="28">
        <f t="shared" si="4"/>
        <v>10196998.042075833</v>
      </c>
      <c r="AH30" s="28">
        <f t="shared" si="4"/>
        <v>13110426.054097498</v>
      </c>
      <c r="AI30" s="28">
        <f t="shared" si="4"/>
        <v>8740284.0360649973</v>
      </c>
      <c r="AJ30" s="28">
        <f t="shared" si="4"/>
        <v>8740284.0360649973</v>
      </c>
      <c r="AK30" s="28">
        <f t="shared" si="4"/>
        <v>24764138.102184165</v>
      </c>
      <c r="AL30" s="28">
        <f t="shared" si="4"/>
        <v>17480568.072129995</v>
      </c>
      <c r="AM30" s="28">
        <f t="shared" si="4"/>
        <v>27677566.11420583</v>
      </c>
    </row>
    <row r="31" spans="1:39" ht="15" thickBot="1" x14ac:dyDescent="0.35">
      <c r="A31" s="120">
        <f t="shared" si="5"/>
        <v>10021696.15625</v>
      </c>
      <c r="B31">
        <v>2043</v>
      </c>
      <c r="C31" s="28">
        <v>459666276.13333428</v>
      </c>
      <c r="D31" s="141">
        <f t="shared" si="0"/>
        <v>5952887.5168124996</v>
      </c>
      <c r="E31" s="141">
        <f t="shared" si="2"/>
        <v>143222305.86056247</v>
      </c>
      <c r="F31" s="142">
        <f t="shared" si="6"/>
        <v>2.5625000000000012E-2</v>
      </c>
      <c r="G31" s="141">
        <f t="shared" si="7"/>
        <v>10069236.125000006</v>
      </c>
      <c r="H31" s="141">
        <f t="shared" si="3"/>
        <v>181983023.625</v>
      </c>
      <c r="I31" s="141">
        <f t="shared" si="8"/>
        <v>181983023.625</v>
      </c>
      <c r="J31" s="141">
        <f t="shared" si="11"/>
        <v>10069236.125</v>
      </c>
      <c r="K31" s="141">
        <f t="shared" si="9"/>
        <v>210962776.375</v>
      </c>
      <c r="N31" s="28">
        <f t="shared" si="10"/>
        <v>146332832.5473958</v>
      </c>
      <c r="O31" s="149">
        <f t="shared" si="12"/>
        <v>661431.94631250016</v>
      </c>
      <c r="P31" s="145">
        <f t="shared" si="13"/>
        <v>15350899.214062495</v>
      </c>
      <c r="Q31" s="145">
        <f t="shared" si="14"/>
        <v>3370932.1914312379</v>
      </c>
      <c r="R31" s="28">
        <f t="shared" si="15"/>
        <v>58210243.695934542</v>
      </c>
      <c r="S31" s="28">
        <f t="shared" si="16"/>
        <v>72771689.637398764</v>
      </c>
      <c r="T31" s="205">
        <f t="shared" si="17"/>
        <v>283734466.01239878</v>
      </c>
      <c r="U31" s="28">
        <f t="shared" si="18"/>
        <v>6614319.4631249998</v>
      </c>
      <c r="V31" s="149">
        <f t="shared" si="19"/>
        <v>13440168.316431237</v>
      </c>
      <c r="X31" s="223">
        <f t="shared" si="20"/>
        <v>0.3934638671511424</v>
      </c>
      <c r="Y31" s="223">
        <f t="shared" si="21"/>
        <v>0.26712201694781396</v>
      </c>
      <c r="Z31" s="223">
        <f t="shared" si="22"/>
        <v>0.3394141159010437</v>
      </c>
      <c r="AB31" s="223">
        <f t="shared" si="23"/>
        <v>0.49730254222905657</v>
      </c>
      <c r="AC31" s="223">
        <f t="shared" si="24"/>
        <v>0.10490399828138697</v>
      </c>
      <c r="AD31" s="223">
        <f t="shared" si="25"/>
        <v>0.39779345948955647</v>
      </c>
      <c r="AF31" s="28">
        <f t="shared" si="4"/>
        <v>36583208.136848949</v>
      </c>
      <c r="AG31" s="28">
        <f t="shared" si="4"/>
        <v>10243298.278317707</v>
      </c>
      <c r="AH31" s="28">
        <f t="shared" si="4"/>
        <v>13169954.92926562</v>
      </c>
      <c r="AI31" s="28">
        <f t="shared" si="4"/>
        <v>8779969.952843748</v>
      </c>
      <c r="AJ31" s="28">
        <f t="shared" si="4"/>
        <v>8779969.952843748</v>
      </c>
      <c r="AK31" s="28">
        <f t="shared" si="4"/>
        <v>24876581.533057287</v>
      </c>
      <c r="AL31" s="28">
        <f t="shared" si="4"/>
        <v>17559939.905687496</v>
      </c>
      <c r="AM31" s="28">
        <f t="shared" si="4"/>
        <v>27803238.184005201</v>
      </c>
    </row>
    <row r="32" spans="1:39" ht="15" thickBot="1" x14ac:dyDescent="0.35">
      <c r="A32" s="120">
        <f t="shared" si="5"/>
        <v>10081539.5625</v>
      </c>
      <c r="B32">
        <v>2044</v>
      </c>
      <c r="C32" s="28">
        <v>462342522.40000093</v>
      </c>
      <c r="D32" s="141">
        <f t="shared" si="0"/>
        <v>5988434.5001250003</v>
      </c>
      <c r="E32" s="141">
        <f t="shared" si="2"/>
        <v>149210740.36068746</v>
      </c>
      <c r="F32" s="142">
        <f t="shared" si="6"/>
        <v>2.6250000000000013E-2</v>
      </c>
      <c r="G32" s="141">
        <f t="shared" si="7"/>
        <v>10314827.250000006</v>
      </c>
      <c r="H32" s="141">
        <f t="shared" si="3"/>
        <v>192297850.875</v>
      </c>
      <c r="I32" s="141">
        <f t="shared" si="8"/>
        <v>192297850.875</v>
      </c>
      <c r="J32" s="141">
        <f t="shared" si="11"/>
        <v>10314827.25</v>
      </c>
      <c r="K32" s="141">
        <f t="shared" si="9"/>
        <v>200647949.125</v>
      </c>
      <c r="N32" s="28">
        <f t="shared" si="10"/>
        <v>146998214.15852079</v>
      </c>
      <c r="O32" s="149">
        <f t="shared" si="12"/>
        <v>665381.61112499982</v>
      </c>
      <c r="P32" s="145">
        <f t="shared" si="13"/>
        <v>16016280.825187495</v>
      </c>
      <c r="Q32" s="145">
        <f t="shared" si="14"/>
        <v>3453150.0497588292</v>
      </c>
      <c r="R32" s="28">
        <f t="shared" si="15"/>
        <v>61663393.745693371</v>
      </c>
      <c r="S32" s="28">
        <f t="shared" si="16"/>
        <v>69318539.587639928</v>
      </c>
      <c r="T32" s="205">
        <f t="shared" si="17"/>
        <v>269966488.71263993</v>
      </c>
      <c r="U32" s="28">
        <f t="shared" si="18"/>
        <v>6653816.1112500001</v>
      </c>
      <c r="V32" s="149">
        <f t="shared" si="19"/>
        <v>13767977.299758829</v>
      </c>
      <c r="X32" s="223">
        <f t="shared" si="20"/>
        <v>0.37009227812969359</v>
      </c>
      <c r="Y32" s="223">
        <f t="shared" si="21"/>
        <v>0.27521708077416185</v>
      </c>
      <c r="Z32" s="223">
        <f t="shared" si="22"/>
        <v>0.35469064109614451</v>
      </c>
      <c r="AB32" s="223">
        <f t="shared" si="23"/>
        <v>0.47156041986256919</v>
      </c>
      <c r="AC32" s="223">
        <f t="shared" si="24"/>
        <v>0.10895561498397364</v>
      </c>
      <c r="AD32" s="223">
        <f t="shared" si="25"/>
        <v>0.41948396515345721</v>
      </c>
      <c r="AF32" s="28">
        <f t="shared" si="4"/>
        <v>36749553.539630197</v>
      </c>
      <c r="AG32" s="28">
        <f t="shared" si="4"/>
        <v>10289874.991096456</v>
      </c>
      <c r="AH32" s="28">
        <f t="shared" si="4"/>
        <v>13229839.274266871</v>
      </c>
      <c r="AI32" s="28">
        <f t="shared" si="4"/>
        <v>8819892.8495112471</v>
      </c>
      <c r="AJ32" s="28">
        <f t="shared" si="4"/>
        <v>8819892.8495112471</v>
      </c>
      <c r="AK32" s="28">
        <f t="shared" si="4"/>
        <v>24989696.406948537</v>
      </c>
      <c r="AL32" s="28">
        <f t="shared" si="4"/>
        <v>17639785.699022494</v>
      </c>
      <c r="AM32" s="28">
        <f t="shared" si="4"/>
        <v>27929660.69011895</v>
      </c>
    </row>
    <row r="33" spans="1:39" ht="15" thickBot="1" x14ac:dyDescent="0.35">
      <c r="A33" s="120">
        <f t="shared" si="5"/>
        <v>10141382.96875</v>
      </c>
      <c r="B33">
        <v>2045</v>
      </c>
      <c r="C33" s="28">
        <v>465018768.66666764</v>
      </c>
      <c r="D33" s="141">
        <f t="shared" si="0"/>
        <v>6023981.4834375</v>
      </c>
      <c r="E33" s="141">
        <f t="shared" si="2"/>
        <v>155234721.84412497</v>
      </c>
      <c r="F33" s="142">
        <f t="shared" si="6"/>
        <v>2.6875000000000013E-2</v>
      </c>
      <c r="G33" s="141">
        <f t="shared" si="7"/>
        <v>10560418.375000006</v>
      </c>
      <c r="H33" s="141">
        <f t="shared" si="3"/>
        <v>202858269.25</v>
      </c>
      <c r="I33" s="141">
        <f t="shared" si="8"/>
        <v>202858269.25</v>
      </c>
      <c r="J33" s="141">
        <f t="shared" si="11"/>
        <v>10560418.375</v>
      </c>
      <c r="K33" s="141">
        <f t="shared" si="9"/>
        <v>190087530.75</v>
      </c>
      <c r="N33" s="28">
        <f t="shared" si="10"/>
        <v>147667545.43445829</v>
      </c>
      <c r="O33" s="149">
        <f t="shared" si="12"/>
        <v>669331.27593749948</v>
      </c>
      <c r="P33" s="145">
        <f t="shared" si="13"/>
        <v>16685612.101124994</v>
      </c>
      <c r="Q33" s="145">
        <f t="shared" si="14"/>
        <v>3535367.9080864205</v>
      </c>
      <c r="R33" s="28">
        <f t="shared" si="15"/>
        <v>65198761.65377979</v>
      </c>
      <c r="S33" s="28">
        <f t="shared" si="16"/>
        <v>65783171.679553501</v>
      </c>
      <c r="T33" s="205">
        <f t="shared" si="17"/>
        <v>255870702.42955351</v>
      </c>
      <c r="U33" s="28">
        <f t="shared" si="18"/>
        <v>6693312.7593749994</v>
      </c>
      <c r="V33" s="149">
        <f t="shared" si="19"/>
        <v>14095786.283086421</v>
      </c>
      <c r="X33" s="223">
        <f t="shared" si="20"/>
        <v>0.3467608263615965</v>
      </c>
      <c r="Y33" s="223">
        <f t="shared" si="21"/>
        <v>0.28318175429127329</v>
      </c>
      <c r="Z33" s="223">
        <f t="shared" si="22"/>
        <v>0.3700574193471301</v>
      </c>
      <c r="AB33" s="223">
        <f t="shared" si="23"/>
        <v>0.44548158152158851</v>
      </c>
      <c r="AC33" s="223">
        <f t="shared" si="24"/>
        <v>0.11299444337639407</v>
      </c>
      <c r="AD33" s="223">
        <f t="shared" si="25"/>
        <v>0.44152397510201746</v>
      </c>
      <c r="AF33" s="28">
        <f t="shared" si="4"/>
        <v>36916886.358614571</v>
      </c>
      <c r="AG33" s="28">
        <f t="shared" si="4"/>
        <v>10336728.18041208</v>
      </c>
      <c r="AH33" s="28">
        <f t="shared" si="4"/>
        <v>13290079.089101246</v>
      </c>
      <c r="AI33" s="28">
        <f t="shared" si="4"/>
        <v>8860052.7260674965</v>
      </c>
      <c r="AJ33" s="28">
        <f t="shared" si="4"/>
        <v>8860052.7260674965</v>
      </c>
      <c r="AK33" s="28">
        <f t="shared" si="4"/>
        <v>25103482.723857909</v>
      </c>
      <c r="AL33" s="28">
        <f t="shared" si="4"/>
        <v>17720105.452134993</v>
      </c>
      <c r="AM33" s="28">
        <f t="shared" si="4"/>
        <v>28056833.632547073</v>
      </c>
    </row>
    <row r="34" spans="1:39" ht="15" thickBot="1" x14ac:dyDescent="0.35">
      <c r="A34" s="120">
        <f t="shared" si="5"/>
        <v>10201226.375</v>
      </c>
      <c r="B34">
        <v>2046</v>
      </c>
      <c r="C34" s="28">
        <v>467695014.93333435</v>
      </c>
      <c r="D34" s="141">
        <f t="shared" si="0"/>
        <v>6059528.4667499997</v>
      </c>
      <c r="E34" s="141">
        <f t="shared" si="2"/>
        <v>161294250.31087497</v>
      </c>
      <c r="F34" s="142">
        <f t="shared" si="6"/>
        <v>2.7500000000000014E-2</v>
      </c>
      <c r="G34" s="141">
        <f t="shared" si="7"/>
        <v>10806009.500000006</v>
      </c>
      <c r="H34" s="141">
        <f t="shared" si="3"/>
        <v>213664278.75</v>
      </c>
      <c r="I34" s="141">
        <f t="shared" si="8"/>
        <v>213664278.75</v>
      </c>
      <c r="J34" s="141">
        <f t="shared" si="11"/>
        <v>10806009.5</v>
      </c>
      <c r="K34" s="141">
        <f t="shared" si="9"/>
        <v>179281521.25</v>
      </c>
      <c r="N34" s="28">
        <f t="shared" si="10"/>
        <v>148340826.37520829</v>
      </c>
      <c r="O34" s="149">
        <f t="shared" si="12"/>
        <v>673280.94075000007</v>
      </c>
      <c r="P34" s="145">
        <f t="shared" si="13"/>
        <v>17358893.041874994</v>
      </c>
      <c r="Q34" s="145">
        <f t="shared" si="14"/>
        <v>3617585.7664140114</v>
      </c>
      <c r="R34" s="28">
        <f t="shared" si="15"/>
        <v>68816347.420193806</v>
      </c>
      <c r="S34" s="28">
        <f t="shared" si="16"/>
        <v>62165585.913139492</v>
      </c>
      <c r="T34" s="205">
        <f t="shared" si="17"/>
        <v>241447107.16313949</v>
      </c>
      <c r="U34" s="28">
        <f t="shared" si="18"/>
        <v>6732809.4074999997</v>
      </c>
      <c r="V34" s="149">
        <f t="shared" si="19"/>
        <v>14423595.266414011</v>
      </c>
      <c r="X34" s="223">
        <f t="shared" si="20"/>
        <v>0.32347269229179748</v>
      </c>
      <c r="Y34" s="223">
        <f t="shared" si="21"/>
        <v>0.29101875662071791</v>
      </c>
      <c r="Z34" s="223">
        <f t="shared" si="22"/>
        <v>0.38550855108748466</v>
      </c>
      <c r="AB34" s="223">
        <f t="shared" si="23"/>
        <v>0.41907266820733458</v>
      </c>
      <c r="AC34" s="223">
        <f t="shared" si="24"/>
        <v>0.11702033395693776</v>
      </c>
      <c r="AD34" s="223">
        <f t="shared" si="25"/>
        <v>0.4639069978357277</v>
      </c>
      <c r="AF34" s="28">
        <f t="shared" si="4"/>
        <v>37085206.593802072</v>
      </c>
      <c r="AG34" s="28">
        <f t="shared" si="4"/>
        <v>10383857.84626458</v>
      </c>
      <c r="AH34" s="28">
        <f t="shared" si="4"/>
        <v>13350674.373768745</v>
      </c>
      <c r="AI34" s="28">
        <f t="shared" si="4"/>
        <v>8900449.5825124979</v>
      </c>
      <c r="AJ34" s="28">
        <f t="shared" si="4"/>
        <v>8900449.5825124979</v>
      </c>
      <c r="AK34" s="28">
        <f t="shared" si="4"/>
        <v>25217940.483785409</v>
      </c>
      <c r="AL34" s="28">
        <f t="shared" si="4"/>
        <v>17800899.165024996</v>
      </c>
      <c r="AM34" s="28">
        <f t="shared" si="4"/>
        <v>28184757.011289574</v>
      </c>
    </row>
    <row r="35" spans="1:39" ht="15" thickBot="1" x14ac:dyDescent="0.35">
      <c r="A35" s="120">
        <f t="shared" si="5"/>
        <v>10261069.78125</v>
      </c>
      <c r="B35">
        <v>2047</v>
      </c>
      <c r="C35" s="28">
        <v>470371261.20000106</v>
      </c>
      <c r="D35" s="141">
        <f t="shared" si="0"/>
        <v>6095075.4500625003</v>
      </c>
      <c r="E35" s="141">
        <f t="shared" si="2"/>
        <v>167389325.76093748</v>
      </c>
      <c r="F35" s="142">
        <f t="shared" si="6"/>
        <v>2.8125000000000015E-2</v>
      </c>
      <c r="G35" s="141">
        <f t="shared" si="7"/>
        <v>11051600.625000006</v>
      </c>
      <c r="H35" s="141">
        <f t="shared" si="3"/>
        <v>224715879.375</v>
      </c>
      <c r="I35" s="141">
        <f t="shared" si="8"/>
        <v>224715879.375</v>
      </c>
      <c r="J35" s="141">
        <f t="shared" si="11"/>
        <v>11051600.625</v>
      </c>
      <c r="K35" s="141">
        <f t="shared" si="9"/>
        <v>168229920.625</v>
      </c>
      <c r="N35" s="28">
        <f t="shared" si="10"/>
        <v>149018056.9807708</v>
      </c>
      <c r="O35" s="149">
        <f t="shared" si="12"/>
        <v>677230.60556249972</v>
      </c>
      <c r="P35" s="145">
        <f t="shared" si="13"/>
        <v>18036123.647437494</v>
      </c>
      <c r="Q35" s="145">
        <f t="shared" si="14"/>
        <v>3699803.6247416027</v>
      </c>
      <c r="R35" s="28">
        <f t="shared" si="15"/>
        <v>72516151.044935405</v>
      </c>
      <c r="S35" s="28">
        <f t="shared" si="16"/>
        <v>58465782.288397893</v>
      </c>
      <c r="T35" s="205">
        <f t="shared" si="17"/>
        <v>226695702.91339791</v>
      </c>
      <c r="U35" s="28">
        <f t="shared" si="18"/>
        <v>6772306.055625</v>
      </c>
      <c r="V35" s="149">
        <f t="shared" si="19"/>
        <v>14751404.249741603</v>
      </c>
      <c r="X35" s="223">
        <f t="shared" si="20"/>
        <v>0.30023090270584601</v>
      </c>
      <c r="Y35" s="223">
        <f t="shared" si="21"/>
        <v>0.29873073820532325</v>
      </c>
      <c r="Z35" s="223">
        <f t="shared" si="22"/>
        <v>0.40103835908883079</v>
      </c>
      <c r="AB35" s="223">
        <f t="shared" si="23"/>
        <v>0.392340253744835</v>
      </c>
      <c r="AC35" s="223">
        <f t="shared" si="24"/>
        <v>0.12103314197530347</v>
      </c>
      <c r="AD35" s="223">
        <f t="shared" si="25"/>
        <v>0.48662660427986154</v>
      </c>
      <c r="AF35" s="28">
        <f t="shared" si="4"/>
        <v>37254514.245192699</v>
      </c>
      <c r="AG35" s="28">
        <f t="shared" si="4"/>
        <v>10431263.988653956</v>
      </c>
      <c r="AH35" s="28">
        <f t="shared" si="4"/>
        <v>13411625.128269371</v>
      </c>
      <c r="AI35" s="28">
        <f t="shared" si="4"/>
        <v>8941083.4188462477</v>
      </c>
      <c r="AJ35" s="28">
        <f t="shared" si="4"/>
        <v>8941083.4188462477</v>
      </c>
      <c r="AK35" s="28">
        <f t="shared" si="4"/>
        <v>25333069.686731037</v>
      </c>
      <c r="AL35" s="28">
        <f t="shared" si="4"/>
        <v>17882166.837692495</v>
      </c>
      <c r="AM35" s="28">
        <f t="shared" si="4"/>
        <v>28313430.826346453</v>
      </c>
    </row>
    <row r="36" spans="1:39" ht="15" thickBot="1" x14ac:dyDescent="0.35">
      <c r="A36" s="120">
        <f t="shared" si="5"/>
        <v>10320913.1875</v>
      </c>
      <c r="B36">
        <v>2048</v>
      </c>
      <c r="C36" s="28">
        <v>473047507.46666777</v>
      </c>
      <c r="D36" s="141">
        <f t="shared" si="0"/>
        <v>6130622.433375</v>
      </c>
      <c r="E36" s="141">
        <f t="shared" si="2"/>
        <v>173519948.19431248</v>
      </c>
      <c r="F36" s="142">
        <f t="shared" si="6"/>
        <v>2.8750000000000015E-2</v>
      </c>
      <c r="G36" s="141">
        <f t="shared" si="7"/>
        <v>11297191.750000006</v>
      </c>
      <c r="H36" s="141">
        <f t="shared" si="3"/>
        <v>236013071.125</v>
      </c>
      <c r="I36" s="141">
        <f t="shared" si="8"/>
        <v>236013071.125</v>
      </c>
      <c r="J36" s="141">
        <f t="shared" si="11"/>
        <v>11297191.75</v>
      </c>
      <c r="K36" s="141">
        <f t="shared" si="9"/>
        <v>156932728.875</v>
      </c>
      <c r="N36" s="28">
        <f t="shared" si="10"/>
        <v>149699237.25114581</v>
      </c>
      <c r="O36" s="149">
        <f t="shared" si="12"/>
        <v>681180.27037499938</v>
      </c>
      <c r="P36" s="145">
        <f t="shared" si="13"/>
        <v>18717303.917812493</v>
      </c>
      <c r="Q36" s="145">
        <f t="shared" si="14"/>
        <v>3782021.483069194</v>
      </c>
      <c r="R36" s="28">
        <f t="shared" si="15"/>
        <v>76298172.528004602</v>
      </c>
      <c r="S36" s="28">
        <f t="shared" si="16"/>
        <v>54683760.805328712</v>
      </c>
      <c r="T36" s="205">
        <f t="shared" si="17"/>
        <v>211616489.68032873</v>
      </c>
      <c r="U36" s="28">
        <f t="shared" si="18"/>
        <v>6811802.7037499994</v>
      </c>
      <c r="V36" s="149">
        <f t="shared" si="19"/>
        <v>15079213.233069194</v>
      </c>
      <c r="X36" s="223">
        <f t="shared" si="20"/>
        <v>0.27703833704905312</v>
      </c>
      <c r="Y36" s="223">
        <f t="shared" si="21"/>
        <v>0.30632028281927232</v>
      </c>
      <c r="Z36" s="223">
        <f t="shared" si="22"/>
        <v>0.41664138013167462</v>
      </c>
      <c r="AB36" s="223">
        <f t="shared" si="23"/>
        <v>0.36529084455913058</v>
      </c>
      <c r="AC36" s="223">
        <f t="shared" si="24"/>
        <v>0.12503272736394139</v>
      </c>
      <c r="AD36" s="223">
        <f t="shared" si="25"/>
        <v>0.50967642807692803</v>
      </c>
      <c r="AF36" s="28">
        <f t="shared" si="4"/>
        <v>37424809.312786452</v>
      </c>
      <c r="AG36" s="28">
        <f t="shared" si="4"/>
        <v>10478946.607580207</v>
      </c>
      <c r="AH36" s="28">
        <f t="shared" si="4"/>
        <v>13472931.352603123</v>
      </c>
      <c r="AI36" s="28">
        <f t="shared" si="4"/>
        <v>8981954.2350687478</v>
      </c>
      <c r="AJ36" s="28">
        <f t="shared" si="4"/>
        <v>8981954.2350687478</v>
      </c>
      <c r="AK36" s="28">
        <f t="shared" si="4"/>
        <v>25448870.332694791</v>
      </c>
      <c r="AL36" s="28">
        <f t="shared" si="4"/>
        <v>17963908.470137496</v>
      </c>
      <c r="AM36" s="28">
        <f t="shared" si="4"/>
        <v>28442855.077717703</v>
      </c>
    </row>
    <row r="37" spans="1:39" ht="15" thickBot="1" x14ac:dyDescent="0.35">
      <c r="A37" s="120">
        <f t="shared" si="5"/>
        <v>10380756.59375</v>
      </c>
      <c r="B37">
        <v>2049</v>
      </c>
      <c r="C37" s="28">
        <v>475723753.73333448</v>
      </c>
      <c r="D37" s="141">
        <f t="shared" si="0"/>
        <v>6166169.4166874997</v>
      </c>
      <c r="E37" s="141">
        <f t="shared" si="2"/>
        <v>179686117.61099997</v>
      </c>
      <c r="F37" s="142">
        <f t="shared" si="6"/>
        <v>2.9375000000000016E-2</v>
      </c>
      <c r="G37" s="141">
        <f t="shared" si="7"/>
        <v>11542782.875000006</v>
      </c>
      <c r="H37" s="141">
        <f t="shared" si="3"/>
        <v>247555854</v>
      </c>
      <c r="I37" s="141">
        <f t="shared" si="8"/>
        <v>247555854</v>
      </c>
      <c r="J37" s="141">
        <f t="shared" si="11"/>
        <v>11542782.875</v>
      </c>
      <c r="K37" s="141">
        <f t="shared" si="9"/>
        <v>145389946</v>
      </c>
      <c r="N37" s="28">
        <f t="shared" si="10"/>
        <v>150384367.1863333</v>
      </c>
      <c r="O37" s="149">
        <f t="shared" si="12"/>
        <v>685129.93518749997</v>
      </c>
      <c r="P37" s="145">
        <f t="shared" si="13"/>
        <v>19402433.852999993</v>
      </c>
      <c r="Q37" s="145">
        <f t="shared" si="14"/>
        <v>3864239.3413967853</v>
      </c>
      <c r="R37" s="28">
        <f t="shared" si="15"/>
        <v>80162411.86940138</v>
      </c>
      <c r="S37" s="28">
        <f t="shared" si="16"/>
        <v>50819521.463931926</v>
      </c>
      <c r="T37" s="205">
        <f t="shared" si="17"/>
        <v>196209467.46393192</v>
      </c>
      <c r="U37" s="28">
        <f t="shared" si="18"/>
        <v>6851299.3518749997</v>
      </c>
      <c r="V37" s="149">
        <f t="shared" si="19"/>
        <v>15407022.216396786</v>
      </c>
      <c r="X37" s="223">
        <f t="shared" si="20"/>
        <v>0.2538977334804558</v>
      </c>
      <c r="Y37" s="223">
        <f t="shared" si="21"/>
        <v>0.31378990951228164</v>
      </c>
      <c r="Z37" s="223">
        <f t="shared" si="22"/>
        <v>0.43231235700726262</v>
      </c>
      <c r="AB37" s="223">
        <f t="shared" si="23"/>
        <v>0.33793087948406331</v>
      </c>
      <c r="AC37" s="223">
        <f t="shared" si="24"/>
        <v>0.12901895466940033</v>
      </c>
      <c r="AD37" s="223">
        <f t="shared" si="25"/>
        <v>0.53305016584653631</v>
      </c>
      <c r="AF37" s="28">
        <f t="shared" si="4"/>
        <v>37596091.796583325</v>
      </c>
      <c r="AG37" s="28">
        <f t="shared" si="4"/>
        <v>10526905.703043332</v>
      </c>
      <c r="AH37" s="28">
        <f t="shared" si="4"/>
        <v>13534593.046769997</v>
      </c>
      <c r="AI37" s="28">
        <f t="shared" si="4"/>
        <v>9023062.0311799981</v>
      </c>
      <c r="AJ37" s="28">
        <f t="shared" si="4"/>
        <v>9023062.0311799981</v>
      </c>
      <c r="AK37" s="28">
        <f t="shared" si="4"/>
        <v>25565342.421676662</v>
      </c>
      <c r="AL37" s="28">
        <f t="shared" si="4"/>
        <v>18046124.062359996</v>
      </c>
      <c r="AM37" s="28">
        <f t="shared" si="4"/>
        <v>28573029.765403327</v>
      </c>
    </row>
    <row r="38" spans="1:39" ht="15" thickBot="1" x14ac:dyDescent="0.35">
      <c r="A38" s="85">
        <v>10440600</v>
      </c>
      <c r="B38" s="7">
        <v>2050</v>
      </c>
      <c r="C38" s="150">
        <v>478400000</v>
      </c>
      <c r="D38" s="151">
        <f t="shared" si="0"/>
        <v>6201716.4000000004</v>
      </c>
      <c r="E38" s="151">
        <f t="shared" si="2"/>
        <v>185887834.01099998</v>
      </c>
      <c r="F38" s="152">
        <f>B4</f>
        <v>0.03</v>
      </c>
      <c r="G38" s="151">
        <f t="shared" si="7"/>
        <v>11788374</v>
      </c>
      <c r="H38" s="151">
        <f t="shared" si="3"/>
        <v>259344228</v>
      </c>
      <c r="I38" s="151">
        <f t="shared" si="8"/>
        <v>259344228</v>
      </c>
      <c r="J38" s="151">
        <f t="shared" si="11"/>
        <v>11788374</v>
      </c>
      <c r="K38" s="151">
        <f t="shared" si="9"/>
        <v>133601572</v>
      </c>
      <c r="L38" s="7"/>
      <c r="M38" s="7"/>
      <c r="N38" s="150">
        <f t="shared" si="10"/>
        <v>151073446.78633329</v>
      </c>
      <c r="O38" s="153">
        <f t="shared" si="12"/>
        <v>689079.59999999963</v>
      </c>
      <c r="P38" s="145">
        <f t="shared" si="13"/>
        <v>20091513.452999994</v>
      </c>
      <c r="Q38" s="145">
        <f t="shared" si="14"/>
        <v>3946457.1997243743</v>
      </c>
      <c r="R38" s="28">
        <f t="shared" si="15"/>
        <v>84108869.069125757</v>
      </c>
      <c r="S38" s="28">
        <f t="shared" si="16"/>
        <v>46873064.264207542</v>
      </c>
      <c r="T38" s="206">
        <f t="shared" si="17"/>
        <v>180474636.26420754</v>
      </c>
      <c r="U38" s="150">
        <f t="shared" si="18"/>
        <v>6890796</v>
      </c>
      <c r="V38" s="153">
        <f t="shared" si="19"/>
        <v>15734831.199724374</v>
      </c>
      <c r="X38" s="223">
        <f t="shared" si="20"/>
        <v>0.23081169467332835</v>
      </c>
      <c r="Y38" s="223">
        <f t="shared" si="21"/>
        <v>0.32114207449021087</v>
      </c>
      <c r="Z38" s="223">
        <f t="shared" si="22"/>
        <v>0.44804623083646089</v>
      </c>
      <c r="AB38" s="223">
        <f t="shared" si="23"/>
        <v>0.310266729602729</v>
      </c>
      <c r="AC38" s="223">
        <f t="shared" si="24"/>
        <v>0.13299169298371732</v>
      </c>
      <c r="AD38" s="223">
        <f t="shared" si="25"/>
        <v>0.55674157741355368</v>
      </c>
      <c r="AF38" s="28">
        <f t="shared" si="4"/>
        <v>37768361.696583323</v>
      </c>
      <c r="AG38" s="28">
        <f t="shared" si="4"/>
        <v>10575141.275043331</v>
      </c>
      <c r="AH38" s="28">
        <f t="shared" si="4"/>
        <v>13596610.210769996</v>
      </c>
      <c r="AI38" s="28">
        <f t="shared" si="4"/>
        <v>9064406.8071799967</v>
      </c>
      <c r="AJ38" s="28">
        <f t="shared" si="4"/>
        <v>9064406.8071799967</v>
      </c>
      <c r="AK38" s="28">
        <f t="shared" si="4"/>
        <v>25682485.953676663</v>
      </c>
      <c r="AL38" s="28">
        <f t="shared" si="4"/>
        <v>18128813.614359993</v>
      </c>
      <c r="AM38" s="28">
        <f t="shared" si="4"/>
        <v>28703954.889403325</v>
      </c>
    </row>
    <row r="39" spans="1:39" ht="15" thickBot="1" x14ac:dyDescent="0.35">
      <c r="A39" s="120">
        <f t="shared" si="5"/>
        <v>10500443.40625</v>
      </c>
      <c r="B39">
        <v>2051</v>
      </c>
      <c r="C39" s="150">
        <f>C38+($C$38-$C$6)/32</f>
        <v>481070443.75</v>
      </c>
      <c r="D39" s="151">
        <f t="shared" si="0"/>
        <v>6237263.3833125001</v>
      </c>
      <c r="E39" s="151">
        <f t="shared" si="2"/>
        <v>192125097.39431247</v>
      </c>
      <c r="F39" s="142">
        <f t="shared" si="6"/>
        <v>3.0624999999999999E-2</v>
      </c>
      <c r="G39" s="151">
        <f t="shared" si="7"/>
        <v>12033965.125</v>
      </c>
      <c r="H39" s="151">
        <f t="shared" si="3"/>
        <v>271378193.125</v>
      </c>
      <c r="I39" s="151">
        <f t="shared" si="8"/>
        <v>271378193.125</v>
      </c>
      <c r="J39" s="151">
        <f t="shared" si="11"/>
        <v>12033965.125</v>
      </c>
      <c r="K39" s="151">
        <f t="shared" si="9"/>
        <v>121567606.875</v>
      </c>
      <c r="N39" s="150">
        <f t="shared" si="10"/>
        <v>151766476.05114579</v>
      </c>
      <c r="O39" s="153">
        <f t="shared" si="12"/>
        <v>693029.26481250022</v>
      </c>
      <c r="P39" s="145">
        <f t="shared" si="13"/>
        <v>20784542.717812493</v>
      </c>
      <c r="Q39" s="145">
        <f t="shared" si="14"/>
        <v>4028675.0580519652</v>
      </c>
      <c r="R39" s="28">
        <f t="shared" si="15"/>
        <v>88137544.127177715</v>
      </c>
      <c r="S39" s="28">
        <f t="shared" si="16"/>
        <v>42844389.206155583</v>
      </c>
      <c r="T39" s="206">
        <f t="shared" si="17"/>
        <v>164411996.0811556</v>
      </c>
      <c r="U39" s="150">
        <f t="shared" si="18"/>
        <v>6930292.6481250003</v>
      </c>
      <c r="V39" s="153">
        <f t="shared" si="19"/>
        <v>16062640.183051966</v>
      </c>
    </row>
    <row r="40" spans="1:39" ht="15" thickBot="1" x14ac:dyDescent="0.35">
      <c r="A40" s="120">
        <f t="shared" si="5"/>
        <v>10560286.8125</v>
      </c>
      <c r="B40">
        <v>2052</v>
      </c>
      <c r="C40" s="150">
        <f t="shared" ref="C40:C88" si="26">C39+($C$38-$C$6)/32</f>
        <v>483740887.5</v>
      </c>
      <c r="D40" s="151">
        <f t="shared" si="0"/>
        <v>6272810.3666250007</v>
      </c>
      <c r="E40" s="151">
        <f t="shared" si="2"/>
        <v>198397907.76093748</v>
      </c>
      <c r="F40" s="142">
        <f t="shared" si="6"/>
        <v>3.125E-2</v>
      </c>
      <c r="G40" s="151">
        <f t="shared" si="7"/>
        <v>12279556.25</v>
      </c>
      <c r="H40" s="151">
        <f t="shared" si="3"/>
        <v>283657749.375</v>
      </c>
      <c r="I40" s="151">
        <f t="shared" si="8"/>
        <v>283657749.375</v>
      </c>
      <c r="J40" s="151">
        <f t="shared" si="11"/>
        <v>12279556.25</v>
      </c>
      <c r="K40" s="151">
        <f t="shared" si="9"/>
        <v>109288050.625</v>
      </c>
      <c r="N40" s="150">
        <f t="shared" si="10"/>
        <v>152463454.9807708</v>
      </c>
      <c r="O40" s="153">
        <f t="shared" si="12"/>
        <v>696978.92962499987</v>
      </c>
      <c r="P40" s="145">
        <f t="shared" si="13"/>
        <v>21481521.647437494</v>
      </c>
      <c r="Q40" s="145">
        <f t="shared" si="14"/>
        <v>4110892.9163795565</v>
      </c>
      <c r="R40" s="28">
        <f t="shared" si="15"/>
        <v>92248437.043557271</v>
      </c>
      <c r="S40" s="28">
        <f t="shared" si="16"/>
        <v>38733496.289776027</v>
      </c>
      <c r="T40" s="206">
        <f t="shared" si="17"/>
        <v>148021546.91477603</v>
      </c>
      <c r="U40" s="150">
        <f t="shared" si="18"/>
        <v>6969789.2962500006</v>
      </c>
      <c r="V40" s="153">
        <f t="shared" si="19"/>
        <v>16390449.166379556</v>
      </c>
    </row>
    <row r="41" spans="1:39" ht="15" thickBot="1" x14ac:dyDescent="0.35">
      <c r="A41" s="120">
        <f t="shared" si="5"/>
        <v>10620130.21875</v>
      </c>
      <c r="B41" s="7">
        <v>2053</v>
      </c>
      <c r="C41" s="150">
        <f t="shared" si="26"/>
        <v>486411331.25</v>
      </c>
      <c r="D41" s="151">
        <f t="shared" si="0"/>
        <v>6308357.3499375004</v>
      </c>
      <c r="E41" s="151">
        <f t="shared" si="2"/>
        <v>204706265.11087498</v>
      </c>
      <c r="F41" s="142">
        <f t="shared" si="6"/>
        <v>3.1875000000000001E-2</v>
      </c>
      <c r="G41" s="151">
        <f t="shared" si="7"/>
        <v>12525147.375</v>
      </c>
      <c r="H41" s="151">
        <f t="shared" si="3"/>
        <v>296182896.75</v>
      </c>
      <c r="I41" s="151">
        <f t="shared" si="8"/>
        <v>296182896.75</v>
      </c>
      <c r="J41" s="151">
        <f t="shared" si="11"/>
        <v>12525147.375</v>
      </c>
      <c r="K41" s="151">
        <f t="shared" si="9"/>
        <v>96762903.25</v>
      </c>
      <c r="N41" s="150">
        <f t="shared" si="10"/>
        <v>153164383.57520831</v>
      </c>
      <c r="O41" s="153">
        <f t="shared" si="12"/>
        <v>700928.59443749953</v>
      </c>
      <c r="P41" s="145">
        <f t="shared" si="13"/>
        <v>22182450.241874993</v>
      </c>
      <c r="Q41" s="145">
        <f t="shared" si="14"/>
        <v>4193110.7747071479</v>
      </c>
      <c r="R41" s="28">
        <f t="shared" si="15"/>
        <v>96441547.818264425</v>
      </c>
      <c r="S41" s="28">
        <f t="shared" si="16"/>
        <v>34540385.515068889</v>
      </c>
      <c r="T41" s="206">
        <f t="shared" si="17"/>
        <v>131303288.76506889</v>
      </c>
      <c r="U41" s="150">
        <f t="shared" si="18"/>
        <v>7009285.944375</v>
      </c>
      <c r="V41" s="153">
        <f t="shared" si="19"/>
        <v>16718258.149707148</v>
      </c>
    </row>
    <row r="42" spans="1:39" ht="15" thickBot="1" x14ac:dyDescent="0.35">
      <c r="A42" s="120">
        <f t="shared" si="5"/>
        <v>10679973.625</v>
      </c>
      <c r="B42">
        <v>2054</v>
      </c>
      <c r="C42" s="150">
        <f t="shared" si="26"/>
        <v>489081775</v>
      </c>
      <c r="D42" s="151">
        <f t="shared" si="0"/>
        <v>6343904.3332500001</v>
      </c>
      <c r="E42" s="151">
        <f t="shared" si="2"/>
        <v>211050169.44412497</v>
      </c>
      <c r="F42" s="142">
        <f t="shared" si="6"/>
        <v>3.2500000000000001E-2</v>
      </c>
      <c r="G42" s="151">
        <f t="shared" si="7"/>
        <v>12770738.5</v>
      </c>
      <c r="H42" s="151">
        <f t="shared" si="3"/>
        <v>308953635.25</v>
      </c>
      <c r="I42" s="151">
        <f t="shared" si="8"/>
        <v>308953635.25</v>
      </c>
      <c r="J42" s="151">
        <f t="shared" si="11"/>
        <v>12770738.5</v>
      </c>
      <c r="K42" s="151">
        <f t="shared" si="9"/>
        <v>83992164.75</v>
      </c>
      <c r="N42" s="150">
        <f t="shared" si="10"/>
        <v>153869261.83445829</v>
      </c>
      <c r="O42" s="153">
        <f t="shared" si="12"/>
        <v>704878.25925000012</v>
      </c>
      <c r="P42" s="145">
        <f t="shared" si="13"/>
        <v>22887328.501124993</v>
      </c>
      <c r="Q42" s="145">
        <f t="shared" si="14"/>
        <v>4275328.6330347387</v>
      </c>
      <c r="R42" s="28">
        <f t="shared" si="15"/>
        <v>100716876.45129916</v>
      </c>
      <c r="S42" s="28">
        <f t="shared" si="16"/>
        <v>30265056.882034138</v>
      </c>
      <c r="T42" s="206">
        <f t="shared" si="17"/>
        <v>114257221.63203414</v>
      </c>
      <c r="U42" s="150">
        <f t="shared" si="18"/>
        <v>7048782.5925000003</v>
      </c>
      <c r="V42" s="153">
        <f t="shared" si="19"/>
        <v>17046067.13303474</v>
      </c>
    </row>
    <row r="43" spans="1:39" ht="15" thickBot="1" x14ac:dyDescent="0.35">
      <c r="A43" s="120">
        <f t="shared" si="5"/>
        <v>10739817.03125</v>
      </c>
      <c r="B43">
        <v>2055</v>
      </c>
      <c r="C43" s="150">
        <f t="shared" si="26"/>
        <v>491752218.75</v>
      </c>
      <c r="D43" s="151">
        <f t="shared" si="0"/>
        <v>6379451.3165625008</v>
      </c>
      <c r="E43" s="151">
        <f t="shared" si="2"/>
        <v>217429620.76068747</v>
      </c>
      <c r="F43" s="142">
        <f t="shared" si="6"/>
        <v>3.3125000000000002E-2</v>
      </c>
      <c r="G43" s="151">
        <f t="shared" si="7"/>
        <v>13016329.625</v>
      </c>
      <c r="H43" s="151">
        <f t="shared" si="3"/>
        <v>321969964.875</v>
      </c>
      <c r="I43" s="151">
        <f t="shared" si="8"/>
        <v>321969964.875</v>
      </c>
      <c r="J43" s="151">
        <f t="shared" si="11"/>
        <v>13016329.625</v>
      </c>
      <c r="K43" s="151">
        <f t="shared" si="9"/>
        <v>70975835.125</v>
      </c>
      <c r="N43" s="150">
        <f t="shared" si="10"/>
        <v>154578089.75852078</v>
      </c>
      <c r="O43" s="153">
        <f t="shared" si="12"/>
        <v>708827.92406249978</v>
      </c>
      <c r="P43" s="145">
        <f t="shared" si="13"/>
        <v>23596156.425187491</v>
      </c>
      <c r="Q43" s="145">
        <f t="shared" si="14"/>
        <v>4357546.4913623305</v>
      </c>
      <c r="R43" s="28">
        <f t="shared" si="15"/>
        <v>105074422.94266149</v>
      </c>
      <c r="S43" s="28">
        <f t="shared" si="16"/>
        <v>25907510.390671797</v>
      </c>
      <c r="T43" s="206">
        <f t="shared" si="17"/>
        <v>96883345.51567179</v>
      </c>
      <c r="U43" s="150">
        <f t="shared" si="18"/>
        <v>7088279.2406250006</v>
      </c>
      <c r="V43" s="153">
        <f t="shared" si="19"/>
        <v>17373876.11636233</v>
      </c>
    </row>
    <row r="44" spans="1:39" ht="15" thickBot="1" x14ac:dyDescent="0.35">
      <c r="A44" s="120">
        <f t="shared" si="5"/>
        <v>10799660.4375</v>
      </c>
      <c r="B44" s="7">
        <v>2056</v>
      </c>
      <c r="C44" s="150">
        <f t="shared" si="26"/>
        <v>494422662.5</v>
      </c>
      <c r="D44" s="151">
        <f t="shared" si="0"/>
        <v>6414998.2998750005</v>
      </c>
      <c r="E44" s="151">
        <f t="shared" si="2"/>
        <v>223844619.06056246</v>
      </c>
      <c r="F44" s="142">
        <f t="shared" si="6"/>
        <v>3.3750000000000002E-2</v>
      </c>
      <c r="G44" s="151">
        <f t="shared" si="7"/>
        <v>13261920.75</v>
      </c>
      <c r="H44" s="151">
        <f t="shared" si="3"/>
        <v>335231885.625</v>
      </c>
      <c r="I44" s="151">
        <f t="shared" si="8"/>
        <v>335231885.625</v>
      </c>
      <c r="J44" s="151">
        <f t="shared" si="11"/>
        <v>13261920.75</v>
      </c>
      <c r="K44" s="151">
        <f t="shared" si="9"/>
        <v>57713914.375</v>
      </c>
      <c r="N44" s="150">
        <f t="shared" si="10"/>
        <v>155290867.34739578</v>
      </c>
      <c r="O44" s="153">
        <f t="shared" si="12"/>
        <v>712777.58887499943</v>
      </c>
      <c r="P44" s="145">
        <f t="shared" si="13"/>
        <v>24308934.01406249</v>
      </c>
      <c r="Q44" s="145">
        <f t="shared" si="14"/>
        <v>4439764.3496899214</v>
      </c>
      <c r="R44" s="28">
        <f t="shared" si="15"/>
        <v>109514187.29235141</v>
      </c>
      <c r="S44" s="28">
        <f t="shared" si="16"/>
        <v>21467746.040981878</v>
      </c>
      <c r="T44" s="206">
        <f t="shared" si="17"/>
        <v>79181660.415981874</v>
      </c>
      <c r="U44" s="150">
        <f t="shared" si="18"/>
        <v>7127775.8887499999</v>
      </c>
      <c r="V44" s="153">
        <f t="shared" si="19"/>
        <v>17701685.099689923</v>
      </c>
    </row>
    <row r="45" spans="1:39" ht="15" thickBot="1" x14ac:dyDescent="0.35">
      <c r="A45" s="120">
        <f t="shared" si="5"/>
        <v>10859503.84375</v>
      </c>
      <c r="B45">
        <v>2057</v>
      </c>
      <c r="C45" s="150">
        <f t="shared" si="26"/>
        <v>497093106.25</v>
      </c>
      <c r="D45" s="151">
        <f t="shared" si="0"/>
        <v>6450545.2831875002</v>
      </c>
      <c r="E45" s="151">
        <f t="shared" si="2"/>
        <v>230295164.34374997</v>
      </c>
      <c r="F45" s="142">
        <f t="shared" si="6"/>
        <v>3.4375000000000003E-2</v>
      </c>
      <c r="G45" s="151">
        <f t="shared" si="7"/>
        <v>13507511.875000002</v>
      </c>
      <c r="H45" s="151">
        <f t="shared" si="3"/>
        <v>348739397.5</v>
      </c>
      <c r="I45" s="151">
        <f t="shared" si="8"/>
        <v>348739397.5</v>
      </c>
      <c r="J45" s="151">
        <f t="shared" si="11"/>
        <v>13507511.875</v>
      </c>
      <c r="K45" s="151">
        <f t="shared" si="9"/>
        <v>44206402.5</v>
      </c>
      <c r="N45" s="150">
        <f t="shared" si="10"/>
        <v>156007594.60108328</v>
      </c>
      <c r="O45" s="153">
        <f t="shared" si="12"/>
        <v>716727.25368750002</v>
      </c>
      <c r="P45" s="145">
        <f t="shared" si="13"/>
        <v>25025661.267749991</v>
      </c>
      <c r="Q45" s="145">
        <f t="shared" si="14"/>
        <v>4521982.2080175122</v>
      </c>
      <c r="R45" s="28">
        <f t="shared" si="15"/>
        <v>114036169.50036892</v>
      </c>
      <c r="S45" s="28">
        <f t="shared" si="16"/>
        <v>16945763.832964364</v>
      </c>
      <c r="T45" s="206">
        <f t="shared" si="17"/>
        <v>61152166.332964361</v>
      </c>
      <c r="U45" s="150">
        <f t="shared" si="18"/>
        <v>7167272.5368750002</v>
      </c>
      <c r="V45" s="153">
        <f t="shared" si="19"/>
        <v>18029494.083017513</v>
      </c>
    </row>
    <row r="46" spans="1:39" ht="15" thickBot="1" x14ac:dyDescent="0.35">
      <c r="A46" s="120">
        <f t="shared" si="5"/>
        <v>10919347.25</v>
      </c>
      <c r="B46">
        <v>2058</v>
      </c>
      <c r="C46" s="150">
        <f t="shared" si="26"/>
        <v>499763550</v>
      </c>
      <c r="D46" s="151">
        <f t="shared" si="0"/>
        <v>6486092.2665000008</v>
      </c>
      <c r="E46" s="151">
        <f t="shared" si="2"/>
        <v>236781256.61024997</v>
      </c>
      <c r="F46" s="142">
        <f t="shared" si="6"/>
        <v>3.5000000000000003E-2</v>
      </c>
      <c r="G46" s="151">
        <f t="shared" si="7"/>
        <v>13753103.000000002</v>
      </c>
      <c r="H46" s="151">
        <f t="shared" si="3"/>
        <v>362492500.5</v>
      </c>
      <c r="I46" s="151">
        <f t="shared" si="8"/>
        <v>362492500.5</v>
      </c>
      <c r="J46" s="151">
        <f t="shared" si="11"/>
        <v>13753103</v>
      </c>
      <c r="K46" s="151">
        <f t="shared" si="9"/>
        <v>30453299.5</v>
      </c>
      <c r="N46" s="150">
        <f t="shared" si="10"/>
        <v>156728271.51958328</v>
      </c>
      <c r="O46" s="153">
        <f t="shared" si="12"/>
        <v>720676.91849999968</v>
      </c>
      <c r="P46" s="145">
        <f t="shared" si="13"/>
        <v>25746338.18624999</v>
      </c>
      <c r="Q46" s="145">
        <f t="shared" si="14"/>
        <v>4604200.066345104</v>
      </c>
      <c r="R46" s="28">
        <f t="shared" si="15"/>
        <v>118640369.56671403</v>
      </c>
      <c r="S46" s="28">
        <f t="shared" si="16"/>
        <v>12341563.766619261</v>
      </c>
      <c r="T46" s="206">
        <f t="shared" si="17"/>
        <v>42794863.266619265</v>
      </c>
      <c r="U46" s="150">
        <f t="shared" si="18"/>
        <v>7206769.1850000005</v>
      </c>
      <c r="V46" s="153">
        <f t="shared" si="19"/>
        <v>18357303.066345103</v>
      </c>
    </row>
    <row r="47" spans="1:39" ht="15" thickBot="1" x14ac:dyDescent="0.35">
      <c r="A47" s="120">
        <f t="shared" si="5"/>
        <v>10979190.65625</v>
      </c>
      <c r="B47" s="7">
        <v>2059</v>
      </c>
      <c r="C47" s="150">
        <f t="shared" si="26"/>
        <v>502433993.75</v>
      </c>
      <c r="D47" s="151">
        <f t="shared" si="0"/>
        <v>6521639.2498125006</v>
      </c>
      <c r="E47" s="151">
        <f t="shared" si="2"/>
        <v>243302895.86006248</v>
      </c>
      <c r="F47" s="142">
        <f t="shared" si="6"/>
        <v>3.5625000000000004E-2</v>
      </c>
      <c r="G47" s="151">
        <f t="shared" si="7"/>
        <v>13998694.125000002</v>
      </c>
      <c r="H47" s="151">
        <f t="shared" si="3"/>
        <v>376491194.625</v>
      </c>
      <c r="I47" s="151">
        <f t="shared" si="8"/>
        <v>376491194.625</v>
      </c>
      <c r="J47" s="151">
        <f t="shared" si="11"/>
        <v>13998694.125</v>
      </c>
      <c r="K47" s="151">
        <f t="shared" si="9"/>
        <v>16454605.375</v>
      </c>
      <c r="N47" s="150">
        <f t="shared" si="10"/>
        <v>157452898.1028958</v>
      </c>
      <c r="O47" s="153">
        <f t="shared" si="12"/>
        <v>724626.58331250027</v>
      </c>
      <c r="P47" s="145">
        <f t="shared" si="13"/>
        <v>26470964.76956249</v>
      </c>
      <c r="Q47" s="145">
        <f t="shared" si="14"/>
        <v>4686417.9246726949</v>
      </c>
      <c r="R47" s="28">
        <f t="shared" si="15"/>
        <v>123326787.49138673</v>
      </c>
      <c r="S47" s="28">
        <f t="shared" si="16"/>
        <v>7655145.8419465795</v>
      </c>
      <c r="T47" s="206">
        <f t="shared" si="17"/>
        <v>24109751.21694658</v>
      </c>
      <c r="U47" s="150">
        <f t="shared" si="18"/>
        <v>7246265.8331250008</v>
      </c>
      <c r="V47" s="153">
        <f t="shared" si="19"/>
        <v>18685112.049672693</v>
      </c>
    </row>
    <row r="48" spans="1:39" ht="15" thickBot="1" x14ac:dyDescent="0.35">
      <c r="A48" s="120">
        <f t="shared" si="5"/>
        <v>11039034.0625</v>
      </c>
      <c r="B48">
        <v>2060</v>
      </c>
      <c r="C48" s="150">
        <f t="shared" si="26"/>
        <v>505104437.5</v>
      </c>
      <c r="D48" s="151">
        <f t="shared" si="0"/>
        <v>6557186.2331250003</v>
      </c>
      <c r="E48" s="151">
        <f t="shared" si="2"/>
        <v>249860082.09318748</v>
      </c>
      <c r="F48" s="142">
        <f t="shared" si="6"/>
        <v>3.6250000000000004E-2</v>
      </c>
      <c r="G48" s="151">
        <f t="shared" si="7"/>
        <v>14244285.250000002</v>
      </c>
      <c r="H48" s="151">
        <f t="shared" si="3"/>
        <v>390735479.875</v>
      </c>
      <c r="I48" s="151">
        <f t="shared" si="8"/>
        <v>390735479.875</v>
      </c>
      <c r="J48" s="151">
        <f t="shared" si="11"/>
        <v>14244285.25</v>
      </c>
      <c r="K48" s="151">
        <f t="shared" si="9"/>
        <v>2210320.125</v>
      </c>
      <c r="N48" s="150">
        <f t="shared" si="10"/>
        <v>158181474.35102078</v>
      </c>
      <c r="O48" s="153">
        <f t="shared" si="12"/>
        <v>728576.24812499993</v>
      </c>
      <c r="P48" s="145">
        <f t="shared" si="13"/>
        <v>27199541.017687492</v>
      </c>
      <c r="Q48" s="145">
        <f t="shared" si="14"/>
        <v>4768635.7830002857</v>
      </c>
      <c r="R48" s="28">
        <f t="shared" si="15"/>
        <v>128095423.27438702</v>
      </c>
      <c r="S48" s="28">
        <f t="shared" si="16"/>
        <v>2886510.0589462742</v>
      </c>
      <c r="T48" s="206">
        <f t="shared" si="17"/>
        <v>5096830.1839462742</v>
      </c>
      <c r="U48" s="150">
        <f t="shared" si="18"/>
        <v>7285762.4812500002</v>
      </c>
      <c r="V48" s="153">
        <f t="shared" si="19"/>
        <v>19012921.033000287</v>
      </c>
    </row>
    <row r="49" spans="1:22" ht="15" thickBot="1" x14ac:dyDescent="0.35">
      <c r="A49" s="120">
        <f t="shared" si="5"/>
        <v>11098877.46875</v>
      </c>
      <c r="B49">
        <v>2061</v>
      </c>
      <c r="C49" s="150">
        <f t="shared" si="26"/>
        <v>507774881.25</v>
      </c>
      <c r="D49" s="151">
        <f t="shared" si="0"/>
        <v>6592733.2164375009</v>
      </c>
      <c r="E49" s="151">
        <f t="shared" si="2"/>
        <v>256452815.30962497</v>
      </c>
      <c r="F49" s="142">
        <f t="shared" si="6"/>
        <v>3.6875000000000005E-2</v>
      </c>
      <c r="G49" s="151">
        <f t="shared" si="7"/>
        <v>14489876.375000002</v>
      </c>
      <c r="H49" s="151">
        <f t="shared" si="3"/>
        <v>405225356.25</v>
      </c>
      <c r="I49" s="151">
        <f t="shared" si="8"/>
        <v>392945800</v>
      </c>
      <c r="J49" s="151">
        <f t="shared" si="11"/>
        <v>2210320.125</v>
      </c>
      <c r="K49" s="151">
        <f t="shared" si="9"/>
        <v>0</v>
      </c>
      <c r="N49" s="150">
        <f t="shared" si="10"/>
        <v>158914000.26395828</v>
      </c>
      <c r="O49" s="153">
        <f t="shared" si="12"/>
        <v>732525.91293749958</v>
      </c>
      <c r="P49" s="145">
        <f t="shared" si="13"/>
        <v>27932066.930624992</v>
      </c>
      <c r="Q49" s="145">
        <f t="shared" si="14"/>
        <v>4850853.6413278775</v>
      </c>
      <c r="R49" s="28">
        <f t="shared" si="15"/>
        <v>132946276.91571489</v>
      </c>
      <c r="S49" s="28">
        <v>0</v>
      </c>
      <c r="T49" s="206">
        <f>K49+S490</f>
        <v>0</v>
      </c>
      <c r="U49" s="150">
        <f t="shared" si="18"/>
        <v>7325259.1293750005</v>
      </c>
      <c r="V49" s="153">
        <f t="shared" si="19"/>
        <v>7061173.7663278775</v>
      </c>
    </row>
    <row r="50" spans="1:22" ht="15" thickBot="1" x14ac:dyDescent="0.35">
      <c r="A50" s="120">
        <f t="shared" si="5"/>
        <v>11158720.875</v>
      </c>
      <c r="B50" s="7">
        <v>2062</v>
      </c>
      <c r="C50" s="150">
        <f t="shared" si="26"/>
        <v>510445325</v>
      </c>
      <c r="D50" s="151">
        <f t="shared" si="0"/>
        <v>6628280.1997500006</v>
      </c>
      <c r="E50" s="151">
        <f t="shared" si="2"/>
        <v>263081095.50937498</v>
      </c>
      <c r="F50" s="142">
        <f t="shared" si="6"/>
        <v>3.7500000000000006E-2</v>
      </c>
      <c r="G50" s="151">
        <f t="shared" si="7"/>
        <v>14735467.500000002</v>
      </c>
      <c r="H50" s="151">
        <f t="shared" si="3"/>
        <v>419960823.75</v>
      </c>
      <c r="I50" s="151">
        <f t="shared" si="8"/>
        <v>392945800</v>
      </c>
      <c r="J50" s="151">
        <f t="shared" si="11"/>
        <v>0</v>
      </c>
      <c r="K50" s="151">
        <f t="shared" si="9"/>
        <v>0</v>
      </c>
      <c r="N50" s="150">
        <f t="shared" si="10"/>
        <v>159650475.84170827</v>
      </c>
      <c r="O50" s="153">
        <f t="shared" si="12"/>
        <v>736475.57775000017</v>
      </c>
      <c r="P50" s="145">
        <f t="shared" si="13"/>
        <v>28668542.508374993</v>
      </c>
      <c r="Q50" s="145">
        <f t="shared" si="14"/>
        <v>4933071.4996554684</v>
      </c>
      <c r="R50" s="28">
        <f t="shared" si="15"/>
        <v>137879348.41537035</v>
      </c>
      <c r="S50" s="28">
        <v>0</v>
      </c>
      <c r="T50" s="206">
        <f t="shared" si="17"/>
        <v>0</v>
      </c>
      <c r="U50" s="150">
        <f t="shared" si="18"/>
        <v>7364755.7775000008</v>
      </c>
      <c r="V50" s="153">
        <f t="shared" si="19"/>
        <v>4933071.4996554684</v>
      </c>
    </row>
    <row r="51" spans="1:22" ht="15" thickBot="1" x14ac:dyDescent="0.35">
      <c r="A51" s="120">
        <f t="shared" si="5"/>
        <v>11218564.28125</v>
      </c>
      <c r="B51">
        <v>2063</v>
      </c>
      <c r="C51" s="150">
        <f t="shared" si="26"/>
        <v>513115768.75</v>
      </c>
      <c r="D51" s="151">
        <f t="shared" si="0"/>
        <v>6663827.1830624994</v>
      </c>
      <c r="E51" s="151">
        <f t="shared" si="2"/>
        <v>269744922.69243747</v>
      </c>
      <c r="F51" s="142">
        <f t="shared" si="6"/>
        <v>3.8125000000000006E-2</v>
      </c>
      <c r="G51" s="151">
        <f t="shared" si="7"/>
        <v>14981058.625000002</v>
      </c>
      <c r="H51" s="151">
        <f t="shared" si="3"/>
        <v>434941882.375</v>
      </c>
      <c r="I51" s="151">
        <f t="shared" si="8"/>
        <v>392945800</v>
      </c>
      <c r="J51" s="151">
        <f t="shared" si="11"/>
        <v>0</v>
      </c>
      <c r="K51" s="151">
        <f t="shared" si="9"/>
        <v>0</v>
      </c>
      <c r="N51" s="150">
        <f t="shared" si="10"/>
        <v>160390901.08427078</v>
      </c>
      <c r="O51" s="153">
        <f t="shared" si="12"/>
        <v>740425.24256249983</v>
      </c>
      <c r="P51" s="145">
        <f t="shared" si="13"/>
        <v>29408967.750937492</v>
      </c>
      <c r="Q51" s="145">
        <f t="shared" si="14"/>
        <v>5015289.3579830602</v>
      </c>
      <c r="R51" s="28">
        <f t="shared" si="15"/>
        <v>142894637.7733534</v>
      </c>
      <c r="S51" s="28">
        <v>0</v>
      </c>
      <c r="T51" s="206">
        <f t="shared" si="17"/>
        <v>0</v>
      </c>
      <c r="U51" s="150">
        <f t="shared" si="18"/>
        <v>7404252.4256249992</v>
      </c>
      <c r="V51" s="153">
        <f t="shared" si="19"/>
        <v>5015289.3579830602</v>
      </c>
    </row>
    <row r="52" spans="1:22" ht="15" thickBot="1" x14ac:dyDescent="0.35">
      <c r="A52" s="120">
        <f t="shared" si="5"/>
        <v>11278407.6875</v>
      </c>
      <c r="B52">
        <v>2064</v>
      </c>
      <c r="C52" s="150">
        <f t="shared" si="26"/>
        <v>515786212.5</v>
      </c>
      <c r="D52" s="151">
        <f t="shared" si="0"/>
        <v>6699374.1663749991</v>
      </c>
      <c r="E52" s="151">
        <f t="shared" si="2"/>
        <v>276444296.85881245</v>
      </c>
      <c r="F52" s="142">
        <f t="shared" si="6"/>
        <v>3.8750000000000007E-2</v>
      </c>
      <c r="G52" s="151">
        <f t="shared" si="7"/>
        <v>15226649.750000002</v>
      </c>
      <c r="H52" s="151">
        <f t="shared" si="3"/>
        <v>450168532.125</v>
      </c>
      <c r="I52" s="151">
        <f t="shared" si="8"/>
        <v>392945800</v>
      </c>
      <c r="J52" s="151">
        <f t="shared" si="11"/>
        <v>0</v>
      </c>
      <c r="K52" s="151">
        <f t="shared" si="9"/>
        <v>0</v>
      </c>
      <c r="N52" s="150">
        <f t="shared" si="10"/>
        <v>161135275.99164578</v>
      </c>
      <c r="O52" s="153">
        <f t="shared" si="12"/>
        <v>744374.90737499949</v>
      </c>
      <c r="P52" s="145">
        <f t="shared" si="13"/>
        <v>30153342.658312492</v>
      </c>
      <c r="Q52" s="145">
        <f t="shared" si="14"/>
        <v>5097507.216310651</v>
      </c>
      <c r="R52" s="28">
        <f t="shared" si="15"/>
        <v>147992144.98966405</v>
      </c>
      <c r="S52" s="28">
        <v>0</v>
      </c>
      <c r="T52" s="206">
        <f t="shared" si="17"/>
        <v>0</v>
      </c>
      <c r="U52" s="150">
        <f t="shared" si="18"/>
        <v>7443749.0737499986</v>
      </c>
      <c r="V52" s="153">
        <f t="shared" si="19"/>
        <v>5097507.216310651</v>
      </c>
    </row>
    <row r="53" spans="1:22" ht="15" thickBot="1" x14ac:dyDescent="0.35">
      <c r="A53" s="120">
        <f t="shared" si="5"/>
        <v>11338251.09375</v>
      </c>
      <c r="B53" s="7">
        <v>2065</v>
      </c>
      <c r="C53" s="150">
        <f t="shared" si="26"/>
        <v>518456656.25</v>
      </c>
      <c r="D53" s="151">
        <f t="shared" si="0"/>
        <v>6734921.1496874997</v>
      </c>
      <c r="E53" s="151">
        <f t="shared" si="2"/>
        <v>283179218.00849998</v>
      </c>
      <c r="F53" s="142">
        <f t="shared" si="6"/>
        <v>3.9375000000000007E-2</v>
      </c>
      <c r="G53" s="151">
        <f t="shared" si="7"/>
        <v>15472240.875000004</v>
      </c>
      <c r="H53" s="151">
        <f t="shared" si="3"/>
        <v>465640773</v>
      </c>
      <c r="I53" s="151">
        <f t="shared" si="8"/>
        <v>392945800</v>
      </c>
      <c r="J53" s="151">
        <f t="shared" si="11"/>
        <v>0</v>
      </c>
      <c r="K53" s="151">
        <f t="shared" si="9"/>
        <v>0</v>
      </c>
      <c r="N53" s="150">
        <f t="shared" si="10"/>
        <v>161883600.5638333</v>
      </c>
      <c r="O53" s="153">
        <f t="shared" si="12"/>
        <v>748324.57218750007</v>
      </c>
      <c r="P53" s="145">
        <f t="shared" si="13"/>
        <v>30901667.23049999</v>
      </c>
      <c r="Q53" s="145">
        <f t="shared" si="14"/>
        <v>5179725.0746382419</v>
      </c>
      <c r="R53" s="28">
        <f t="shared" si="15"/>
        <v>153171870.0643023</v>
      </c>
      <c r="S53" s="28">
        <v>0</v>
      </c>
      <c r="T53" s="206">
        <f t="shared" si="17"/>
        <v>0</v>
      </c>
      <c r="U53" s="150">
        <f t="shared" si="18"/>
        <v>7483245.7218749998</v>
      </c>
      <c r="V53" s="153">
        <f t="shared" si="19"/>
        <v>5179725.0746382419</v>
      </c>
    </row>
    <row r="54" spans="1:22" ht="15" thickBot="1" x14ac:dyDescent="0.35">
      <c r="A54" s="120">
        <f t="shared" si="5"/>
        <v>11398094.5</v>
      </c>
      <c r="B54">
        <v>2066</v>
      </c>
      <c r="C54" s="150">
        <f t="shared" si="26"/>
        <v>521127100</v>
      </c>
      <c r="D54" s="151">
        <f t="shared" si="0"/>
        <v>6770468.1329999994</v>
      </c>
      <c r="E54" s="151">
        <f t="shared" si="2"/>
        <v>289949686.1415</v>
      </c>
      <c r="F54" s="142">
        <f t="shared" si="6"/>
        <v>4.0000000000000008E-2</v>
      </c>
      <c r="G54" s="151">
        <f t="shared" si="7"/>
        <v>15717832.000000004</v>
      </c>
      <c r="H54" s="151">
        <f t="shared" si="3"/>
        <v>481358605</v>
      </c>
      <c r="I54" s="151">
        <f t="shared" si="8"/>
        <v>392945800</v>
      </c>
      <c r="J54" s="151">
        <f t="shared" si="11"/>
        <v>0</v>
      </c>
      <c r="K54" s="151">
        <f t="shared" si="9"/>
        <v>0</v>
      </c>
      <c r="N54" s="150">
        <f t="shared" si="10"/>
        <v>162635874.80083328</v>
      </c>
      <c r="O54" s="153">
        <f t="shared" si="12"/>
        <v>752274.23699999973</v>
      </c>
      <c r="P54" s="145">
        <f t="shared" si="13"/>
        <v>31653941.46749999</v>
      </c>
      <c r="Q54" s="145">
        <f t="shared" si="14"/>
        <v>5261942.9329658337</v>
      </c>
      <c r="R54" s="28">
        <f t="shared" si="15"/>
        <v>158433812.99726814</v>
      </c>
      <c r="S54" s="28">
        <v>0</v>
      </c>
      <c r="T54" s="206">
        <f t="shared" si="17"/>
        <v>0</v>
      </c>
      <c r="U54" s="150">
        <f t="shared" si="18"/>
        <v>7522742.3699999992</v>
      </c>
      <c r="V54" s="153">
        <f t="shared" si="19"/>
        <v>5261942.9329658337</v>
      </c>
    </row>
    <row r="55" spans="1:22" ht="15" thickBot="1" x14ac:dyDescent="0.35">
      <c r="A55" s="120">
        <f t="shared" si="5"/>
        <v>11457937.90625</v>
      </c>
      <c r="B55">
        <v>2067</v>
      </c>
      <c r="C55" s="150">
        <f t="shared" si="26"/>
        <v>523797543.75</v>
      </c>
      <c r="D55" s="151">
        <f t="shared" si="0"/>
        <v>6806015.1163124992</v>
      </c>
      <c r="E55" s="151">
        <f t="shared" si="2"/>
        <v>296755701.2578125</v>
      </c>
      <c r="F55" s="142">
        <f t="shared" si="6"/>
        <v>4.0625000000000008E-2</v>
      </c>
      <c r="G55" s="151">
        <f t="shared" si="7"/>
        <v>15963423.125000004</v>
      </c>
      <c r="H55" s="151">
        <f t="shared" si="3"/>
        <v>497322028.125</v>
      </c>
      <c r="I55" s="151">
        <f t="shared" si="8"/>
        <v>392945800</v>
      </c>
      <c r="J55" s="151">
        <f t="shared" si="11"/>
        <v>0</v>
      </c>
      <c r="K55" s="151">
        <f t="shared" si="9"/>
        <v>0</v>
      </c>
      <c r="N55" s="150">
        <f t="shared" si="10"/>
        <v>163392098.70264578</v>
      </c>
      <c r="O55" s="153">
        <f t="shared" si="12"/>
        <v>756223.90181249939</v>
      </c>
      <c r="P55" s="145">
        <f t="shared" si="13"/>
        <v>32410165.369312488</v>
      </c>
      <c r="Q55" s="145">
        <f t="shared" si="14"/>
        <v>5344160.7912934246</v>
      </c>
      <c r="R55" s="28">
        <f t="shared" si="15"/>
        <v>163777973.78856155</v>
      </c>
      <c r="S55" s="28">
        <v>0</v>
      </c>
      <c r="T55" s="206">
        <f t="shared" si="17"/>
        <v>0</v>
      </c>
      <c r="U55" s="150">
        <f t="shared" si="18"/>
        <v>7562239.0181249985</v>
      </c>
      <c r="V55" s="153">
        <f t="shared" si="19"/>
        <v>5344160.7912934246</v>
      </c>
    </row>
    <row r="56" spans="1:22" ht="15" thickBot="1" x14ac:dyDescent="0.35">
      <c r="A56" s="120">
        <f t="shared" si="5"/>
        <v>11517781.3125</v>
      </c>
      <c r="B56" s="7">
        <v>2068</v>
      </c>
      <c r="C56" s="150">
        <f t="shared" si="26"/>
        <v>526467987.5</v>
      </c>
      <c r="D56" s="151">
        <f t="shared" si="0"/>
        <v>6841562.0996249998</v>
      </c>
      <c r="E56" s="151">
        <f t="shared" si="2"/>
        <v>303597263.35743749</v>
      </c>
      <c r="F56" s="142">
        <f t="shared" si="6"/>
        <v>4.1250000000000009E-2</v>
      </c>
      <c r="G56" s="151">
        <f t="shared" si="7"/>
        <v>16209014.250000004</v>
      </c>
      <c r="H56" s="151">
        <f t="shared" si="3"/>
        <v>513531042.375</v>
      </c>
      <c r="I56" s="151">
        <f t="shared" si="8"/>
        <v>392945800</v>
      </c>
      <c r="J56" s="151">
        <f t="shared" si="11"/>
        <v>0</v>
      </c>
      <c r="K56" s="151">
        <f t="shared" si="9"/>
        <v>0</v>
      </c>
      <c r="N56" s="150">
        <f t="shared" si="10"/>
        <v>164152272.26927078</v>
      </c>
      <c r="O56" s="153">
        <f t="shared" si="12"/>
        <v>760173.56662499998</v>
      </c>
      <c r="P56" s="145">
        <f t="shared" si="13"/>
        <v>33170338.935937487</v>
      </c>
      <c r="Q56" s="145">
        <f t="shared" si="14"/>
        <v>5426378.6496210154</v>
      </c>
      <c r="R56" s="28">
        <f t="shared" si="15"/>
        <v>169204352.43818256</v>
      </c>
      <c r="S56" s="28">
        <v>0</v>
      </c>
      <c r="T56" s="206">
        <f t="shared" si="17"/>
        <v>0</v>
      </c>
      <c r="U56" s="150">
        <f t="shared" si="18"/>
        <v>7601735.6662499998</v>
      </c>
      <c r="V56" s="153">
        <f t="shared" si="19"/>
        <v>5426378.6496210154</v>
      </c>
    </row>
    <row r="57" spans="1:22" ht="15" thickBot="1" x14ac:dyDescent="0.35">
      <c r="A57" s="120">
        <f t="shared" si="5"/>
        <v>11577624.71875</v>
      </c>
      <c r="B57">
        <v>2069</v>
      </c>
      <c r="C57" s="150">
        <f t="shared" si="26"/>
        <v>529138431.25</v>
      </c>
      <c r="D57" s="151">
        <f t="shared" si="0"/>
        <v>6877109.0829374995</v>
      </c>
      <c r="E57" s="151">
        <f t="shared" si="2"/>
        <v>310474372.44037497</v>
      </c>
      <c r="F57" s="142">
        <f t="shared" si="6"/>
        <v>4.1875000000000009E-2</v>
      </c>
      <c r="G57" s="151">
        <f t="shared" si="7"/>
        <v>16454605.375000004</v>
      </c>
      <c r="H57" s="151">
        <f t="shared" si="3"/>
        <v>529985647.75</v>
      </c>
      <c r="I57" s="151">
        <f t="shared" si="8"/>
        <v>392945800</v>
      </c>
      <c r="J57" s="151">
        <f t="shared" si="11"/>
        <v>0</v>
      </c>
      <c r="K57" s="151">
        <f t="shared" si="9"/>
        <v>0</v>
      </c>
      <c r="N57" s="150">
        <f t="shared" si="10"/>
        <v>164916395.50070828</v>
      </c>
      <c r="O57" s="153">
        <f t="shared" si="12"/>
        <v>764123.23143749963</v>
      </c>
      <c r="P57" s="145">
        <f t="shared" si="13"/>
        <v>33934462.167374983</v>
      </c>
      <c r="Q57" s="145">
        <f t="shared" si="14"/>
        <v>5508596.5079486072</v>
      </c>
      <c r="R57" s="28">
        <f t="shared" si="15"/>
        <v>174712948.94613117</v>
      </c>
      <c r="S57" s="28">
        <v>0</v>
      </c>
      <c r="T57" s="206">
        <f t="shared" si="17"/>
        <v>0</v>
      </c>
      <c r="U57" s="150">
        <f t="shared" si="18"/>
        <v>7641232.3143749991</v>
      </c>
      <c r="V57" s="153">
        <f t="shared" si="19"/>
        <v>5508596.5079486072</v>
      </c>
    </row>
    <row r="58" spans="1:22" ht="15" thickBot="1" x14ac:dyDescent="0.35">
      <c r="A58" s="120">
        <f t="shared" si="5"/>
        <v>11637468.125</v>
      </c>
      <c r="B58">
        <v>2070</v>
      </c>
      <c r="C58" s="150">
        <f t="shared" si="26"/>
        <v>531808875</v>
      </c>
      <c r="D58" s="151">
        <f t="shared" si="0"/>
        <v>6912656.0662499992</v>
      </c>
      <c r="E58" s="151">
        <f t="shared" si="2"/>
        <v>317387028.506625</v>
      </c>
      <c r="F58" s="142">
        <f t="shared" si="6"/>
        <v>4.250000000000001E-2</v>
      </c>
      <c r="G58" s="151">
        <f t="shared" si="7"/>
        <v>16700196.500000004</v>
      </c>
      <c r="H58" s="151">
        <f t="shared" si="3"/>
        <v>546685844.25</v>
      </c>
      <c r="I58" s="151">
        <f t="shared" si="8"/>
        <v>392945800</v>
      </c>
      <c r="J58" s="151">
        <f t="shared" si="11"/>
        <v>0</v>
      </c>
      <c r="K58" s="151">
        <f t="shared" si="9"/>
        <v>0</v>
      </c>
      <c r="N58" s="150">
        <f t="shared" si="10"/>
        <v>165684468.39695829</v>
      </c>
      <c r="O58" s="153">
        <f t="shared" si="12"/>
        <v>768072.89624999929</v>
      </c>
      <c r="P58" s="145">
        <f t="shared" si="13"/>
        <v>34702535.063624986</v>
      </c>
      <c r="Q58" s="145">
        <f t="shared" si="14"/>
        <v>5590814.3662761981</v>
      </c>
      <c r="R58" s="28">
        <f t="shared" si="15"/>
        <v>180303763.31240737</v>
      </c>
      <c r="S58" s="28">
        <v>0</v>
      </c>
      <c r="T58" s="206">
        <f t="shared" si="17"/>
        <v>0</v>
      </c>
      <c r="U58" s="150">
        <f t="shared" si="18"/>
        <v>7680728.9624999985</v>
      </c>
      <c r="V58" s="153">
        <f t="shared" si="19"/>
        <v>5590814.3662761981</v>
      </c>
    </row>
    <row r="59" spans="1:22" ht="15" thickBot="1" x14ac:dyDescent="0.35">
      <c r="A59" s="120">
        <f t="shared" si="5"/>
        <v>11697311.53125</v>
      </c>
      <c r="B59" s="7">
        <v>2071</v>
      </c>
      <c r="C59" s="150">
        <f t="shared" si="26"/>
        <v>534479318.75</v>
      </c>
      <c r="D59" s="151">
        <f t="shared" si="0"/>
        <v>6948203.0495624999</v>
      </c>
      <c r="E59" s="151">
        <f t="shared" si="2"/>
        <v>324335231.55618751</v>
      </c>
      <c r="F59" s="142">
        <f t="shared" si="6"/>
        <v>4.3125000000000011E-2</v>
      </c>
      <c r="G59" s="151">
        <f t="shared" si="7"/>
        <v>16945787.625000004</v>
      </c>
      <c r="H59" s="151">
        <f t="shared" si="3"/>
        <v>563631631.875</v>
      </c>
      <c r="I59" s="151">
        <f t="shared" si="8"/>
        <v>392945800</v>
      </c>
      <c r="J59" s="151">
        <f t="shared" si="11"/>
        <v>0</v>
      </c>
      <c r="K59" s="151">
        <f t="shared" si="9"/>
        <v>0</v>
      </c>
      <c r="N59" s="150">
        <f t="shared" si="10"/>
        <v>166456490.95802081</v>
      </c>
      <c r="O59" s="153">
        <f t="shared" si="12"/>
        <v>772022.56106249988</v>
      </c>
      <c r="P59" s="145">
        <f t="shared" si="13"/>
        <v>35474557.624687485</v>
      </c>
      <c r="Q59" s="145">
        <f t="shared" si="14"/>
        <v>5673032.2246037889</v>
      </c>
      <c r="R59" s="28">
        <f t="shared" si="15"/>
        <v>185976795.53701118</v>
      </c>
      <c r="S59" s="28">
        <v>0</v>
      </c>
      <c r="T59" s="206">
        <f t="shared" si="17"/>
        <v>0</v>
      </c>
      <c r="U59" s="150">
        <f t="shared" si="18"/>
        <v>7720225.6106249997</v>
      </c>
      <c r="V59" s="153">
        <f t="shared" si="19"/>
        <v>5673032.2246037889</v>
      </c>
    </row>
    <row r="60" spans="1:22" ht="15" thickBot="1" x14ac:dyDescent="0.35">
      <c r="A60" s="120">
        <f t="shared" si="5"/>
        <v>11757154.9375</v>
      </c>
      <c r="B60">
        <v>2072</v>
      </c>
      <c r="C60" s="150">
        <f t="shared" si="26"/>
        <v>537149762.5</v>
      </c>
      <c r="D60" s="151">
        <f t="shared" si="0"/>
        <v>6983750.0328749996</v>
      </c>
      <c r="E60" s="151">
        <f t="shared" si="2"/>
        <v>331318981.58906251</v>
      </c>
      <c r="F60" s="142">
        <f t="shared" si="6"/>
        <v>4.3750000000000011E-2</v>
      </c>
      <c r="G60" s="151">
        <f t="shared" si="7"/>
        <v>17191378.750000004</v>
      </c>
      <c r="H60" s="151">
        <f t="shared" si="3"/>
        <v>580823010.625</v>
      </c>
      <c r="I60" s="151">
        <f t="shared" si="8"/>
        <v>392945800</v>
      </c>
      <c r="J60" s="151">
        <f t="shared" si="11"/>
        <v>0</v>
      </c>
      <c r="K60" s="151">
        <f t="shared" si="9"/>
        <v>0</v>
      </c>
      <c r="N60" s="150">
        <f t="shared" si="10"/>
        <v>167232463.1838958</v>
      </c>
      <c r="O60" s="153">
        <f t="shared" si="12"/>
        <v>775972.22587499954</v>
      </c>
      <c r="P60" s="145">
        <f t="shared" si="13"/>
        <v>36250529.850562483</v>
      </c>
      <c r="Q60" s="145">
        <f t="shared" si="14"/>
        <v>5755250.0829313807</v>
      </c>
      <c r="R60" s="28">
        <f t="shared" si="15"/>
        <v>191732045.61994255</v>
      </c>
      <c r="S60" s="28">
        <v>0</v>
      </c>
      <c r="T60" s="206">
        <f t="shared" si="17"/>
        <v>0</v>
      </c>
      <c r="U60" s="150">
        <f t="shared" si="18"/>
        <v>7759722.2587499991</v>
      </c>
      <c r="V60" s="153">
        <f t="shared" si="19"/>
        <v>5755250.0829313807</v>
      </c>
    </row>
    <row r="61" spans="1:22" ht="15" thickBot="1" x14ac:dyDescent="0.35">
      <c r="A61" s="120">
        <f t="shared" si="5"/>
        <v>11816998.34375</v>
      </c>
      <c r="B61">
        <v>2073</v>
      </c>
      <c r="C61" s="150">
        <f t="shared" si="26"/>
        <v>539820206.25</v>
      </c>
      <c r="D61" s="151">
        <f t="shared" si="0"/>
        <v>7019297.0161874993</v>
      </c>
      <c r="E61" s="151">
        <f t="shared" si="2"/>
        <v>338338278.60525</v>
      </c>
      <c r="F61" s="142">
        <f t="shared" si="6"/>
        <v>4.4375000000000012E-2</v>
      </c>
      <c r="G61" s="151">
        <f t="shared" si="7"/>
        <v>17436969.875000004</v>
      </c>
      <c r="H61" s="151">
        <f t="shared" si="3"/>
        <v>598259980.5</v>
      </c>
      <c r="I61" s="151">
        <f t="shared" si="8"/>
        <v>392945800</v>
      </c>
      <c r="J61" s="151">
        <f t="shared" si="11"/>
        <v>0</v>
      </c>
      <c r="K61" s="151">
        <f t="shared" si="9"/>
        <v>0</v>
      </c>
      <c r="N61" s="150">
        <f t="shared" si="10"/>
        <v>168012385.07458329</v>
      </c>
      <c r="O61" s="153">
        <f t="shared" si="12"/>
        <v>779921.89068750013</v>
      </c>
      <c r="P61" s="145">
        <f t="shared" si="13"/>
        <v>37030451.741249986</v>
      </c>
      <c r="Q61" s="145">
        <f t="shared" si="14"/>
        <v>5837467.9412589716</v>
      </c>
      <c r="R61" s="28">
        <f t="shared" si="15"/>
        <v>197569513.56120151</v>
      </c>
      <c r="S61" s="28">
        <v>0</v>
      </c>
      <c r="T61" s="206">
        <f t="shared" si="17"/>
        <v>0</v>
      </c>
      <c r="U61" s="150">
        <f t="shared" si="18"/>
        <v>7799218.9068749994</v>
      </c>
      <c r="V61" s="153">
        <f t="shared" si="19"/>
        <v>5837467.9412589716</v>
      </c>
    </row>
    <row r="62" spans="1:22" ht="15" thickBot="1" x14ac:dyDescent="0.35">
      <c r="A62" s="120">
        <f t="shared" si="5"/>
        <v>11876841.75</v>
      </c>
      <c r="B62" s="7">
        <v>2074</v>
      </c>
      <c r="C62" s="150">
        <f t="shared" si="26"/>
        <v>542490650</v>
      </c>
      <c r="D62" s="151">
        <f t="shared" si="0"/>
        <v>7054843.9994999999</v>
      </c>
      <c r="E62" s="151">
        <f t="shared" si="2"/>
        <v>345393122.60474998</v>
      </c>
      <c r="F62" s="142">
        <f t="shared" si="6"/>
        <v>4.5000000000000012E-2</v>
      </c>
      <c r="G62" s="151">
        <f t="shared" si="7"/>
        <v>17682561.000000004</v>
      </c>
      <c r="H62" s="151">
        <f t="shared" si="3"/>
        <v>615942541.5</v>
      </c>
      <c r="I62" s="151">
        <f t="shared" si="8"/>
        <v>392945800</v>
      </c>
      <c r="J62" s="151">
        <f t="shared" si="11"/>
        <v>0</v>
      </c>
      <c r="K62" s="151">
        <f t="shared" si="9"/>
        <v>0</v>
      </c>
      <c r="N62" s="150">
        <f t="shared" si="10"/>
        <v>168796256.63008329</v>
      </c>
      <c r="O62" s="153">
        <f t="shared" si="12"/>
        <v>783871.55549999978</v>
      </c>
      <c r="P62" s="145">
        <f t="shared" si="13"/>
        <v>37814323.296749987</v>
      </c>
      <c r="Q62" s="145">
        <f t="shared" si="14"/>
        <v>5919685.7995865634</v>
      </c>
      <c r="R62" s="28">
        <f t="shared" si="15"/>
        <v>203489199.36078808</v>
      </c>
      <c r="S62" s="28">
        <v>0</v>
      </c>
      <c r="T62" s="206">
        <f t="shared" si="17"/>
        <v>0</v>
      </c>
      <c r="U62" s="150">
        <f t="shared" si="18"/>
        <v>7838715.5549999997</v>
      </c>
      <c r="V62" s="153">
        <f t="shared" si="19"/>
        <v>5919685.7995865634</v>
      </c>
    </row>
    <row r="63" spans="1:22" ht="15" thickBot="1" x14ac:dyDescent="0.35">
      <c r="A63" s="120">
        <f t="shared" si="5"/>
        <v>11936685.15625</v>
      </c>
      <c r="B63">
        <v>2075</v>
      </c>
      <c r="C63" s="150">
        <f t="shared" si="26"/>
        <v>545161093.75</v>
      </c>
      <c r="D63" s="151">
        <f t="shared" si="0"/>
        <v>7090390.9828124996</v>
      </c>
      <c r="E63" s="151">
        <f t="shared" si="2"/>
        <v>352483513.5875625</v>
      </c>
      <c r="F63" s="142">
        <f t="shared" si="6"/>
        <v>4.5625000000000013E-2</v>
      </c>
      <c r="G63" s="151">
        <f t="shared" si="7"/>
        <v>17928152.125000004</v>
      </c>
      <c r="H63" s="151">
        <f t="shared" si="3"/>
        <v>633870693.625</v>
      </c>
      <c r="I63" s="151">
        <f t="shared" si="8"/>
        <v>392945800</v>
      </c>
      <c r="J63" s="151">
        <f t="shared" si="11"/>
        <v>0</v>
      </c>
      <c r="K63" s="151">
        <f t="shared" si="9"/>
        <v>0</v>
      </c>
      <c r="N63" s="150">
        <f t="shared" si="10"/>
        <v>169584077.8503958</v>
      </c>
      <c r="O63" s="153">
        <f t="shared" si="12"/>
        <v>787821.22031249944</v>
      </c>
      <c r="P63" s="145">
        <f t="shared" si="13"/>
        <v>38602144.517062485</v>
      </c>
      <c r="Q63" s="145">
        <f t="shared" si="14"/>
        <v>6001903.6579141542</v>
      </c>
      <c r="R63" s="28">
        <f t="shared" si="15"/>
        <v>209491103.01870224</v>
      </c>
      <c r="S63" s="28">
        <v>0</v>
      </c>
      <c r="T63" s="206">
        <f t="shared" si="17"/>
        <v>0</v>
      </c>
      <c r="U63" s="150">
        <f t="shared" si="18"/>
        <v>7878212.2031249991</v>
      </c>
      <c r="V63" s="153">
        <f t="shared" si="19"/>
        <v>6001903.6579141542</v>
      </c>
    </row>
    <row r="64" spans="1:22" ht="15" thickBot="1" x14ac:dyDescent="0.35">
      <c r="A64" s="120">
        <f t="shared" si="5"/>
        <v>11996528.5625</v>
      </c>
      <c r="B64">
        <v>2076</v>
      </c>
      <c r="C64" s="150">
        <f t="shared" si="26"/>
        <v>547831537.5</v>
      </c>
      <c r="D64" s="151">
        <f t="shared" si="0"/>
        <v>7125937.9661250003</v>
      </c>
      <c r="E64" s="151">
        <f t="shared" si="2"/>
        <v>359609451.55368751</v>
      </c>
      <c r="F64" s="142">
        <f t="shared" si="6"/>
        <v>4.6250000000000013E-2</v>
      </c>
      <c r="G64" s="151">
        <f t="shared" si="7"/>
        <v>18173743.250000004</v>
      </c>
      <c r="H64" s="151">
        <f t="shared" si="3"/>
        <v>652044436.875</v>
      </c>
      <c r="I64" s="151">
        <f t="shared" si="8"/>
        <v>392945800</v>
      </c>
      <c r="J64" s="151">
        <f t="shared" si="11"/>
        <v>0</v>
      </c>
      <c r="K64" s="151">
        <f t="shared" si="9"/>
        <v>0</v>
      </c>
      <c r="N64" s="150">
        <f t="shared" si="10"/>
        <v>170375848.73552081</v>
      </c>
      <c r="O64" s="153">
        <f t="shared" si="12"/>
        <v>791770.88512500003</v>
      </c>
      <c r="P64" s="145">
        <f t="shared" si="13"/>
        <v>39393915.402187482</v>
      </c>
      <c r="Q64" s="145">
        <f t="shared" si="14"/>
        <v>6084121.5162417451</v>
      </c>
      <c r="R64" s="28">
        <f t="shared" si="15"/>
        <v>215575224.534944</v>
      </c>
      <c r="S64" s="28">
        <v>0</v>
      </c>
      <c r="T64" s="206">
        <f t="shared" si="17"/>
        <v>0</v>
      </c>
      <c r="U64" s="150">
        <f t="shared" si="18"/>
        <v>7917708.8512500003</v>
      </c>
      <c r="V64" s="153">
        <f t="shared" si="19"/>
        <v>6084121.5162417451</v>
      </c>
    </row>
    <row r="65" spans="1:22" ht="15" thickBot="1" x14ac:dyDescent="0.35">
      <c r="A65" s="120">
        <f t="shared" si="5"/>
        <v>12056371.96875</v>
      </c>
      <c r="B65" s="7">
        <v>2077</v>
      </c>
      <c r="C65" s="150">
        <f t="shared" si="26"/>
        <v>550501981.25</v>
      </c>
      <c r="D65" s="151">
        <f t="shared" si="0"/>
        <v>7161484.9494375</v>
      </c>
      <c r="E65" s="151">
        <f t="shared" si="2"/>
        <v>366770936.50312501</v>
      </c>
      <c r="F65" s="142">
        <f t="shared" si="6"/>
        <v>4.6875000000000014E-2</v>
      </c>
      <c r="G65" s="151">
        <f t="shared" si="7"/>
        <v>18419334.375000004</v>
      </c>
      <c r="H65" s="151">
        <f t="shared" si="3"/>
        <v>670463771.25</v>
      </c>
      <c r="I65" s="151">
        <f t="shared" si="8"/>
        <v>392945800</v>
      </c>
      <c r="J65" s="151">
        <f t="shared" si="11"/>
        <v>0</v>
      </c>
      <c r="K65" s="151">
        <f t="shared" si="9"/>
        <v>0</v>
      </c>
      <c r="N65" s="150">
        <f t="shared" si="10"/>
        <v>171171569.2854583</v>
      </c>
      <c r="O65" s="153">
        <f t="shared" si="12"/>
        <v>795720.54993749969</v>
      </c>
      <c r="P65" s="145">
        <f t="shared" si="13"/>
        <v>40189635.952124983</v>
      </c>
      <c r="Q65" s="145">
        <f t="shared" si="14"/>
        <v>6166339.3745693369</v>
      </c>
      <c r="R65" s="28">
        <f t="shared" si="15"/>
        <v>221741563.90951332</v>
      </c>
      <c r="S65" s="28">
        <v>0</v>
      </c>
      <c r="T65" s="206">
        <f t="shared" si="17"/>
        <v>0</v>
      </c>
      <c r="U65" s="150">
        <f t="shared" si="18"/>
        <v>7957205.4993749997</v>
      </c>
      <c r="V65" s="153">
        <f t="shared" si="19"/>
        <v>6166339.3745693369</v>
      </c>
    </row>
    <row r="66" spans="1:22" ht="15" thickBot="1" x14ac:dyDescent="0.35">
      <c r="A66" s="120">
        <f t="shared" si="5"/>
        <v>12116215.375</v>
      </c>
      <c r="B66">
        <v>2078</v>
      </c>
      <c r="C66" s="150">
        <f t="shared" si="26"/>
        <v>553172425</v>
      </c>
      <c r="D66" s="151">
        <f t="shared" si="0"/>
        <v>7197031.9327499997</v>
      </c>
      <c r="E66" s="151">
        <f t="shared" si="2"/>
        <v>373967968.435875</v>
      </c>
      <c r="F66" s="142">
        <f t="shared" si="6"/>
        <v>4.7500000000000014E-2</v>
      </c>
      <c r="G66" s="151">
        <f t="shared" si="7"/>
        <v>18664925.500000007</v>
      </c>
      <c r="H66" s="151">
        <f t="shared" si="3"/>
        <v>689128696.75</v>
      </c>
      <c r="I66" s="151">
        <f t="shared" si="8"/>
        <v>392945800</v>
      </c>
      <c r="J66" s="151">
        <f t="shared" si="11"/>
        <v>0</v>
      </c>
      <c r="K66" s="151">
        <f t="shared" si="9"/>
        <v>0</v>
      </c>
      <c r="N66" s="150">
        <f t="shared" si="10"/>
        <v>171971239.50020829</v>
      </c>
      <c r="O66" s="153">
        <f t="shared" si="12"/>
        <v>799670.21474999934</v>
      </c>
      <c r="P66" s="145">
        <f t="shared" si="13"/>
        <v>40989306.166874982</v>
      </c>
      <c r="Q66" s="145">
        <f t="shared" si="14"/>
        <v>6248557.2328969277</v>
      </c>
      <c r="R66" s="28">
        <f t="shared" si="15"/>
        <v>227990121.14241025</v>
      </c>
      <c r="S66" s="28">
        <v>0</v>
      </c>
      <c r="T66" s="206">
        <f t="shared" si="17"/>
        <v>0</v>
      </c>
      <c r="U66" s="150">
        <f t="shared" si="18"/>
        <v>7996702.147499999</v>
      </c>
      <c r="V66" s="153">
        <f t="shared" si="19"/>
        <v>6248557.2328969277</v>
      </c>
    </row>
    <row r="67" spans="1:22" ht="15" thickBot="1" x14ac:dyDescent="0.35">
      <c r="A67" s="120">
        <f t="shared" si="5"/>
        <v>12176058.78125</v>
      </c>
      <c r="B67">
        <v>2079</v>
      </c>
      <c r="C67" s="150">
        <f t="shared" si="26"/>
        <v>555842868.75</v>
      </c>
      <c r="D67" s="151">
        <f t="shared" si="0"/>
        <v>7232578.9160625003</v>
      </c>
      <c r="E67" s="151">
        <f t="shared" si="2"/>
        <v>381200547.35193747</v>
      </c>
      <c r="F67" s="142">
        <f t="shared" si="6"/>
        <v>4.8125000000000015E-2</v>
      </c>
      <c r="G67" s="151">
        <f t="shared" si="7"/>
        <v>18910516.625000007</v>
      </c>
      <c r="H67" s="151">
        <f t="shared" si="3"/>
        <v>708039213.375</v>
      </c>
      <c r="I67" s="151">
        <f t="shared" si="8"/>
        <v>392945800</v>
      </c>
      <c r="J67" s="151">
        <f t="shared" si="11"/>
        <v>0</v>
      </c>
      <c r="K67" s="151">
        <f t="shared" si="9"/>
        <v>0</v>
      </c>
      <c r="N67" s="150">
        <f t="shared" si="10"/>
        <v>172774859.37977079</v>
      </c>
      <c r="O67" s="153">
        <f t="shared" si="12"/>
        <v>803619.87956249993</v>
      </c>
      <c r="P67" s="145">
        <f t="shared" si="13"/>
        <v>41792926.04643748</v>
      </c>
      <c r="Q67" s="145">
        <f t="shared" si="14"/>
        <v>6330775.0912245186</v>
      </c>
      <c r="R67" s="28">
        <f t="shared" si="15"/>
        <v>234320896.23363477</v>
      </c>
      <c r="S67" s="28">
        <v>0</v>
      </c>
      <c r="T67" s="206">
        <f t="shared" si="17"/>
        <v>0</v>
      </c>
      <c r="U67" s="150">
        <f t="shared" si="18"/>
        <v>8036198.7956250003</v>
      </c>
      <c r="V67" s="153">
        <f t="shared" si="19"/>
        <v>6330775.0912245186</v>
      </c>
    </row>
    <row r="68" spans="1:22" ht="15" thickBot="1" x14ac:dyDescent="0.35">
      <c r="A68" s="120">
        <f t="shared" si="5"/>
        <v>12235902.1875</v>
      </c>
      <c r="B68" s="7">
        <v>2080</v>
      </c>
      <c r="C68" s="150">
        <f t="shared" si="26"/>
        <v>558513312.5</v>
      </c>
      <c r="D68" s="151">
        <f t="shared" si="0"/>
        <v>7268125.899375</v>
      </c>
      <c r="E68" s="151">
        <f t="shared" si="2"/>
        <v>388468673.25131249</v>
      </c>
      <c r="F68" s="142">
        <f t="shared" si="6"/>
        <v>4.8750000000000016E-2</v>
      </c>
      <c r="G68" s="151">
        <f t="shared" si="7"/>
        <v>19156107.750000007</v>
      </c>
      <c r="H68" s="151">
        <f t="shared" si="3"/>
        <v>727195321.125</v>
      </c>
      <c r="I68" s="151">
        <f t="shared" si="8"/>
        <v>392945800</v>
      </c>
      <c r="J68" s="151">
        <f t="shared" si="11"/>
        <v>0</v>
      </c>
      <c r="K68" s="151">
        <f t="shared" si="9"/>
        <v>0</v>
      </c>
      <c r="N68" s="150">
        <f t="shared" si="10"/>
        <v>173582428.92414579</v>
      </c>
      <c r="O68" s="153">
        <f t="shared" si="12"/>
        <v>807569.54437499959</v>
      </c>
      <c r="P68" s="145">
        <f t="shared" si="13"/>
        <v>42600495.590812482</v>
      </c>
      <c r="Q68" s="145">
        <f t="shared" si="14"/>
        <v>6412992.9495521104</v>
      </c>
      <c r="R68" s="28">
        <f t="shared" si="15"/>
        <v>240733889.18318689</v>
      </c>
      <c r="S68" s="28">
        <v>0</v>
      </c>
      <c r="T68" s="206">
        <f t="shared" si="17"/>
        <v>0</v>
      </c>
      <c r="U68" s="150">
        <f t="shared" si="18"/>
        <v>8075695.4437499996</v>
      </c>
      <c r="V68" s="153">
        <f t="shared" si="19"/>
        <v>6412992.9495521104</v>
      </c>
    </row>
    <row r="69" spans="1:22" ht="15" thickBot="1" x14ac:dyDescent="0.35">
      <c r="A69" s="120">
        <f t="shared" si="5"/>
        <v>12295745.59375</v>
      </c>
      <c r="B69">
        <v>2081</v>
      </c>
      <c r="C69" s="150">
        <f t="shared" si="26"/>
        <v>561183756.25</v>
      </c>
      <c r="D69" s="151">
        <f t="shared" si="0"/>
        <v>7303672.8826874997</v>
      </c>
      <c r="E69" s="151">
        <f t="shared" si="2"/>
        <v>395772346.134</v>
      </c>
      <c r="F69" s="142">
        <f t="shared" si="6"/>
        <v>4.9375000000000016E-2</v>
      </c>
      <c r="G69" s="151">
        <f t="shared" si="7"/>
        <v>19401698.875000007</v>
      </c>
      <c r="H69" s="151">
        <f t="shared" si="3"/>
        <v>746597020</v>
      </c>
      <c r="I69" s="151">
        <f t="shared" si="8"/>
        <v>392945800</v>
      </c>
      <c r="J69" s="151">
        <f t="shared" si="11"/>
        <v>0</v>
      </c>
      <c r="K69" s="151">
        <f t="shared" si="9"/>
        <v>0</v>
      </c>
      <c r="N69" s="150">
        <f t="shared" si="10"/>
        <v>174393948.1333333</v>
      </c>
      <c r="O69" s="153">
        <f t="shared" si="12"/>
        <v>811519.20918750018</v>
      </c>
      <c r="P69" s="145">
        <f t="shared" si="13"/>
        <v>43412014.799999982</v>
      </c>
      <c r="Q69" s="145">
        <f t="shared" si="14"/>
        <v>6495210.8078797013</v>
      </c>
      <c r="R69" s="28">
        <f t="shared" si="15"/>
        <v>247229099.99106658</v>
      </c>
      <c r="S69" s="28">
        <v>0</v>
      </c>
      <c r="T69" s="206">
        <f t="shared" si="17"/>
        <v>0</v>
      </c>
      <c r="U69" s="150">
        <f t="shared" si="18"/>
        <v>8115192.0918749999</v>
      </c>
      <c r="V69" s="153">
        <f t="shared" si="19"/>
        <v>6495210.8078797013</v>
      </c>
    </row>
    <row r="70" spans="1:22" ht="15" thickBot="1" x14ac:dyDescent="0.35">
      <c r="A70" s="120">
        <f t="shared" si="5"/>
        <v>12355589</v>
      </c>
      <c r="B70">
        <v>2082</v>
      </c>
      <c r="C70" s="150">
        <f t="shared" si="26"/>
        <v>563854200</v>
      </c>
      <c r="D70" s="151">
        <f t="shared" ref="D70:D88" si="27">(A70/1000)*($B$2*$B$3)</f>
        <v>7339219.8660000004</v>
      </c>
      <c r="E70" s="151">
        <f t="shared" si="2"/>
        <v>403111566</v>
      </c>
      <c r="F70" s="142">
        <f t="shared" si="6"/>
        <v>5.0000000000000017E-2</v>
      </c>
      <c r="G70" s="151">
        <f t="shared" si="7"/>
        <v>19647290.000000007</v>
      </c>
      <c r="H70" s="151">
        <f t="shared" si="3"/>
        <v>766244310</v>
      </c>
      <c r="I70" s="151">
        <f t="shared" si="8"/>
        <v>392945800</v>
      </c>
      <c r="J70" s="151">
        <f t="shared" si="11"/>
        <v>0</v>
      </c>
      <c r="K70" s="151">
        <f t="shared" si="9"/>
        <v>0</v>
      </c>
      <c r="N70" s="150">
        <f t="shared" si="10"/>
        <v>175209417.00733331</v>
      </c>
      <c r="O70" s="153">
        <f t="shared" si="12"/>
        <v>815468.87399999984</v>
      </c>
      <c r="P70" s="145">
        <f t="shared" si="13"/>
        <v>44227483.67399998</v>
      </c>
      <c r="Q70" s="145">
        <f t="shared" si="14"/>
        <v>6577428.666207293</v>
      </c>
      <c r="R70" s="28">
        <f t="shared" si="15"/>
        <v>253806528.65727386</v>
      </c>
      <c r="S70" s="28">
        <v>0</v>
      </c>
      <c r="T70" s="206">
        <f t="shared" si="17"/>
        <v>0</v>
      </c>
      <c r="U70" s="150">
        <f t="shared" si="18"/>
        <v>8154688.7400000002</v>
      </c>
      <c r="V70" s="153">
        <f t="shared" si="19"/>
        <v>6577428.666207293</v>
      </c>
    </row>
    <row r="71" spans="1:22" ht="15" thickBot="1" x14ac:dyDescent="0.35">
      <c r="A71" s="120">
        <f t="shared" si="5"/>
        <v>12415432.40625</v>
      </c>
      <c r="B71" s="7">
        <v>2083</v>
      </c>
      <c r="C71" s="150">
        <f t="shared" si="26"/>
        <v>566524643.75</v>
      </c>
      <c r="D71" s="151">
        <f t="shared" si="27"/>
        <v>7374766.8493125001</v>
      </c>
      <c r="E71" s="151">
        <f t="shared" ref="E71:E88" si="28">E70+D71</f>
        <v>410486332.84931248</v>
      </c>
      <c r="F71" s="142">
        <f t="shared" si="6"/>
        <v>5.0625000000000017E-2</v>
      </c>
      <c r="G71" s="151">
        <f t="shared" si="7"/>
        <v>19892881.125000007</v>
      </c>
      <c r="H71" s="151">
        <f t="shared" ref="H71:H88" si="29">H70+G71</f>
        <v>786137191.125</v>
      </c>
      <c r="I71" s="151">
        <f t="shared" si="8"/>
        <v>392945800</v>
      </c>
      <c r="J71" s="151">
        <f t="shared" si="11"/>
        <v>0</v>
      </c>
      <c r="K71" s="151">
        <f t="shared" si="9"/>
        <v>0</v>
      </c>
      <c r="N71" s="150">
        <f t="shared" si="10"/>
        <v>176028835.5461458</v>
      </c>
      <c r="O71" s="153">
        <f t="shared" si="12"/>
        <v>819418.53881249949</v>
      </c>
      <c r="P71" s="145">
        <f t="shared" si="13"/>
        <v>45046902.212812483</v>
      </c>
      <c r="Q71" s="145">
        <f t="shared" si="14"/>
        <v>6659646.5245348839</v>
      </c>
      <c r="R71" s="28">
        <f t="shared" si="15"/>
        <v>260466175.18180874</v>
      </c>
      <c r="S71" s="28">
        <v>0</v>
      </c>
      <c r="T71" s="206">
        <f t="shared" si="17"/>
        <v>0</v>
      </c>
      <c r="U71" s="150">
        <f t="shared" si="18"/>
        <v>8194185.3881249996</v>
      </c>
      <c r="V71" s="153">
        <f t="shared" si="19"/>
        <v>6659646.5245348839</v>
      </c>
    </row>
    <row r="72" spans="1:22" ht="15" thickBot="1" x14ac:dyDescent="0.35">
      <c r="A72" s="120">
        <f t="shared" ref="A72:A88" si="30">A71+($A$38-$A$6)/32</f>
        <v>12475275.8125</v>
      </c>
      <c r="B72">
        <v>2084</v>
      </c>
      <c r="C72" s="150">
        <f t="shared" si="26"/>
        <v>569195087.5</v>
      </c>
      <c r="D72" s="151">
        <f t="shared" si="27"/>
        <v>7410313.8326249998</v>
      </c>
      <c r="E72" s="151">
        <f t="shared" si="28"/>
        <v>417896646.68193746</v>
      </c>
      <c r="F72" s="142">
        <f t="shared" ref="F72:F88" si="31">F71+($F$38-$F$6)/32</f>
        <v>5.1250000000000018E-2</v>
      </c>
      <c r="G72" s="151">
        <f t="shared" ref="G72:G88" si="32">F72*$C$6</f>
        <v>20138472.250000007</v>
      </c>
      <c r="H72" s="151">
        <f t="shared" si="29"/>
        <v>806275663.375</v>
      </c>
      <c r="I72" s="151">
        <f t="shared" ref="I72:I88" si="33">IF(H72&lt;$C$6,H72,$C$6)</f>
        <v>392945800</v>
      </c>
      <c r="J72" s="151">
        <f t="shared" si="11"/>
        <v>0</v>
      </c>
      <c r="K72" s="151">
        <f t="shared" ref="K72:K88" si="34">IF(I72=0, 0, $C$6-I72)</f>
        <v>0</v>
      </c>
      <c r="N72" s="150">
        <f t="shared" ref="N72:N88" si="35">N71+O72</f>
        <v>176852203.74977079</v>
      </c>
      <c r="O72" s="153">
        <f t="shared" si="12"/>
        <v>823368.20362500008</v>
      </c>
      <c r="P72" s="145">
        <f t="shared" si="13"/>
        <v>45870270.416437484</v>
      </c>
      <c r="Q72" s="145">
        <f t="shared" si="14"/>
        <v>6741864.3828624748</v>
      </c>
      <c r="R72" s="28">
        <f t="shared" si="15"/>
        <v>267208039.56467122</v>
      </c>
      <c r="S72" s="28">
        <v>0</v>
      </c>
      <c r="T72" s="206">
        <f t="shared" si="17"/>
        <v>0</v>
      </c>
      <c r="U72" s="150">
        <f t="shared" si="18"/>
        <v>8233682.0362499999</v>
      </c>
      <c r="V72" s="153">
        <f t="shared" si="19"/>
        <v>6741864.3828624748</v>
      </c>
    </row>
    <row r="73" spans="1:22" ht="15" thickBot="1" x14ac:dyDescent="0.35">
      <c r="A73" s="120">
        <f t="shared" si="30"/>
        <v>12535119.21875</v>
      </c>
      <c r="B73">
        <v>2085</v>
      </c>
      <c r="C73" s="150">
        <f t="shared" si="26"/>
        <v>571865531.25</v>
      </c>
      <c r="D73" s="151">
        <f t="shared" si="27"/>
        <v>7445860.8159375004</v>
      </c>
      <c r="E73" s="151">
        <f t="shared" si="28"/>
        <v>425342507.49787498</v>
      </c>
      <c r="F73" s="142">
        <f t="shared" si="31"/>
        <v>5.1875000000000018E-2</v>
      </c>
      <c r="G73" s="151">
        <f t="shared" si="32"/>
        <v>20384063.375000007</v>
      </c>
      <c r="H73" s="151">
        <f t="shared" si="29"/>
        <v>826659726.75</v>
      </c>
      <c r="I73" s="151">
        <f t="shared" si="33"/>
        <v>392945800</v>
      </c>
      <c r="J73" s="151">
        <f t="shared" ref="J73:J88" si="36">I73-I72</f>
        <v>0</v>
      </c>
      <c r="K73" s="151">
        <f t="shared" si="34"/>
        <v>0</v>
      </c>
      <c r="N73" s="150">
        <f t="shared" si="35"/>
        <v>177679521.61820829</v>
      </c>
      <c r="O73" s="153">
        <f t="shared" ref="O73:O88" si="37">(D73/90%)-D73</f>
        <v>827317.86843749974</v>
      </c>
      <c r="P73" s="145">
        <f t="shared" ref="P73:P88" si="38">P72+O73</f>
        <v>46697588.284874983</v>
      </c>
      <c r="Q73" s="145">
        <f t="shared" ref="Q73:Q88" si="39">$N$7*F73</f>
        <v>6824082.2411900666</v>
      </c>
      <c r="R73" s="28">
        <f t="shared" ref="R73:R88" si="40">R72+Q73</f>
        <v>274032121.80586129</v>
      </c>
      <c r="S73" s="28">
        <v>0</v>
      </c>
      <c r="T73" s="206">
        <f t="shared" ref="T73:T88" si="41">K73+S73</f>
        <v>0</v>
      </c>
      <c r="U73" s="150">
        <f t="shared" ref="U73:U88" si="42">D73+O73</f>
        <v>8273178.6843750002</v>
      </c>
      <c r="V73" s="153">
        <f t="shared" ref="V73:V88" si="43">Q73+J73</f>
        <v>6824082.2411900666</v>
      </c>
    </row>
    <row r="74" spans="1:22" ht="15" thickBot="1" x14ac:dyDescent="0.35">
      <c r="A74" s="120">
        <f t="shared" si="30"/>
        <v>12594962.625</v>
      </c>
      <c r="B74" s="7">
        <v>2086</v>
      </c>
      <c r="C74" s="150">
        <f t="shared" si="26"/>
        <v>574535975</v>
      </c>
      <c r="D74" s="151">
        <f t="shared" si="27"/>
        <v>7481407.7992500002</v>
      </c>
      <c r="E74" s="151">
        <f t="shared" si="28"/>
        <v>432823915.29712498</v>
      </c>
      <c r="F74" s="142">
        <f t="shared" si="31"/>
        <v>5.2500000000000019E-2</v>
      </c>
      <c r="G74" s="151">
        <f t="shared" si="32"/>
        <v>20629654.500000007</v>
      </c>
      <c r="H74" s="151">
        <f t="shared" si="29"/>
        <v>847289381.25</v>
      </c>
      <c r="I74" s="151">
        <f t="shared" si="33"/>
        <v>392945800</v>
      </c>
      <c r="J74" s="151">
        <f t="shared" si="36"/>
        <v>0</v>
      </c>
      <c r="K74" s="151">
        <f t="shared" si="34"/>
        <v>0</v>
      </c>
      <c r="N74" s="150">
        <f t="shared" si="35"/>
        <v>178510789.15145829</v>
      </c>
      <c r="O74" s="153">
        <f t="shared" si="37"/>
        <v>831267.5332499994</v>
      </c>
      <c r="P74" s="145">
        <f t="shared" si="38"/>
        <v>47528855.81812498</v>
      </c>
      <c r="Q74" s="145">
        <f t="shared" si="39"/>
        <v>6906300.0995176574</v>
      </c>
      <c r="R74" s="28">
        <f t="shared" si="40"/>
        <v>280938421.90537894</v>
      </c>
      <c r="S74" s="28">
        <v>0</v>
      </c>
      <c r="T74" s="206">
        <f t="shared" si="41"/>
        <v>0</v>
      </c>
      <c r="U74" s="150">
        <f t="shared" si="42"/>
        <v>8312675.3324999996</v>
      </c>
      <c r="V74" s="153">
        <f t="shared" si="43"/>
        <v>6906300.0995176574</v>
      </c>
    </row>
    <row r="75" spans="1:22" ht="15" thickBot="1" x14ac:dyDescent="0.35">
      <c r="A75" s="120">
        <f t="shared" si="30"/>
        <v>12654806.03125</v>
      </c>
      <c r="B75">
        <v>2087</v>
      </c>
      <c r="C75" s="150">
        <f t="shared" si="26"/>
        <v>577206418.75</v>
      </c>
      <c r="D75" s="151">
        <f t="shared" si="27"/>
        <v>7516954.7825624999</v>
      </c>
      <c r="E75" s="151">
        <f t="shared" si="28"/>
        <v>440340870.07968748</v>
      </c>
      <c r="F75" s="142">
        <f t="shared" si="31"/>
        <v>5.3125000000000019E-2</v>
      </c>
      <c r="G75" s="151">
        <f t="shared" si="32"/>
        <v>20875245.625000007</v>
      </c>
      <c r="H75" s="151">
        <f t="shared" si="29"/>
        <v>868164626.875</v>
      </c>
      <c r="I75" s="151">
        <f t="shared" si="33"/>
        <v>392945800</v>
      </c>
      <c r="J75" s="151">
        <f t="shared" si="36"/>
        <v>0</v>
      </c>
      <c r="K75" s="151">
        <f t="shared" si="34"/>
        <v>0</v>
      </c>
      <c r="N75" s="150">
        <f t="shared" si="35"/>
        <v>179346006.3495208</v>
      </c>
      <c r="O75" s="153">
        <f t="shared" si="37"/>
        <v>835217.19806249999</v>
      </c>
      <c r="P75" s="145">
        <f t="shared" si="38"/>
        <v>48364073.016187482</v>
      </c>
      <c r="Q75" s="145">
        <f t="shared" si="39"/>
        <v>6988517.9578452483</v>
      </c>
      <c r="R75" s="28">
        <f t="shared" si="40"/>
        <v>287926939.86322421</v>
      </c>
      <c r="S75" s="28">
        <v>0</v>
      </c>
      <c r="T75" s="206">
        <f t="shared" si="41"/>
        <v>0</v>
      </c>
      <c r="U75" s="150">
        <f t="shared" si="42"/>
        <v>8352171.9806249999</v>
      </c>
      <c r="V75" s="153">
        <f t="shared" si="43"/>
        <v>6988517.9578452483</v>
      </c>
    </row>
    <row r="76" spans="1:22" ht="15" thickBot="1" x14ac:dyDescent="0.35">
      <c r="A76" s="120">
        <f t="shared" si="30"/>
        <v>12714649.4375</v>
      </c>
      <c r="B76">
        <v>2088</v>
      </c>
      <c r="C76" s="150">
        <f t="shared" si="26"/>
        <v>579876862.5</v>
      </c>
      <c r="D76" s="151">
        <f t="shared" si="27"/>
        <v>7552501.7658750005</v>
      </c>
      <c r="E76" s="151">
        <f t="shared" si="28"/>
        <v>447893371.84556246</v>
      </c>
      <c r="F76" s="142">
        <f t="shared" si="31"/>
        <v>5.375000000000002E-2</v>
      </c>
      <c r="G76" s="151">
        <f t="shared" si="32"/>
        <v>21120836.750000007</v>
      </c>
      <c r="H76" s="151">
        <f t="shared" si="29"/>
        <v>889285463.625</v>
      </c>
      <c r="I76" s="151">
        <f t="shared" si="33"/>
        <v>392945800</v>
      </c>
      <c r="J76" s="151">
        <f t="shared" si="36"/>
        <v>0</v>
      </c>
      <c r="K76" s="151">
        <f t="shared" si="34"/>
        <v>0</v>
      </c>
      <c r="N76" s="150">
        <f t="shared" si="35"/>
        <v>180185173.21239579</v>
      </c>
      <c r="O76" s="153">
        <f t="shared" si="37"/>
        <v>839166.86287499964</v>
      </c>
      <c r="P76" s="145">
        <f t="shared" si="38"/>
        <v>49203239.879062481</v>
      </c>
      <c r="Q76" s="145">
        <f t="shared" si="39"/>
        <v>7070735.8161728401</v>
      </c>
      <c r="R76" s="28">
        <f t="shared" si="40"/>
        <v>294997675.67939705</v>
      </c>
      <c r="S76" s="28">
        <v>0</v>
      </c>
      <c r="T76" s="206">
        <f t="shared" si="41"/>
        <v>0</v>
      </c>
      <c r="U76" s="150">
        <f t="shared" si="42"/>
        <v>8391668.6287500001</v>
      </c>
      <c r="V76" s="153">
        <f t="shared" si="43"/>
        <v>7070735.8161728401</v>
      </c>
    </row>
    <row r="77" spans="1:22" ht="15" thickBot="1" x14ac:dyDescent="0.35">
      <c r="A77" s="120">
        <f t="shared" si="30"/>
        <v>12774492.84375</v>
      </c>
      <c r="B77" s="7">
        <v>2089</v>
      </c>
      <c r="C77" s="150">
        <f t="shared" si="26"/>
        <v>582547306.25</v>
      </c>
      <c r="D77" s="151">
        <f t="shared" si="27"/>
        <v>7588048.7491875002</v>
      </c>
      <c r="E77" s="151">
        <f t="shared" si="28"/>
        <v>455481420.59474999</v>
      </c>
      <c r="F77" s="142">
        <f t="shared" si="31"/>
        <v>5.4375000000000021E-2</v>
      </c>
      <c r="G77" s="151">
        <f t="shared" si="32"/>
        <v>21366427.875000007</v>
      </c>
      <c r="H77" s="151">
        <f t="shared" si="29"/>
        <v>910651891.5</v>
      </c>
      <c r="I77" s="151">
        <f t="shared" si="33"/>
        <v>392945800</v>
      </c>
      <c r="J77" s="151">
        <f t="shared" si="36"/>
        <v>0</v>
      </c>
      <c r="K77" s="151">
        <f t="shared" si="34"/>
        <v>0</v>
      </c>
      <c r="N77" s="150">
        <f t="shared" si="35"/>
        <v>181028289.74008328</v>
      </c>
      <c r="O77" s="153">
        <f t="shared" si="37"/>
        <v>843116.52768750023</v>
      </c>
      <c r="P77" s="145">
        <f t="shared" si="38"/>
        <v>50046356.406749979</v>
      </c>
      <c r="Q77" s="145">
        <f t="shared" si="39"/>
        <v>7152953.6745004309</v>
      </c>
      <c r="R77" s="28">
        <f t="shared" si="40"/>
        <v>302150629.35389745</v>
      </c>
      <c r="S77" s="28">
        <v>0</v>
      </c>
      <c r="T77" s="206">
        <f t="shared" si="41"/>
        <v>0</v>
      </c>
      <c r="U77" s="150">
        <f t="shared" si="42"/>
        <v>8431165.2768750004</v>
      </c>
      <c r="V77" s="153">
        <f t="shared" si="43"/>
        <v>7152953.6745004309</v>
      </c>
    </row>
    <row r="78" spans="1:22" ht="15" thickBot="1" x14ac:dyDescent="0.35">
      <c r="A78" s="120">
        <f t="shared" si="30"/>
        <v>12834336.25</v>
      </c>
      <c r="B78">
        <v>2090</v>
      </c>
      <c r="C78" s="150">
        <f t="shared" si="26"/>
        <v>585217750</v>
      </c>
      <c r="D78" s="151">
        <f t="shared" si="27"/>
        <v>7623595.7324999999</v>
      </c>
      <c r="E78" s="151">
        <f t="shared" si="28"/>
        <v>463105016.32725</v>
      </c>
      <c r="F78" s="142">
        <f t="shared" si="31"/>
        <v>5.5000000000000021E-2</v>
      </c>
      <c r="G78" s="151">
        <f t="shared" si="32"/>
        <v>21612019.000000007</v>
      </c>
      <c r="H78" s="151">
        <f t="shared" si="29"/>
        <v>932263910.5</v>
      </c>
      <c r="I78" s="151">
        <f t="shared" si="33"/>
        <v>392945800</v>
      </c>
      <c r="J78" s="151">
        <f t="shared" si="36"/>
        <v>0</v>
      </c>
      <c r="K78" s="151">
        <f t="shared" si="34"/>
        <v>0</v>
      </c>
      <c r="N78" s="150">
        <f t="shared" si="35"/>
        <v>181875355.93258327</v>
      </c>
      <c r="O78" s="153">
        <f t="shared" si="37"/>
        <v>847066.19249999896</v>
      </c>
      <c r="P78" s="145">
        <f t="shared" si="38"/>
        <v>50893422.599249974</v>
      </c>
      <c r="Q78" s="145">
        <f t="shared" si="39"/>
        <v>7235171.5328280218</v>
      </c>
      <c r="R78" s="28">
        <f t="shared" si="40"/>
        <v>309385800.88672549</v>
      </c>
      <c r="S78" s="28">
        <v>0</v>
      </c>
      <c r="T78" s="206">
        <f t="shared" si="41"/>
        <v>0</v>
      </c>
      <c r="U78" s="150">
        <f t="shared" si="42"/>
        <v>8470661.9249999989</v>
      </c>
      <c r="V78" s="153">
        <f t="shared" si="43"/>
        <v>7235171.5328280218</v>
      </c>
    </row>
    <row r="79" spans="1:22" ht="15" thickBot="1" x14ac:dyDescent="0.35">
      <c r="A79" s="120">
        <f t="shared" si="30"/>
        <v>12894179.65625</v>
      </c>
      <c r="B79">
        <v>2091</v>
      </c>
      <c r="C79" s="150">
        <f t="shared" si="26"/>
        <v>587888193.75</v>
      </c>
      <c r="D79" s="151">
        <f t="shared" si="27"/>
        <v>7659142.7158125006</v>
      </c>
      <c r="E79" s="151">
        <f t="shared" si="28"/>
        <v>470764159.04306251</v>
      </c>
      <c r="F79" s="142">
        <f t="shared" si="31"/>
        <v>5.5625000000000022E-2</v>
      </c>
      <c r="G79" s="151">
        <f t="shared" si="32"/>
        <v>21857610.125000007</v>
      </c>
      <c r="H79" s="151">
        <f t="shared" si="29"/>
        <v>954121520.625</v>
      </c>
      <c r="I79" s="151">
        <f t="shared" si="33"/>
        <v>392945800</v>
      </c>
      <c r="J79" s="151">
        <f t="shared" si="36"/>
        <v>0</v>
      </c>
      <c r="K79" s="151">
        <f t="shared" si="34"/>
        <v>0</v>
      </c>
      <c r="N79" s="150">
        <f t="shared" si="35"/>
        <v>182726371.78989577</v>
      </c>
      <c r="O79" s="153">
        <f t="shared" si="37"/>
        <v>851015.85731250048</v>
      </c>
      <c r="P79" s="145">
        <f t="shared" si="38"/>
        <v>51744438.456562474</v>
      </c>
      <c r="Q79" s="145">
        <f t="shared" si="39"/>
        <v>7317389.3911556136</v>
      </c>
      <c r="R79" s="28">
        <f t="shared" si="40"/>
        <v>316703190.27788109</v>
      </c>
      <c r="S79" s="28">
        <v>0</v>
      </c>
      <c r="T79" s="206">
        <f t="shared" si="41"/>
        <v>0</v>
      </c>
      <c r="U79" s="150">
        <f t="shared" si="42"/>
        <v>8510158.573125001</v>
      </c>
      <c r="V79" s="153">
        <f t="shared" si="43"/>
        <v>7317389.3911556136</v>
      </c>
    </row>
    <row r="80" spans="1:22" ht="15" thickBot="1" x14ac:dyDescent="0.35">
      <c r="A80" s="120">
        <f t="shared" si="30"/>
        <v>12954023.0625</v>
      </c>
      <c r="B80" s="7">
        <v>2092</v>
      </c>
      <c r="C80" s="150">
        <f t="shared" si="26"/>
        <v>590558637.5</v>
      </c>
      <c r="D80" s="151">
        <f t="shared" si="27"/>
        <v>7694689.6991250003</v>
      </c>
      <c r="E80" s="151">
        <f t="shared" si="28"/>
        <v>478458848.7421875</v>
      </c>
      <c r="F80" s="142">
        <f t="shared" si="31"/>
        <v>5.6250000000000022E-2</v>
      </c>
      <c r="G80" s="151">
        <f t="shared" si="32"/>
        <v>22103201.250000007</v>
      </c>
      <c r="H80" s="151">
        <f t="shared" si="29"/>
        <v>976224721.875</v>
      </c>
      <c r="I80" s="151">
        <f t="shared" si="33"/>
        <v>392945800</v>
      </c>
      <c r="J80" s="151">
        <f t="shared" si="36"/>
        <v>0</v>
      </c>
      <c r="K80" s="151">
        <f t="shared" si="34"/>
        <v>0</v>
      </c>
      <c r="N80" s="150">
        <f t="shared" si="35"/>
        <v>183581337.31202078</v>
      </c>
      <c r="O80" s="153">
        <f t="shared" si="37"/>
        <v>854965.5221249992</v>
      </c>
      <c r="P80" s="145">
        <f t="shared" si="38"/>
        <v>52599403.978687473</v>
      </c>
      <c r="Q80" s="145">
        <f t="shared" si="39"/>
        <v>7399607.2494832044</v>
      </c>
      <c r="R80" s="28">
        <f t="shared" si="40"/>
        <v>324102797.52736431</v>
      </c>
      <c r="S80" s="28">
        <v>0</v>
      </c>
      <c r="T80" s="206">
        <f t="shared" si="41"/>
        <v>0</v>
      </c>
      <c r="U80" s="150">
        <f t="shared" si="42"/>
        <v>8549655.2212499995</v>
      </c>
      <c r="V80" s="153">
        <f t="shared" si="43"/>
        <v>7399607.2494832044</v>
      </c>
    </row>
    <row r="81" spans="1:22" ht="15" thickBot="1" x14ac:dyDescent="0.35">
      <c r="A81" s="120">
        <f t="shared" si="30"/>
        <v>13013866.46875</v>
      </c>
      <c r="B81">
        <v>2093</v>
      </c>
      <c r="C81" s="150">
        <f t="shared" si="26"/>
        <v>593229081.25</v>
      </c>
      <c r="D81" s="151">
        <f t="shared" si="27"/>
        <v>7730236.6824375</v>
      </c>
      <c r="E81" s="151">
        <f t="shared" si="28"/>
        <v>486189085.42462498</v>
      </c>
      <c r="F81" s="142">
        <f t="shared" si="31"/>
        <v>5.6875000000000023E-2</v>
      </c>
      <c r="G81" s="151">
        <f t="shared" si="32"/>
        <v>22348792.375000007</v>
      </c>
      <c r="H81" s="151">
        <f t="shared" si="29"/>
        <v>998573514.25</v>
      </c>
      <c r="I81" s="151">
        <f t="shared" si="33"/>
        <v>392945800</v>
      </c>
      <c r="J81" s="151">
        <f t="shared" si="36"/>
        <v>0</v>
      </c>
      <c r="K81" s="151">
        <f t="shared" si="34"/>
        <v>0</v>
      </c>
      <c r="N81" s="150">
        <f t="shared" si="35"/>
        <v>184440252.49895829</v>
      </c>
      <c r="O81" s="153">
        <f t="shared" si="37"/>
        <v>858915.18693749979</v>
      </c>
      <c r="P81" s="145">
        <f t="shared" si="38"/>
        <v>53458319.165624976</v>
      </c>
      <c r="Q81" s="145">
        <f t="shared" si="39"/>
        <v>7481825.1078107962</v>
      </c>
      <c r="R81" s="28">
        <f t="shared" si="40"/>
        <v>331584622.63517511</v>
      </c>
      <c r="S81" s="28">
        <v>0</v>
      </c>
      <c r="T81" s="206">
        <f t="shared" si="41"/>
        <v>0</v>
      </c>
      <c r="U81" s="150">
        <f t="shared" si="42"/>
        <v>8589151.8693749998</v>
      </c>
      <c r="V81" s="153">
        <f t="shared" si="43"/>
        <v>7481825.1078107962</v>
      </c>
    </row>
    <row r="82" spans="1:22" ht="15" thickBot="1" x14ac:dyDescent="0.35">
      <c r="A82" s="120">
        <f t="shared" si="30"/>
        <v>13073709.875</v>
      </c>
      <c r="B82">
        <v>2094</v>
      </c>
      <c r="C82" s="150">
        <f t="shared" si="26"/>
        <v>595899525</v>
      </c>
      <c r="D82" s="151">
        <f t="shared" si="27"/>
        <v>7765783.6657500006</v>
      </c>
      <c r="E82" s="151">
        <f t="shared" si="28"/>
        <v>493954869.09037501</v>
      </c>
      <c r="F82" s="142">
        <f t="shared" si="31"/>
        <v>5.7500000000000023E-2</v>
      </c>
      <c r="G82" s="151">
        <f t="shared" si="32"/>
        <v>22594383.500000007</v>
      </c>
      <c r="H82" s="151">
        <f t="shared" si="29"/>
        <v>1021167897.75</v>
      </c>
      <c r="I82" s="151">
        <f t="shared" si="33"/>
        <v>392945800</v>
      </c>
      <c r="J82" s="151">
        <f t="shared" si="36"/>
        <v>0</v>
      </c>
      <c r="K82" s="151">
        <f t="shared" si="34"/>
        <v>0</v>
      </c>
      <c r="N82" s="150">
        <f t="shared" si="35"/>
        <v>185303117.35070828</v>
      </c>
      <c r="O82" s="153">
        <f t="shared" si="37"/>
        <v>862864.85174999945</v>
      </c>
      <c r="P82" s="145">
        <f t="shared" si="38"/>
        <v>54321184.017374977</v>
      </c>
      <c r="Q82" s="145">
        <f t="shared" si="39"/>
        <v>7564042.9661383871</v>
      </c>
      <c r="R82" s="28">
        <f t="shared" si="40"/>
        <v>339148665.60131347</v>
      </c>
      <c r="S82" s="28">
        <v>0</v>
      </c>
      <c r="T82" s="206">
        <f t="shared" si="41"/>
        <v>0</v>
      </c>
      <c r="U82" s="150">
        <f t="shared" si="42"/>
        <v>8628648.5175000001</v>
      </c>
      <c r="V82" s="153">
        <f t="shared" si="43"/>
        <v>7564042.9661383871</v>
      </c>
    </row>
    <row r="83" spans="1:22" ht="15" thickBot="1" x14ac:dyDescent="0.35">
      <c r="A83" s="120">
        <f t="shared" si="30"/>
        <v>13133553.28125</v>
      </c>
      <c r="B83" s="7">
        <v>2095</v>
      </c>
      <c r="C83" s="150">
        <f t="shared" si="26"/>
        <v>598569968.75</v>
      </c>
      <c r="D83" s="151">
        <f t="shared" si="27"/>
        <v>7801330.6490625003</v>
      </c>
      <c r="E83" s="151">
        <f t="shared" si="28"/>
        <v>501756199.73943752</v>
      </c>
      <c r="F83" s="142">
        <f t="shared" si="31"/>
        <v>5.8125000000000024E-2</v>
      </c>
      <c r="G83" s="151">
        <f t="shared" si="32"/>
        <v>22839974.625000011</v>
      </c>
      <c r="H83" s="151">
        <f t="shared" si="29"/>
        <v>1044007872.375</v>
      </c>
      <c r="I83" s="151">
        <f t="shared" si="33"/>
        <v>392945800</v>
      </c>
      <c r="J83" s="151">
        <f t="shared" si="36"/>
        <v>0</v>
      </c>
      <c r="K83" s="151">
        <f t="shared" si="34"/>
        <v>0</v>
      </c>
      <c r="N83" s="150">
        <f t="shared" si="35"/>
        <v>186169931.86727077</v>
      </c>
      <c r="O83" s="153">
        <f t="shared" si="37"/>
        <v>866814.51656250004</v>
      </c>
      <c r="P83" s="145">
        <f t="shared" si="38"/>
        <v>55187998.533937477</v>
      </c>
      <c r="Q83" s="145">
        <f t="shared" si="39"/>
        <v>7646260.824465978</v>
      </c>
      <c r="R83" s="28">
        <f t="shared" si="40"/>
        <v>346794926.42577946</v>
      </c>
      <c r="S83" s="28">
        <v>0</v>
      </c>
      <c r="T83" s="206">
        <f t="shared" si="41"/>
        <v>0</v>
      </c>
      <c r="U83" s="150">
        <f t="shared" si="42"/>
        <v>8668145.1656250004</v>
      </c>
      <c r="V83" s="153">
        <f t="shared" si="43"/>
        <v>7646260.824465978</v>
      </c>
    </row>
    <row r="84" spans="1:22" ht="15" thickBot="1" x14ac:dyDescent="0.35">
      <c r="A84" s="120">
        <f t="shared" si="30"/>
        <v>13193396.6875</v>
      </c>
      <c r="B84">
        <v>2096</v>
      </c>
      <c r="C84" s="150">
        <f t="shared" si="26"/>
        <v>601240412.5</v>
      </c>
      <c r="D84" s="151">
        <f t="shared" si="27"/>
        <v>7836877.632375</v>
      </c>
      <c r="E84" s="151">
        <f t="shared" si="28"/>
        <v>509593077.37181252</v>
      </c>
      <c r="F84" s="142">
        <f t="shared" si="31"/>
        <v>5.8750000000000024E-2</v>
      </c>
      <c r="G84" s="151">
        <f t="shared" si="32"/>
        <v>23085565.750000011</v>
      </c>
      <c r="H84" s="151">
        <f t="shared" si="29"/>
        <v>1067093438.125</v>
      </c>
      <c r="I84" s="151">
        <f t="shared" si="33"/>
        <v>392945800</v>
      </c>
      <c r="J84" s="151">
        <f t="shared" si="36"/>
        <v>0</v>
      </c>
      <c r="K84" s="151">
        <f t="shared" si="34"/>
        <v>0</v>
      </c>
      <c r="N84" s="150">
        <f t="shared" si="35"/>
        <v>187040696.04864576</v>
      </c>
      <c r="O84" s="153">
        <f t="shared" si="37"/>
        <v>870764.18137500063</v>
      </c>
      <c r="P84" s="145">
        <f t="shared" si="38"/>
        <v>56058762.715312481</v>
      </c>
      <c r="Q84" s="145">
        <f t="shared" si="39"/>
        <v>7728478.6827935698</v>
      </c>
      <c r="R84" s="28">
        <f t="shared" si="40"/>
        <v>354523405.10857302</v>
      </c>
      <c r="S84" s="28">
        <v>0</v>
      </c>
      <c r="T84" s="206">
        <f t="shared" si="41"/>
        <v>0</v>
      </c>
      <c r="U84" s="150">
        <f t="shared" si="42"/>
        <v>8707641.8137500007</v>
      </c>
      <c r="V84" s="153">
        <f t="shared" si="43"/>
        <v>7728478.6827935698</v>
      </c>
    </row>
    <row r="85" spans="1:22" ht="15" thickBot="1" x14ac:dyDescent="0.35">
      <c r="A85" s="120">
        <f t="shared" si="30"/>
        <v>13253240.09375</v>
      </c>
      <c r="B85">
        <v>2097</v>
      </c>
      <c r="C85" s="150">
        <f t="shared" si="26"/>
        <v>603910856.25</v>
      </c>
      <c r="D85" s="151">
        <f t="shared" si="27"/>
        <v>7872424.6156875007</v>
      </c>
      <c r="E85" s="151">
        <f t="shared" si="28"/>
        <v>517465501.98750001</v>
      </c>
      <c r="F85" s="142">
        <f t="shared" si="31"/>
        <v>5.9375000000000025E-2</v>
      </c>
      <c r="G85" s="151">
        <f t="shared" si="32"/>
        <v>23331156.875000011</v>
      </c>
      <c r="H85" s="151">
        <f t="shared" si="29"/>
        <v>1090424595</v>
      </c>
      <c r="I85" s="151">
        <f t="shared" si="33"/>
        <v>392945800</v>
      </c>
      <c r="J85" s="151">
        <f t="shared" si="36"/>
        <v>0</v>
      </c>
      <c r="K85" s="151">
        <f t="shared" si="34"/>
        <v>0</v>
      </c>
      <c r="N85" s="150">
        <f t="shared" si="35"/>
        <v>187915409.89483327</v>
      </c>
      <c r="O85" s="153">
        <f t="shared" si="37"/>
        <v>874713.84618750028</v>
      </c>
      <c r="P85" s="145">
        <f t="shared" si="38"/>
        <v>56933476.561499983</v>
      </c>
      <c r="Q85" s="145">
        <f t="shared" si="39"/>
        <v>7810696.5411211606</v>
      </c>
      <c r="R85" s="28">
        <f t="shared" si="40"/>
        <v>362334101.6496942</v>
      </c>
      <c r="S85" s="28">
        <v>0</v>
      </c>
      <c r="T85" s="206">
        <f t="shared" si="41"/>
        <v>0</v>
      </c>
      <c r="U85" s="150">
        <f t="shared" si="42"/>
        <v>8747138.461875001</v>
      </c>
      <c r="V85" s="153">
        <f t="shared" si="43"/>
        <v>7810696.5411211606</v>
      </c>
    </row>
    <row r="86" spans="1:22" ht="15" thickBot="1" x14ac:dyDescent="0.35">
      <c r="A86" s="120">
        <f t="shared" si="30"/>
        <v>13313083.5</v>
      </c>
      <c r="B86" s="7">
        <v>2098</v>
      </c>
      <c r="C86" s="150">
        <f t="shared" si="26"/>
        <v>606581300</v>
      </c>
      <c r="D86" s="151">
        <f t="shared" si="27"/>
        <v>7907971.5990000004</v>
      </c>
      <c r="E86" s="151">
        <f t="shared" si="28"/>
        <v>525373473.58649999</v>
      </c>
      <c r="F86" s="142">
        <f t="shared" si="31"/>
        <v>6.0000000000000026E-2</v>
      </c>
      <c r="G86" s="151">
        <f t="shared" si="32"/>
        <v>23576748.000000011</v>
      </c>
      <c r="H86" s="151">
        <f t="shared" si="29"/>
        <v>1114001343</v>
      </c>
      <c r="I86" s="151">
        <f t="shared" si="33"/>
        <v>392945800</v>
      </c>
      <c r="J86" s="151">
        <f t="shared" si="36"/>
        <v>0</v>
      </c>
      <c r="K86" s="151">
        <f t="shared" si="34"/>
        <v>0</v>
      </c>
      <c r="N86" s="150">
        <f t="shared" si="35"/>
        <v>188794073.40583327</v>
      </c>
      <c r="O86" s="153">
        <f t="shared" si="37"/>
        <v>878663.51099999901</v>
      </c>
      <c r="P86" s="145">
        <f t="shared" si="38"/>
        <v>57812140.072499983</v>
      </c>
      <c r="Q86" s="145">
        <f t="shared" si="39"/>
        <v>7892914.3994487515</v>
      </c>
      <c r="R86" s="28">
        <f t="shared" si="40"/>
        <v>370227016.04914296</v>
      </c>
      <c r="S86" s="28">
        <v>0</v>
      </c>
      <c r="T86" s="206">
        <f t="shared" si="41"/>
        <v>0</v>
      </c>
      <c r="U86" s="150">
        <f t="shared" si="42"/>
        <v>8786635.1099999994</v>
      </c>
      <c r="V86" s="153">
        <f t="shared" si="43"/>
        <v>7892914.3994487515</v>
      </c>
    </row>
    <row r="87" spans="1:22" ht="15" thickBot="1" x14ac:dyDescent="0.35">
      <c r="A87" s="120">
        <f t="shared" si="30"/>
        <v>13372926.90625</v>
      </c>
      <c r="B87">
        <v>2099</v>
      </c>
      <c r="C87" s="150">
        <f t="shared" si="26"/>
        <v>609251743.75</v>
      </c>
      <c r="D87" s="151">
        <f t="shared" si="27"/>
        <v>7943518.5823125001</v>
      </c>
      <c r="E87" s="151">
        <f t="shared" si="28"/>
        <v>533316992.16881251</v>
      </c>
      <c r="F87" s="142">
        <f t="shared" si="31"/>
        <v>6.0625000000000026E-2</v>
      </c>
      <c r="G87" s="151">
        <f t="shared" si="32"/>
        <v>23822339.125000011</v>
      </c>
      <c r="H87" s="151">
        <f t="shared" si="29"/>
        <v>1137823682.125</v>
      </c>
      <c r="I87" s="151">
        <f t="shared" si="33"/>
        <v>392945800</v>
      </c>
      <c r="J87" s="151">
        <f t="shared" si="36"/>
        <v>0</v>
      </c>
      <c r="K87" s="151">
        <f t="shared" si="34"/>
        <v>0</v>
      </c>
      <c r="N87" s="150">
        <f t="shared" si="35"/>
        <v>189676686.58164579</v>
      </c>
      <c r="O87" s="153">
        <f t="shared" si="37"/>
        <v>882613.1758124996</v>
      </c>
      <c r="P87" s="145">
        <f t="shared" si="38"/>
        <v>58694753.248312481</v>
      </c>
      <c r="Q87" s="145">
        <f t="shared" si="39"/>
        <v>7975132.2577763433</v>
      </c>
      <c r="R87" s="28">
        <f t="shared" si="40"/>
        <v>378202148.30691928</v>
      </c>
      <c r="S87" s="28">
        <v>0</v>
      </c>
      <c r="T87" s="206">
        <f t="shared" si="41"/>
        <v>0</v>
      </c>
      <c r="U87" s="150">
        <f t="shared" si="42"/>
        <v>8826131.7581249997</v>
      </c>
      <c r="V87" s="153">
        <f t="shared" si="43"/>
        <v>7975132.2577763433</v>
      </c>
    </row>
    <row r="88" spans="1:22" ht="15" thickBot="1" x14ac:dyDescent="0.35">
      <c r="A88" s="120">
        <f t="shared" si="30"/>
        <v>13432770.3125</v>
      </c>
      <c r="B88">
        <v>2100</v>
      </c>
      <c r="C88" s="150">
        <f t="shared" si="26"/>
        <v>611922187.5</v>
      </c>
      <c r="D88" s="151">
        <f t="shared" si="27"/>
        <v>7979065.5656250007</v>
      </c>
      <c r="E88" s="151">
        <f t="shared" si="28"/>
        <v>541296057.73443747</v>
      </c>
      <c r="F88" s="142">
        <f t="shared" si="31"/>
        <v>6.1250000000000027E-2</v>
      </c>
      <c r="G88" s="151">
        <f t="shared" si="32"/>
        <v>24067930.250000011</v>
      </c>
      <c r="H88" s="151">
        <f t="shared" si="29"/>
        <v>1161891612.375</v>
      </c>
      <c r="I88" s="151">
        <f t="shared" si="33"/>
        <v>392945800</v>
      </c>
      <c r="J88" s="151">
        <f t="shared" si="36"/>
        <v>0</v>
      </c>
      <c r="K88" s="151">
        <f t="shared" si="34"/>
        <v>0</v>
      </c>
      <c r="N88" s="150">
        <f t="shared" si="35"/>
        <v>190563249.42227077</v>
      </c>
      <c r="O88" s="153">
        <f t="shared" si="37"/>
        <v>886562.84062499925</v>
      </c>
      <c r="P88" s="145">
        <f t="shared" si="38"/>
        <v>59581316.088937476</v>
      </c>
      <c r="Q88" s="145">
        <f t="shared" si="39"/>
        <v>8057350.1161039341</v>
      </c>
      <c r="R88" s="28">
        <f t="shared" si="40"/>
        <v>386259498.42302322</v>
      </c>
      <c r="S88" s="28">
        <v>0</v>
      </c>
      <c r="T88" s="206">
        <f t="shared" si="41"/>
        <v>0</v>
      </c>
      <c r="U88" s="150">
        <f t="shared" si="42"/>
        <v>8865628.40625</v>
      </c>
      <c r="V88" s="153">
        <f t="shared" si="43"/>
        <v>8057350.1161039341</v>
      </c>
    </row>
    <row r="91" spans="1:22" x14ac:dyDescent="0.3">
      <c r="A91" t="s">
        <v>335</v>
      </c>
    </row>
    <row r="93" spans="1:22" x14ac:dyDescent="0.3">
      <c r="A93" t="s">
        <v>336</v>
      </c>
    </row>
  </sheetData>
  <mergeCells count="3">
    <mergeCell ref="C1:K1"/>
    <mergeCell ref="N1:Q1"/>
    <mergeCell ref="AF1:AI1"/>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7427-FF7B-41E1-9190-F251A7B81019}">
  <dimension ref="A33:X224"/>
  <sheetViews>
    <sheetView zoomScale="55" zoomScaleNormal="55" workbookViewId="0">
      <selection activeCell="AI209" sqref="AI209"/>
    </sheetView>
  </sheetViews>
  <sheetFormatPr baseColWidth="10" defaultColWidth="11.44140625" defaultRowHeight="14.4" x14ac:dyDescent="0.3"/>
  <cols>
    <col min="8" max="8" width="14" customWidth="1"/>
  </cols>
  <sheetData>
    <row r="33" spans="1:6" x14ac:dyDescent="0.3">
      <c r="C33" t="s">
        <v>156</v>
      </c>
      <c r="D33" t="s">
        <v>157</v>
      </c>
      <c r="F33" s="54">
        <f>SUM(E34:E38)</f>
        <v>0.49464911479944684</v>
      </c>
    </row>
    <row r="34" spans="1:6" x14ac:dyDescent="0.3">
      <c r="B34" t="s">
        <v>158</v>
      </c>
      <c r="C34">
        <f>D34/1000000</f>
        <v>0.28400249999999999</v>
      </c>
      <c r="D34">
        <f>(126*73.7)+(358*65.5)+(71*91.4)+(321*92.7)+(3826*56.2)</f>
        <v>284002.5</v>
      </c>
      <c r="E34" s="36">
        <f>C34/'Global-Swiss Carbon Budgets'!$D$40</f>
        <v>5.8921680497925309E-2</v>
      </c>
    </row>
    <row r="35" spans="1:6" x14ac:dyDescent="0.3">
      <c r="B35" t="s">
        <v>159</v>
      </c>
      <c r="C35">
        <f>D35/1000000</f>
        <v>9.9370300000000009E-2</v>
      </c>
      <c r="D35">
        <f>(76*73.7)+(9*65.5)+(1658*56.2)</f>
        <v>99370.3</v>
      </c>
      <c r="E35" s="36">
        <f>C35/'Global-Swiss Carbon Budgets'!$D$40</f>
        <v>2.061624481327801E-2</v>
      </c>
    </row>
    <row r="37" spans="1:6" x14ac:dyDescent="0.3">
      <c r="B37" t="s">
        <v>160</v>
      </c>
      <c r="C37">
        <f>D37/1000000</f>
        <v>1.2888777000000002</v>
      </c>
      <c r="D37">
        <f>(1078*73.7)+(31*77)+(45*65.5)+(542*91.4)+(1206*92.7)+(2367*96.1)+(2972*56.2)+(6513*70.5)+(2078*91)</f>
        <v>1288877.7000000002</v>
      </c>
      <c r="E37" s="36">
        <f>C37/'Global-Swiss Carbon Budgets'!$D$40</f>
        <v>0.26740201244813283</v>
      </c>
    </row>
    <row r="38" spans="1:6" x14ac:dyDescent="0.3">
      <c r="A38" t="s">
        <v>161</v>
      </c>
      <c r="B38" t="s">
        <v>162</v>
      </c>
      <c r="C38">
        <f>D39/1000000-C39</f>
        <v>0.71195823333333341</v>
      </c>
      <c r="E38" s="36">
        <f>C38/'Global-Swiss Carbon Budgets'!$D$40</f>
        <v>0.14770917704011066</v>
      </c>
    </row>
    <row r="39" spans="1:6" x14ac:dyDescent="0.3">
      <c r="A39" s="51" t="s">
        <v>163</v>
      </c>
      <c r="B39" s="52" t="s">
        <v>164</v>
      </c>
      <c r="C39" s="52">
        <f>'Global-Swiss Carbon Budgets'!D40/3</f>
        <v>1.6066666666666667</v>
      </c>
      <c r="D39" s="52">
        <f>(6593*73.7)+(2.2*77)+(1833*65.5)+(468*91.4)+(138*92.7)+(153*96.1)+(8529*56.2)+(12779*91)</f>
        <v>2318624.9</v>
      </c>
      <c r="E39" s="53">
        <f>C39/'Global-Swiss Carbon Budgets'!$D$40</f>
        <v>0.33333333333333331</v>
      </c>
    </row>
    <row r="42" spans="1:6" x14ac:dyDescent="0.3">
      <c r="A42" s="49" t="s">
        <v>165</v>
      </c>
      <c r="B42" s="50" t="s">
        <v>166</v>
      </c>
      <c r="C42" s="25">
        <v>0.4</v>
      </c>
      <c r="E42">
        <f>4.422*C42</f>
        <v>1.7687999999999999</v>
      </c>
      <c r="F42" s="55">
        <f>E42/'Global-Swiss Carbon Budgets'!D42</f>
        <v>0.65390018484288359</v>
      </c>
    </row>
    <row r="43" spans="1:6" x14ac:dyDescent="0.3">
      <c r="A43" s="33" t="s">
        <v>167</v>
      </c>
      <c r="B43" t="s">
        <v>168</v>
      </c>
      <c r="E43">
        <v>1.73</v>
      </c>
      <c r="F43" t="s">
        <v>169</v>
      </c>
    </row>
    <row r="44" spans="1:6" x14ac:dyDescent="0.3">
      <c r="A44" s="33" t="s">
        <v>170</v>
      </c>
      <c r="B44" t="s">
        <v>171</v>
      </c>
      <c r="E44">
        <v>0.05</v>
      </c>
      <c r="F44" t="s">
        <v>172</v>
      </c>
    </row>
    <row r="45" spans="1:6" x14ac:dyDescent="0.3">
      <c r="A45" s="33" t="s">
        <v>173</v>
      </c>
      <c r="B45" t="s">
        <v>174</v>
      </c>
      <c r="E45">
        <v>0.01</v>
      </c>
      <c r="F45" t="s">
        <v>175</v>
      </c>
    </row>
    <row r="46" spans="1:6" x14ac:dyDescent="0.3">
      <c r="A46" s="33" t="s">
        <v>176</v>
      </c>
      <c r="B46" t="s">
        <v>177</v>
      </c>
      <c r="E46">
        <v>0.14000000000000001</v>
      </c>
      <c r="F46" t="s">
        <v>178</v>
      </c>
    </row>
    <row r="47" spans="1:6" x14ac:dyDescent="0.3">
      <c r="A47" s="33" t="s">
        <v>179</v>
      </c>
      <c r="B47" t="s">
        <v>180</v>
      </c>
      <c r="C47" s="25">
        <v>0.2</v>
      </c>
      <c r="E47">
        <f>4.422*C47</f>
        <v>0.88439999999999996</v>
      </c>
    </row>
    <row r="48" spans="1:6" x14ac:dyDescent="0.3">
      <c r="A48" s="33" t="s">
        <v>181</v>
      </c>
      <c r="B48" s="50" t="s">
        <v>182</v>
      </c>
      <c r="F48" t="s">
        <v>183</v>
      </c>
    </row>
    <row r="49" spans="1:6" x14ac:dyDescent="0.3">
      <c r="A49" s="33" t="s">
        <v>184</v>
      </c>
      <c r="F49" t="s">
        <v>183</v>
      </c>
    </row>
    <row r="50" spans="1:6" x14ac:dyDescent="0.3">
      <c r="A50" s="33" t="s">
        <v>185</v>
      </c>
      <c r="B50" t="s">
        <v>186</v>
      </c>
      <c r="F50" t="s">
        <v>183</v>
      </c>
    </row>
    <row r="51" spans="1:6" x14ac:dyDescent="0.3">
      <c r="A51" s="33" t="s">
        <v>187</v>
      </c>
      <c r="B51" t="s">
        <v>188</v>
      </c>
      <c r="E51">
        <v>1.5</v>
      </c>
      <c r="F51" t="s">
        <v>189</v>
      </c>
    </row>
    <row r="52" spans="1:6" x14ac:dyDescent="0.3">
      <c r="A52" s="33" t="s">
        <v>190</v>
      </c>
    </row>
    <row r="53" spans="1:6" x14ac:dyDescent="0.3">
      <c r="A53" s="33" t="s">
        <v>191</v>
      </c>
      <c r="F53" t="s">
        <v>183</v>
      </c>
    </row>
    <row r="65" spans="7:9" x14ac:dyDescent="0.3">
      <c r="G65">
        <f>51.4%*20710</f>
        <v>10644.94</v>
      </c>
    </row>
    <row r="66" spans="7:9" x14ac:dyDescent="0.3">
      <c r="G66">
        <f>30.2%*20710</f>
        <v>6254.42</v>
      </c>
      <c r="H66" s="58">
        <f>G66/G65</f>
        <v>0.58754863813229574</v>
      </c>
      <c r="I66" t="s">
        <v>192</v>
      </c>
    </row>
    <row r="67" spans="7:9" x14ac:dyDescent="0.3">
      <c r="H67" s="57">
        <f>100%-H66</f>
        <v>0.41245136186770426</v>
      </c>
      <c r="I67" t="s">
        <v>193</v>
      </c>
    </row>
    <row r="136" spans="1:1" x14ac:dyDescent="0.3">
      <c r="A136" t="s">
        <v>194</v>
      </c>
    </row>
    <row r="137" spans="1:1" x14ac:dyDescent="0.3">
      <c r="A137" t="s">
        <v>195</v>
      </c>
    </row>
    <row r="206" spans="23:24" x14ac:dyDescent="0.3">
      <c r="W206" t="s">
        <v>333</v>
      </c>
      <c r="X206">
        <v>600</v>
      </c>
    </row>
    <row r="207" spans="23:24" x14ac:dyDescent="0.3">
      <c r="W207" t="s">
        <v>334</v>
      </c>
      <c r="X207">
        <v>600</v>
      </c>
    </row>
    <row r="216" spans="1:8" x14ac:dyDescent="0.3">
      <c r="H216" t="s">
        <v>319</v>
      </c>
    </row>
    <row r="217" spans="1:8" x14ac:dyDescent="0.3">
      <c r="H217" t="s">
        <v>318</v>
      </c>
    </row>
    <row r="221" spans="1:8" x14ac:dyDescent="0.3">
      <c r="A221" t="s">
        <v>327</v>
      </c>
    </row>
    <row r="223" spans="1:8" x14ac:dyDescent="0.3">
      <c r="A223" t="s">
        <v>328</v>
      </c>
    </row>
    <row r="224" spans="1:8" x14ac:dyDescent="0.3">
      <c r="A224" t="s">
        <v>329</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529C2-33CF-46F5-9732-89600875EA98}">
  <dimension ref="A1:AK97"/>
  <sheetViews>
    <sheetView topLeftCell="A22" zoomScale="70" zoomScaleNormal="70" workbookViewId="0">
      <selection activeCell="R67" sqref="R67"/>
    </sheetView>
  </sheetViews>
  <sheetFormatPr baseColWidth="10" defaultColWidth="11.44140625" defaultRowHeight="14.4" x14ac:dyDescent="0.3"/>
  <cols>
    <col min="22" max="22" width="4.6640625" customWidth="1"/>
  </cols>
  <sheetData>
    <row r="1" spans="1:33" x14ac:dyDescent="0.3">
      <c r="P1" t="s">
        <v>53</v>
      </c>
      <c r="R1" s="183" t="s">
        <v>234</v>
      </c>
    </row>
    <row r="2" spans="1:33" ht="15" thickBot="1" x14ac:dyDescent="0.35">
      <c r="A2" t="s">
        <v>196</v>
      </c>
      <c r="E2">
        <v>0.93140000000000001</v>
      </c>
      <c r="F2">
        <v>0.95669999999999999</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row>
    <row r="3" spans="1:33" ht="15" thickBot="1" x14ac:dyDescent="0.35">
      <c r="A3" s="155" t="s">
        <v>238</v>
      </c>
      <c r="B3" s="156"/>
      <c r="C3" s="195">
        <f>(C4*2)/C36+1</f>
        <v>16.28066436092076</v>
      </c>
      <c r="D3" s="195">
        <f>(D4*2)/D36+1</f>
        <v>21.002834893375166</v>
      </c>
      <c r="E3" s="156"/>
      <c r="F3" s="156"/>
      <c r="G3" s="156"/>
      <c r="H3" s="158"/>
      <c r="L3" s="299" t="s">
        <v>229</v>
      </c>
      <c r="M3" s="292"/>
      <c r="R3" s="187">
        <v>0.85</v>
      </c>
      <c r="S3" s="187">
        <v>0.85</v>
      </c>
      <c r="T3" s="186">
        <v>60</v>
      </c>
      <c r="U3" t="s">
        <v>237</v>
      </c>
    </row>
    <row r="4" spans="1:33" ht="15" thickBot="1" x14ac:dyDescent="0.35">
      <c r="A4" s="155" t="s">
        <v>55</v>
      </c>
      <c r="B4" s="156"/>
      <c r="C4" s="195">
        <f>'Global-Swiss Carbon Budgets'!K24</f>
        <v>87.634564166819885</v>
      </c>
      <c r="D4" s="195">
        <f>'Global-Swiss Carbon Budgets'!K25</f>
        <v>149.34692868272484</v>
      </c>
      <c r="E4" s="196">
        <f>'Global-Swiss Carbon Budgets'!K26</f>
        <v>133.831645602207</v>
      </c>
      <c r="F4" s="196">
        <f>'Global-Swiss Carbon Budgets'!K27</f>
        <v>146.8717572471445</v>
      </c>
      <c r="G4" s="156"/>
      <c r="H4" s="158"/>
      <c r="L4" s="297" t="s">
        <v>216</v>
      </c>
      <c r="M4" s="298"/>
      <c r="N4" s="317" t="s">
        <v>216</v>
      </c>
      <c r="O4" s="298"/>
      <c r="P4" s="299" t="s">
        <v>233</v>
      </c>
      <c r="Q4" s="292"/>
      <c r="R4" s="299" t="s">
        <v>233</v>
      </c>
      <c r="S4" s="292"/>
      <c r="T4" s="299" t="s">
        <v>235</v>
      </c>
      <c r="U4" s="292"/>
      <c r="X4" s="1" t="s">
        <v>54</v>
      </c>
      <c r="Y4" s="1"/>
    </row>
    <row r="5" spans="1:33" ht="15" thickBot="1" x14ac:dyDescent="0.35">
      <c r="A5" s="155" t="s">
        <v>239</v>
      </c>
      <c r="B5" s="156"/>
      <c r="C5" s="193">
        <f>SUM(C37:C67)</f>
        <v>87.705682229595524</v>
      </c>
      <c r="D5" s="193">
        <f>SUM(D37:D67)</f>
        <v>149.34793360073388</v>
      </c>
      <c r="E5" s="193">
        <f>SUM(E37:E67)</f>
        <v>133.72332338787416</v>
      </c>
      <c r="F5" s="193">
        <f>SUM(F37:F67)</f>
        <v>146.90444071615588</v>
      </c>
      <c r="G5" s="193">
        <f t="shared" ref="G5:H5" si="0">SUM(G37:G67)</f>
        <v>-17.830159477342672</v>
      </c>
      <c r="H5" s="194">
        <f t="shared" si="0"/>
        <v>-52.528539910448238</v>
      </c>
      <c r="I5" s="17"/>
      <c r="J5" s="22"/>
      <c r="K5" s="18"/>
      <c r="L5" s="2"/>
      <c r="M5" s="5"/>
      <c r="N5" s="295" t="s">
        <v>231</v>
      </c>
      <c r="O5" s="296"/>
      <c r="P5" s="300" t="s">
        <v>232</v>
      </c>
      <c r="Q5" s="293"/>
      <c r="R5" s="300" t="s">
        <v>232</v>
      </c>
      <c r="S5" s="293"/>
      <c r="T5" s="300" t="s">
        <v>236</v>
      </c>
      <c r="U5" s="293"/>
      <c r="X5" s="21" t="s">
        <v>142</v>
      </c>
      <c r="Y5" s="22" t="s">
        <v>235</v>
      </c>
      <c r="Z5" s="188"/>
      <c r="AA5" s="188"/>
      <c r="AB5" s="189"/>
      <c r="AC5" s="21" t="s">
        <v>57</v>
      </c>
      <c r="AD5" s="188"/>
      <c r="AE5" s="22"/>
      <c r="AF5" s="22"/>
      <c r="AG5" s="18"/>
    </row>
    <row r="6" spans="1:33" ht="43.2" x14ac:dyDescent="0.3">
      <c r="A6" t="s">
        <v>197</v>
      </c>
      <c r="C6" s="21" t="s">
        <v>58</v>
      </c>
      <c r="D6" s="188" t="s">
        <v>59</v>
      </c>
      <c r="E6" s="188" t="s">
        <v>60</v>
      </c>
      <c r="F6" s="189" t="s">
        <v>61</v>
      </c>
      <c r="G6" s="21" t="s">
        <v>62</v>
      </c>
      <c r="H6" s="189" t="s">
        <v>63</v>
      </c>
      <c r="I6" s="19" t="s">
        <v>64</v>
      </c>
      <c r="J6" s="1" t="s">
        <v>65</v>
      </c>
      <c r="K6" s="27" t="s">
        <v>66</v>
      </c>
      <c r="L6" s="169" t="s">
        <v>51</v>
      </c>
      <c r="M6" s="170" t="s">
        <v>230</v>
      </c>
      <c r="N6" s="169" t="s">
        <v>363</v>
      </c>
      <c r="O6" s="170" t="s">
        <v>364</v>
      </c>
      <c r="P6" s="169" t="s">
        <v>363</v>
      </c>
      <c r="Q6" s="170" t="s">
        <v>364</v>
      </c>
      <c r="R6" s="169" t="s">
        <v>363</v>
      </c>
      <c r="S6" s="170" t="s">
        <v>364</v>
      </c>
      <c r="T6" s="169" t="s">
        <v>67</v>
      </c>
      <c r="U6" s="170" t="s">
        <v>68</v>
      </c>
      <c r="X6" s="190">
        <v>0.69</v>
      </c>
      <c r="Y6" s="1" t="s">
        <v>219</v>
      </c>
      <c r="Z6" s="1" t="s">
        <v>70</v>
      </c>
      <c r="AA6" s="1" t="s">
        <v>71</v>
      </c>
      <c r="AB6" s="27" t="s">
        <v>72</v>
      </c>
      <c r="AC6" s="190">
        <f>100%-X6</f>
        <v>0.31000000000000005</v>
      </c>
      <c r="AD6" s="1" t="s">
        <v>69</v>
      </c>
      <c r="AE6" s="1" t="s">
        <v>70</v>
      </c>
      <c r="AF6" s="1" t="s">
        <v>71</v>
      </c>
      <c r="AG6" s="27" t="s">
        <v>72</v>
      </c>
    </row>
    <row r="7" spans="1:33" ht="15" x14ac:dyDescent="0.35">
      <c r="B7">
        <v>1990</v>
      </c>
      <c r="C7" s="94">
        <v>16.687078235646027</v>
      </c>
      <c r="D7" s="95">
        <v>14.676371953635769</v>
      </c>
      <c r="E7" s="95">
        <v>13.547158388535459</v>
      </c>
      <c r="F7" s="103">
        <v>9.2350523332430559</v>
      </c>
      <c r="G7" s="159"/>
      <c r="H7" s="160"/>
      <c r="I7" s="199"/>
      <c r="K7" s="5"/>
      <c r="L7" s="31"/>
      <c r="M7" s="5"/>
      <c r="N7" s="184">
        <f>'Global-Swiss Carbon Budgets'!C65</f>
        <v>0.55732012105988737</v>
      </c>
      <c r="O7" s="185">
        <f>'Global-Swiss Carbon Budgets'!C66</f>
        <v>0.44267987894011257</v>
      </c>
      <c r="P7" s="2"/>
      <c r="Q7" s="5"/>
      <c r="R7" s="2"/>
      <c r="S7" s="5"/>
      <c r="T7" s="2"/>
      <c r="U7" s="5"/>
      <c r="X7" s="2" t="s">
        <v>146</v>
      </c>
      <c r="Z7" s="23">
        <v>0.98</v>
      </c>
      <c r="AA7" s="23">
        <v>0.01</v>
      </c>
      <c r="AB7" s="20">
        <v>0.01</v>
      </c>
      <c r="AC7" s="2"/>
      <c r="AD7" s="23">
        <f>(AC37*1000000000)/Surfaces!N6</f>
        <v>25.479071709524135</v>
      </c>
      <c r="AE7" s="57">
        <f>100%-AF7-AG7</f>
        <v>0.98599999999999999</v>
      </c>
      <c r="AF7" s="57">
        <v>4.0000000000000001E-3</v>
      </c>
      <c r="AG7" s="192">
        <v>0.01</v>
      </c>
    </row>
    <row r="8" spans="1:33" ht="15" x14ac:dyDescent="0.35">
      <c r="B8">
        <v>1991</v>
      </c>
      <c r="C8" s="94">
        <v>18.051942742427364</v>
      </c>
      <c r="D8" s="95">
        <v>15.174492875903393</v>
      </c>
      <c r="E8" s="95">
        <v>13.770043526289779</v>
      </c>
      <c r="F8" s="103">
        <v>9.0060501281598579</v>
      </c>
      <c r="G8" s="159"/>
      <c r="H8" s="160"/>
      <c r="I8" s="199"/>
      <c r="K8" s="5"/>
      <c r="L8" s="2"/>
      <c r="M8" s="5"/>
      <c r="N8" s="2"/>
      <c r="O8" s="5"/>
      <c r="P8" s="2"/>
      <c r="Q8" s="5"/>
      <c r="R8" s="2"/>
      <c r="S8" s="5"/>
      <c r="T8" s="2"/>
      <c r="U8" s="5"/>
      <c r="X8" s="2" t="s">
        <v>221</v>
      </c>
      <c r="Y8" s="23">
        <f>(X37*1000000000)/Surfaces!C6</f>
        <v>18.903827397388866</v>
      </c>
      <c r="Z8" s="191">
        <f>(Y8-(AA8*AA7)-(AB8*AB7))/Z7</f>
        <v>19.194721834070272</v>
      </c>
      <c r="AA8">
        <v>3.5</v>
      </c>
      <c r="AB8" s="5">
        <v>5.8</v>
      </c>
      <c r="AC8" s="2" t="s">
        <v>56</v>
      </c>
      <c r="AE8" s="191">
        <f>(AD7-(AF8*AF7)-(AG8*AG7))/AE7</f>
        <v>25.677760354486949</v>
      </c>
      <c r="AF8">
        <f>AVERAGE(4,2,6,29,10)</f>
        <v>10.199999999999999</v>
      </c>
      <c r="AG8" s="5">
        <f>AVERAGE(6,4,7,31,12)</f>
        <v>12</v>
      </c>
    </row>
    <row r="9" spans="1:33" ht="15" x14ac:dyDescent="0.35">
      <c r="B9">
        <v>1992</v>
      </c>
      <c r="C9" s="94">
        <v>18.093297250529066</v>
      </c>
      <c r="D9" s="95">
        <v>15.501761129980201</v>
      </c>
      <c r="E9" s="95">
        <v>13.22941638075846</v>
      </c>
      <c r="F9" s="103">
        <v>8.8906619759232175</v>
      </c>
      <c r="G9" s="159"/>
      <c r="H9" s="160"/>
      <c r="I9" s="199"/>
      <c r="K9" s="5"/>
      <c r="L9" s="2"/>
      <c r="M9" s="5"/>
      <c r="N9" s="2"/>
      <c r="O9" s="5"/>
      <c r="P9" s="2"/>
      <c r="Q9" s="5"/>
      <c r="R9" s="2"/>
      <c r="S9" s="5"/>
      <c r="T9" s="2"/>
      <c r="U9" s="5"/>
      <c r="X9" s="2" t="s">
        <v>220</v>
      </c>
      <c r="Z9" s="24">
        <f>Z8/$Y$8</f>
        <v>1.0153881238209774</v>
      </c>
      <c r="AA9" s="24">
        <f>AA8/$Y$8</f>
        <v>0.18514769133384307</v>
      </c>
      <c r="AB9" s="124">
        <f>AB8/$Y$8</f>
        <v>0.3068161742103685</v>
      </c>
      <c r="AC9" s="2" t="s">
        <v>69</v>
      </c>
      <c r="AE9" s="24">
        <f>AE8/$AD$7</f>
        <v>1.0077981116120704</v>
      </c>
      <c r="AF9" s="24">
        <f t="shared" ref="AF9:AG9" si="1">AF8/$AD$7</f>
        <v>0.40032855656147065</v>
      </c>
      <c r="AG9" s="124">
        <f t="shared" si="1"/>
        <v>0.47097477242525965</v>
      </c>
    </row>
    <row r="10" spans="1:33" ht="15" x14ac:dyDescent="0.35">
      <c r="B10">
        <v>1993</v>
      </c>
      <c r="C10" s="94">
        <v>17.485075012567854</v>
      </c>
      <c r="D10" s="95">
        <v>14.432099728757557</v>
      </c>
      <c r="E10" s="95">
        <v>12.450475013129331</v>
      </c>
      <c r="F10" s="103">
        <v>8.8431310278765825</v>
      </c>
      <c r="G10" s="159"/>
      <c r="H10" s="160"/>
      <c r="I10" s="199"/>
      <c r="K10" s="5"/>
      <c r="L10" s="2"/>
      <c r="M10" s="5"/>
      <c r="N10" s="2"/>
      <c r="O10" s="5"/>
      <c r="P10" s="2"/>
      <c r="Q10" s="5"/>
      <c r="R10" s="2"/>
      <c r="S10" s="5"/>
      <c r="T10" s="2"/>
      <c r="U10" s="5"/>
      <c r="X10" s="2"/>
      <c r="AB10" s="5"/>
      <c r="AC10" s="2"/>
      <c r="AG10" s="5"/>
    </row>
    <row r="11" spans="1:33" ht="15" x14ac:dyDescent="0.35">
      <c r="B11">
        <v>1994</v>
      </c>
      <c r="C11" s="94">
        <v>16.209921061568444</v>
      </c>
      <c r="D11" s="95">
        <v>14.619024251692455</v>
      </c>
      <c r="E11" s="95">
        <v>12.606203630747707</v>
      </c>
      <c r="F11" s="103">
        <v>8.7428417151373061</v>
      </c>
      <c r="G11" s="159"/>
      <c r="H11" s="160"/>
      <c r="I11" s="199"/>
      <c r="K11" s="5"/>
      <c r="L11" s="2"/>
      <c r="M11" s="5"/>
      <c r="N11" s="2"/>
      <c r="O11" s="5"/>
      <c r="P11" s="2"/>
      <c r="Q11" s="5"/>
      <c r="R11" s="2"/>
      <c r="S11" s="5"/>
      <c r="T11" s="2"/>
      <c r="U11" s="5"/>
      <c r="X11" s="2"/>
      <c r="AB11" s="5"/>
      <c r="AC11" s="2"/>
      <c r="AG11" s="5"/>
    </row>
    <row r="12" spans="1:33" ht="15" x14ac:dyDescent="0.35">
      <c r="B12">
        <v>1995</v>
      </c>
      <c r="C12" s="94">
        <v>17.260064665282986</v>
      </c>
      <c r="D12" s="95">
        <v>14.30494068428178</v>
      </c>
      <c r="E12" s="95">
        <v>12.74776841361858</v>
      </c>
      <c r="F12" s="103">
        <v>8.762715945124059</v>
      </c>
      <c r="G12" s="159"/>
      <c r="H12" s="160"/>
      <c r="I12" s="199"/>
      <c r="K12" s="5"/>
      <c r="L12" s="2"/>
      <c r="M12" s="5"/>
      <c r="N12" s="2"/>
      <c r="O12" s="5"/>
      <c r="P12" s="2"/>
      <c r="Q12" s="5"/>
      <c r="R12" s="2"/>
      <c r="S12" s="5"/>
      <c r="T12" s="2"/>
      <c r="U12" s="5"/>
      <c r="X12" s="2"/>
      <c r="AB12" s="5"/>
      <c r="AC12" s="2"/>
      <c r="AG12" s="5"/>
    </row>
    <row r="13" spans="1:33" ht="15" x14ac:dyDescent="0.35">
      <c r="B13">
        <v>1996</v>
      </c>
      <c r="C13" s="94">
        <v>18.117080989434818</v>
      </c>
      <c r="D13" s="95">
        <v>14.368708683810713</v>
      </c>
      <c r="E13" s="95">
        <v>12.573806149253015</v>
      </c>
      <c r="F13" s="103">
        <v>8.6005862687267136</v>
      </c>
      <c r="G13" s="159"/>
      <c r="H13" s="160"/>
      <c r="I13" s="199"/>
      <c r="K13" s="5"/>
      <c r="L13" s="2"/>
      <c r="M13" s="5"/>
      <c r="N13" s="2"/>
      <c r="O13" s="5"/>
      <c r="P13" s="2"/>
      <c r="Q13" s="5"/>
      <c r="R13" s="2"/>
      <c r="S13" s="5"/>
      <c r="T13" s="2"/>
      <c r="U13" s="5"/>
      <c r="X13" s="2"/>
      <c r="AB13" s="5"/>
      <c r="AC13" s="2"/>
      <c r="AG13" s="5"/>
    </row>
    <row r="14" spans="1:33" ht="15" x14ac:dyDescent="0.35">
      <c r="B14">
        <v>1997</v>
      </c>
      <c r="C14" s="94">
        <v>16.688995474624683</v>
      </c>
      <c r="D14" s="95">
        <v>14.925240498711442</v>
      </c>
      <c r="E14" s="95">
        <v>12.430277924948065</v>
      </c>
      <c r="F14" s="103">
        <v>8.4702128581906422</v>
      </c>
      <c r="G14" s="159"/>
      <c r="H14" s="160"/>
      <c r="I14" s="199"/>
      <c r="K14" s="5"/>
      <c r="L14" s="2"/>
      <c r="M14" s="5"/>
      <c r="N14" s="2"/>
      <c r="O14" s="5"/>
      <c r="P14" s="2"/>
      <c r="Q14" s="5"/>
      <c r="R14" s="2"/>
      <c r="S14" s="5"/>
      <c r="T14" s="2"/>
      <c r="U14" s="5"/>
      <c r="X14" s="2"/>
      <c r="AB14" s="5"/>
      <c r="AC14" s="2"/>
      <c r="AG14" s="5"/>
    </row>
    <row r="15" spans="1:33" ht="15" x14ac:dyDescent="0.35">
      <c r="B15">
        <v>1998</v>
      </c>
      <c r="C15" s="94">
        <v>17.508047098826466</v>
      </c>
      <c r="D15" s="95">
        <v>15.134297433091467</v>
      </c>
      <c r="E15" s="95">
        <v>12.914913306036555</v>
      </c>
      <c r="F15" s="103">
        <v>8.5063328195422692</v>
      </c>
      <c r="G15" s="159"/>
      <c r="H15" s="160"/>
      <c r="I15" s="199"/>
      <c r="K15" s="5"/>
      <c r="L15" s="2"/>
      <c r="M15" s="5"/>
      <c r="N15" s="2"/>
      <c r="O15" s="5"/>
      <c r="P15" s="2"/>
      <c r="Q15" s="5"/>
      <c r="R15" s="2"/>
      <c r="S15" s="5"/>
      <c r="T15" s="2"/>
      <c r="U15" s="5"/>
      <c r="X15" s="2"/>
      <c r="AB15" s="5"/>
      <c r="AC15" s="2"/>
      <c r="AG15" s="5"/>
    </row>
    <row r="16" spans="1:33" ht="15" x14ac:dyDescent="0.35">
      <c r="B16">
        <v>1999</v>
      </c>
      <c r="C16" s="94">
        <v>16.84181695077201</v>
      </c>
      <c r="D16" s="95">
        <v>15.743858031600093</v>
      </c>
      <c r="E16" s="95">
        <v>12.786334179866884</v>
      </c>
      <c r="F16" s="103">
        <v>8.465149323551076</v>
      </c>
      <c r="G16" s="159"/>
      <c r="H16" s="160"/>
      <c r="I16" s="199"/>
      <c r="K16" s="5"/>
      <c r="L16" s="2"/>
      <c r="M16" s="5"/>
      <c r="N16" s="2"/>
      <c r="O16" s="5"/>
      <c r="P16" s="2"/>
      <c r="Q16" s="5"/>
      <c r="R16" s="2"/>
      <c r="S16" s="5"/>
      <c r="T16" s="2"/>
      <c r="U16" s="5"/>
      <c r="X16" s="2"/>
      <c r="AB16" s="5"/>
      <c r="AC16" s="2"/>
      <c r="AG16" s="5"/>
    </row>
    <row r="17" spans="2:33" ht="15" x14ac:dyDescent="0.35">
      <c r="B17">
        <v>2000</v>
      </c>
      <c r="C17" s="94">
        <v>15.751205335392848</v>
      </c>
      <c r="D17" s="95">
        <v>15.977221273986018</v>
      </c>
      <c r="E17" s="95">
        <v>12.813644285450442</v>
      </c>
      <c r="F17" s="103">
        <v>8.7051064463299408</v>
      </c>
      <c r="G17" s="159"/>
      <c r="H17" s="160"/>
      <c r="I17" s="199"/>
      <c r="K17" s="5"/>
      <c r="L17" s="2"/>
      <c r="M17" s="5"/>
      <c r="N17" s="2"/>
      <c r="O17" s="5"/>
      <c r="P17" s="2"/>
      <c r="Q17" s="5"/>
      <c r="R17" s="2"/>
      <c r="S17" s="5"/>
      <c r="T17" s="2"/>
      <c r="U17" s="5"/>
      <c r="X17" s="2"/>
      <c r="AB17" s="5"/>
      <c r="AC17" s="2"/>
      <c r="AG17" s="5"/>
    </row>
    <row r="18" spans="2:33" ht="15" x14ac:dyDescent="0.35">
      <c r="B18">
        <v>2001</v>
      </c>
      <c r="C18" s="94">
        <v>17.107314778556216</v>
      </c>
      <c r="D18" s="95">
        <v>15.676660677015185</v>
      </c>
      <c r="E18" s="95">
        <v>13.157243796909022</v>
      </c>
      <c r="F18" s="103">
        <v>8.8152466202098303</v>
      </c>
      <c r="G18" s="159"/>
      <c r="H18" s="160"/>
      <c r="I18" s="199"/>
      <c r="K18" s="5"/>
      <c r="L18" s="2"/>
      <c r="M18" s="5"/>
      <c r="N18" s="2"/>
      <c r="O18" s="5"/>
      <c r="P18" s="2"/>
      <c r="Q18" s="5"/>
      <c r="R18" s="2"/>
      <c r="S18" s="5"/>
      <c r="T18" s="2"/>
      <c r="U18" s="5"/>
      <c r="X18" s="2"/>
      <c r="AB18" s="5"/>
      <c r="AC18" s="2"/>
      <c r="AG18" s="5"/>
    </row>
    <row r="19" spans="2:33" ht="15" x14ac:dyDescent="0.35">
      <c r="B19">
        <v>2002</v>
      </c>
      <c r="C19" s="94">
        <v>15.973871460915685</v>
      </c>
      <c r="D19" s="95">
        <v>15.599937249852537</v>
      </c>
      <c r="E19" s="95">
        <v>12.856036330817394</v>
      </c>
      <c r="F19" s="103">
        <v>8.7804988457151456</v>
      </c>
      <c r="G19" s="159"/>
      <c r="H19" s="160"/>
      <c r="I19" s="199"/>
      <c r="K19" s="5"/>
      <c r="L19" s="2"/>
      <c r="M19" s="5"/>
      <c r="N19" s="2"/>
      <c r="O19" s="5"/>
      <c r="P19" s="2"/>
      <c r="Q19" s="5"/>
      <c r="R19" s="2"/>
      <c r="S19" s="5"/>
      <c r="T19" s="2"/>
      <c r="U19" s="5"/>
      <c r="X19" s="2"/>
      <c r="AB19" s="5"/>
      <c r="AC19" s="2"/>
      <c r="AG19" s="5"/>
    </row>
    <row r="20" spans="2:33" ht="15" x14ac:dyDescent="0.35">
      <c r="B20">
        <v>2003</v>
      </c>
      <c r="C20" s="94">
        <v>16.976063024906125</v>
      </c>
      <c r="D20" s="95">
        <v>15.764449961557405</v>
      </c>
      <c r="E20" s="95">
        <v>12.882462569481769</v>
      </c>
      <c r="F20" s="103">
        <v>8.6014906762706858</v>
      </c>
      <c r="G20" s="159"/>
      <c r="H20" s="160"/>
      <c r="I20" s="199"/>
      <c r="K20" s="5"/>
      <c r="L20" s="2"/>
      <c r="M20" s="5"/>
      <c r="N20" s="2"/>
      <c r="O20" s="5"/>
      <c r="P20" s="2"/>
      <c r="Q20" s="5"/>
      <c r="R20" s="2"/>
      <c r="S20" s="5"/>
      <c r="T20" s="2"/>
      <c r="U20" s="5"/>
      <c r="X20" s="2"/>
      <c r="AB20" s="5"/>
      <c r="AC20" s="2"/>
      <c r="AG20" s="5"/>
    </row>
    <row r="21" spans="2:33" ht="15" x14ac:dyDescent="0.35">
      <c r="B21">
        <v>2004</v>
      </c>
      <c r="C21" s="94">
        <v>16.837575010093495</v>
      </c>
      <c r="D21" s="95">
        <v>15.796470550687312</v>
      </c>
      <c r="E21" s="95">
        <v>13.527853637826698</v>
      </c>
      <c r="F21" s="103">
        <v>8.6528515170600446</v>
      </c>
      <c r="G21" s="159"/>
      <c r="H21" s="160"/>
      <c r="I21" s="199"/>
      <c r="K21" s="5"/>
      <c r="L21" s="2"/>
      <c r="M21" s="5"/>
      <c r="N21" s="2"/>
      <c r="O21" s="5"/>
      <c r="P21" s="2"/>
      <c r="Q21" s="5"/>
      <c r="R21" s="2"/>
      <c r="S21" s="5"/>
      <c r="T21" s="2"/>
      <c r="U21" s="5"/>
      <c r="X21" s="2"/>
      <c r="AB21" s="5"/>
      <c r="AC21" s="2"/>
      <c r="AG21" s="5"/>
    </row>
    <row r="22" spans="2:33" ht="15" x14ac:dyDescent="0.35">
      <c r="B22">
        <v>2005</v>
      </c>
      <c r="C22" s="94">
        <v>17.071414391412919</v>
      </c>
      <c r="D22" s="95">
        <v>15.858331922296555</v>
      </c>
      <c r="E22" s="95">
        <v>13.75232545881528</v>
      </c>
      <c r="F22" s="103">
        <v>8.8451024364356154</v>
      </c>
      <c r="G22" s="159"/>
      <c r="H22" s="160"/>
      <c r="I22" s="199"/>
      <c r="K22" s="5"/>
      <c r="L22" s="2"/>
      <c r="M22" s="5"/>
      <c r="N22" s="2"/>
      <c r="O22" s="5"/>
      <c r="P22" s="2"/>
      <c r="Q22" s="5"/>
      <c r="R22" s="2"/>
      <c r="S22" s="5"/>
      <c r="T22" s="2"/>
      <c r="U22" s="5"/>
      <c r="X22" s="2"/>
      <c r="AB22" s="5"/>
      <c r="AC22" s="2"/>
      <c r="AG22" s="5"/>
    </row>
    <row r="23" spans="2:33" ht="15" x14ac:dyDescent="0.35">
      <c r="B23">
        <v>2006</v>
      </c>
      <c r="C23" s="94">
        <v>16.225671639286766</v>
      </c>
      <c r="D23" s="95">
        <v>15.975834885057543</v>
      </c>
      <c r="E23" s="95">
        <v>13.961231431984324</v>
      </c>
      <c r="F23" s="103">
        <v>8.9725487180804748</v>
      </c>
      <c r="G23" s="159"/>
      <c r="H23" s="160"/>
      <c r="I23" s="199"/>
      <c r="K23" s="5"/>
      <c r="L23" s="2"/>
      <c r="M23" s="5"/>
      <c r="N23" s="2"/>
      <c r="O23" s="5"/>
      <c r="P23" s="2"/>
      <c r="Q23" s="5"/>
      <c r="R23" s="2"/>
      <c r="S23" s="5"/>
      <c r="T23" s="2"/>
      <c r="U23" s="5"/>
      <c r="X23" s="2"/>
      <c r="AB23" s="5"/>
      <c r="AC23" s="2"/>
      <c r="AG23" s="5"/>
    </row>
    <row r="24" spans="2:33" ht="15" x14ac:dyDescent="0.35">
      <c r="B24">
        <v>2007</v>
      </c>
      <c r="C24" s="94">
        <v>14.412889708381268</v>
      </c>
      <c r="D24" s="95">
        <v>16.300692948404599</v>
      </c>
      <c r="E24" s="95">
        <v>13.558034880592055</v>
      </c>
      <c r="F24" s="103">
        <v>8.9961519847166578</v>
      </c>
      <c r="G24" s="159"/>
      <c r="H24" s="160"/>
      <c r="I24" s="199"/>
      <c r="K24" s="5"/>
      <c r="L24" s="2"/>
      <c r="M24" s="5"/>
      <c r="N24" s="2"/>
      <c r="O24" s="5"/>
      <c r="P24" s="2"/>
      <c r="Q24" s="5"/>
      <c r="R24" s="2"/>
      <c r="S24" s="5"/>
      <c r="T24" s="2"/>
      <c r="U24" s="5"/>
      <c r="X24" s="2"/>
      <c r="AB24" s="5"/>
      <c r="AC24" s="2"/>
      <c r="AG24" s="5"/>
    </row>
    <row r="25" spans="2:33" ht="15" x14ac:dyDescent="0.35">
      <c r="B25">
        <v>2008</v>
      </c>
      <c r="C25" s="94">
        <v>15.284010507785457</v>
      </c>
      <c r="D25" s="95">
        <v>16.651384685852303</v>
      </c>
      <c r="E25" s="95">
        <v>13.697004671685903</v>
      </c>
      <c r="F25" s="103">
        <v>8.9995520150357891</v>
      </c>
      <c r="G25" s="159"/>
      <c r="H25" s="160"/>
      <c r="I25" s="199"/>
      <c r="K25" s="5"/>
      <c r="L25" s="2"/>
      <c r="M25" s="5"/>
      <c r="N25" s="2"/>
      <c r="O25" s="5"/>
      <c r="P25" s="2"/>
      <c r="Q25" s="5"/>
      <c r="R25" s="2"/>
      <c r="S25" s="5"/>
      <c r="T25" s="2"/>
      <c r="U25" s="5"/>
      <c r="X25" s="2"/>
      <c r="AB25" s="5"/>
      <c r="AC25" s="2"/>
      <c r="AG25" s="5"/>
    </row>
    <row r="26" spans="2:33" ht="15" x14ac:dyDescent="0.35">
      <c r="B26">
        <v>2009</v>
      </c>
      <c r="C26" s="94">
        <v>14.862959406654983</v>
      </c>
      <c r="D26" s="95">
        <v>16.446679420463212</v>
      </c>
      <c r="E26" s="95">
        <v>13.019740779165144</v>
      </c>
      <c r="F26" s="103">
        <v>8.8585946071003008</v>
      </c>
      <c r="G26" s="159"/>
      <c r="H26" s="160"/>
      <c r="I26" s="199"/>
      <c r="K26" s="5"/>
      <c r="L26" s="2"/>
      <c r="M26" s="5"/>
      <c r="N26" s="2"/>
      <c r="O26" s="5"/>
      <c r="P26" s="2"/>
      <c r="Q26" s="5"/>
      <c r="R26" s="2"/>
      <c r="S26" s="5"/>
      <c r="T26" s="2"/>
      <c r="U26" s="5"/>
      <c r="X26" s="2"/>
      <c r="AB26" s="5"/>
      <c r="AC26" s="2"/>
      <c r="AG26" s="5"/>
    </row>
    <row r="27" spans="2:33" ht="15" x14ac:dyDescent="0.35">
      <c r="B27">
        <v>2010</v>
      </c>
      <c r="C27" s="94">
        <v>16.046705847967111</v>
      </c>
      <c r="D27" s="95">
        <v>16.336981159173657</v>
      </c>
      <c r="E27" s="95">
        <v>13.503461464105689</v>
      </c>
      <c r="F27" s="103">
        <v>8.9428268157048283</v>
      </c>
      <c r="G27" s="159"/>
      <c r="H27" s="160"/>
      <c r="I27" s="199"/>
      <c r="K27" s="5"/>
      <c r="L27" s="2"/>
      <c r="M27" s="5"/>
      <c r="N27" s="2"/>
      <c r="O27" s="5"/>
      <c r="P27" s="2"/>
      <c r="Q27" s="5"/>
      <c r="R27" s="2"/>
      <c r="S27" s="5"/>
      <c r="T27" s="2"/>
      <c r="U27" s="5"/>
      <c r="X27" s="2"/>
      <c r="AB27" s="5"/>
      <c r="AC27" s="2"/>
      <c r="AG27" s="5"/>
    </row>
    <row r="28" spans="2:33" ht="15" x14ac:dyDescent="0.35">
      <c r="B28">
        <v>2011</v>
      </c>
      <c r="C28" s="94">
        <v>12.882899967868637</v>
      </c>
      <c r="D28" s="95">
        <v>16.15778694010536</v>
      </c>
      <c r="E28" s="95">
        <v>12.823490452376248</v>
      </c>
      <c r="F28" s="103">
        <v>8.8521553128613562</v>
      </c>
      <c r="G28" s="159"/>
      <c r="H28" s="160"/>
      <c r="I28" s="199"/>
      <c r="K28" s="5"/>
      <c r="L28" s="2"/>
      <c r="M28" s="5"/>
      <c r="N28" s="2"/>
      <c r="O28" s="5"/>
      <c r="P28" s="2"/>
      <c r="Q28" s="5"/>
      <c r="R28" s="2"/>
      <c r="S28" s="5"/>
      <c r="T28" s="2"/>
      <c r="U28" s="5"/>
      <c r="X28" s="2"/>
      <c r="AB28" s="5"/>
      <c r="AC28" s="2"/>
      <c r="AG28" s="5"/>
    </row>
    <row r="29" spans="2:33" ht="15" x14ac:dyDescent="0.35">
      <c r="B29">
        <v>2012</v>
      </c>
      <c r="C29" s="94">
        <v>14.114883355140179</v>
      </c>
      <c r="D29" s="95">
        <v>16.275352977447742</v>
      </c>
      <c r="E29" s="95">
        <v>12.799366197998545</v>
      </c>
      <c r="F29" s="103">
        <v>8.946510245576679</v>
      </c>
      <c r="G29" s="159"/>
      <c r="H29" s="160"/>
      <c r="I29" s="199"/>
      <c r="K29" s="5"/>
      <c r="L29" s="2"/>
      <c r="M29" s="5"/>
      <c r="N29" s="2"/>
      <c r="O29" s="5"/>
      <c r="P29" s="2"/>
      <c r="Q29" s="5"/>
      <c r="R29" s="2"/>
      <c r="S29" s="5"/>
      <c r="T29" s="2"/>
      <c r="U29" s="5"/>
      <c r="X29" s="2"/>
      <c r="AB29" s="5"/>
      <c r="AC29" s="2"/>
      <c r="AG29" s="5"/>
    </row>
    <row r="30" spans="2:33" ht="15" x14ac:dyDescent="0.35">
      <c r="B30">
        <v>2013</v>
      </c>
      <c r="C30" s="94">
        <v>15.034452271656201</v>
      </c>
      <c r="D30" s="95">
        <v>16.18538436893148</v>
      </c>
      <c r="E30" s="95">
        <v>12.940303761682321</v>
      </c>
      <c r="F30" s="103">
        <v>8.751802946952651</v>
      </c>
      <c r="G30" s="159"/>
      <c r="H30" s="160"/>
      <c r="I30" s="199"/>
      <c r="K30" s="5"/>
      <c r="L30" s="2"/>
      <c r="M30" s="5"/>
      <c r="N30" s="2"/>
      <c r="O30" s="5"/>
      <c r="P30" s="2"/>
      <c r="Q30" s="5"/>
      <c r="R30" s="2"/>
      <c r="S30" s="5"/>
      <c r="T30" s="2"/>
      <c r="U30" s="5"/>
      <c r="X30" s="2"/>
      <c r="AB30" s="5"/>
      <c r="AC30" s="2"/>
      <c r="AG30" s="5"/>
    </row>
    <row r="31" spans="2:33" ht="15" x14ac:dyDescent="0.35">
      <c r="B31">
        <v>2014</v>
      </c>
      <c r="C31" s="94">
        <v>11.667553231058934</v>
      </c>
      <c r="D31" s="95">
        <v>16.078846702215905</v>
      </c>
      <c r="E31" s="95">
        <v>12.320023027413992</v>
      </c>
      <c r="F31" s="103">
        <v>8.9047086596435232</v>
      </c>
      <c r="G31" s="159"/>
      <c r="H31" s="160"/>
      <c r="I31" s="199"/>
      <c r="K31" s="5"/>
      <c r="L31" s="2"/>
      <c r="M31" s="5"/>
      <c r="N31" s="2"/>
      <c r="O31" s="5"/>
      <c r="P31" s="2"/>
      <c r="Q31" s="5"/>
      <c r="R31" s="2"/>
      <c r="S31" s="5"/>
      <c r="T31" s="2"/>
      <c r="U31" s="5"/>
      <c r="X31" s="2"/>
      <c r="AB31" s="5"/>
      <c r="AC31" s="2"/>
      <c r="AG31" s="5"/>
    </row>
    <row r="32" spans="2:33" ht="15" x14ac:dyDescent="0.35">
      <c r="B32">
        <v>2015</v>
      </c>
      <c r="C32" s="94">
        <v>12.514840793891644</v>
      </c>
      <c r="D32" s="95">
        <v>15.343800581110377</v>
      </c>
      <c r="E32" s="95">
        <v>11.773388788662759</v>
      </c>
      <c r="F32" s="103">
        <v>8.8693235183848707</v>
      </c>
      <c r="G32" s="159"/>
      <c r="H32" s="160"/>
      <c r="I32" s="199"/>
      <c r="K32" s="5"/>
      <c r="L32" s="2"/>
      <c r="M32" s="5"/>
      <c r="N32" s="2"/>
      <c r="O32" s="5"/>
      <c r="P32" s="2"/>
      <c r="Q32" s="5"/>
      <c r="R32" s="2"/>
      <c r="S32" s="5"/>
      <c r="T32" s="2"/>
      <c r="U32" s="5"/>
      <c r="X32" s="2"/>
      <c r="AB32" s="5"/>
      <c r="AC32" s="2"/>
      <c r="AG32" s="5"/>
    </row>
    <row r="33" spans="1:37" ht="15" x14ac:dyDescent="0.35">
      <c r="B33">
        <v>2016</v>
      </c>
      <c r="C33" s="94">
        <v>12.978612372273911</v>
      </c>
      <c r="D33" s="95">
        <v>15.17846006557243</v>
      </c>
      <c r="E33" s="95">
        <v>11.72955356825409</v>
      </c>
      <c r="F33" s="103">
        <v>8.9233048697575459</v>
      </c>
      <c r="G33" s="159"/>
      <c r="H33" s="160"/>
      <c r="I33" s="199"/>
      <c r="K33" s="5"/>
      <c r="L33" s="2"/>
      <c r="M33" s="5"/>
      <c r="N33" s="2"/>
      <c r="O33" s="5"/>
      <c r="P33" s="2"/>
      <c r="Q33" s="5"/>
      <c r="R33" s="2"/>
      <c r="S33" s="5"/>
      <c r="T33" s="2"/>
      <c r="U33" s="5"/>
      <c r="X33" s="2"/>
      <c r="AB33" s="5"/>
      <c r="AC33" s="2"/>
      <c r="AG33" s="5"/>
    </row>
    <row r="34" spans="1:37" ht="15" x14ac:dyDescent="0.35">
      <c r="B34">
        <v>2017</v>
      </c>
      <c r="C34" s="94">
        <v>12.358619709962349</v>
      </c>
      <c r="D34" s="95">
        <v>14.916423874981829</v>
      </c>
      <c r="E34" s="95">
        <v>11.770970304942075</v>
      </c>
      <c r="F34" s="103">
        <v>8.9118997750945734</v>
      </c>
      <c r="G34" s="159"/>
      <c r="H34" s="160"/>
      <c r="I34" s="199"/>
      <c r="K34" s="5"/>
      <c r="L34" s="2"/>
      <c r="M34" s="5"/>
      <c r="N34" s="2"/>
      <c r="O34" s="5"/>
      <c r="P34" s="2"/>
      <c r="Q34" s="5"/>
      <c r="R34" s="2"/>
      <c r="S34" s="5"/>
      <c r="T34" s="2"/>
      <c r="U34" s="5"/>
      <c r="X34" s="2"/>
      <c r="AB34" s="5"/>
      <c r="AC34" s="2"/>
      <c r="AG34" s="5"/>
    </row>
    <row r="35" spans="1:37" ht="15" x14ac:dyDescent="0.35">
      <c r="B35">
        <v>2018</v>
      </c>
      <c r="C35" s="94">
        <v>11.195800617960556</v>
      </c>
      <c r="D35" s="95">
        <v>14.918086209890715</v>
      </c>
      <c r="E35" s="95">
        <v>11.507840941464931</v>
      </c>
      <c r="F35" s="103">
        <v>8.795058739939595</v>
      </c>
      <c r="G35" s="159"/>
      <c r="H35" s="160"/>
      <c r="I35" s="199"/>
      <c r="K35" s="5"/>
      <c r="L35" s="31"/>
      <c r="M35" s="20"/>
      <c r="N35" s="31"/>
      <c r="O35" s="20"/>
      <c r="P35" s="2"/>
      <c r="Q35" s="5"/>
      <c r="R35" s="2"/>
      <c r="S35" s="5"/>
      <c r="T35" s="2"/>
      <c r="U35" s="5"/>
      <c r="X35" s="2"/>
      <c r="AB35" s="5"/>
      <c r="AC35" s="2"/>
      <c r="AG35" s="5"/>
    </row>
    <row r="36" spans="1:37" ht="15" x14ac:dyDescent="0.35">
      <c r="A36">
        <v>0</v>
      </c>
      <c r="B36">
        <v>2019</v>
      </c>
      <c r="C36" s="94">
        <v>11.469993986771833</v>
      </c>
      <c r="D36" s="95">
        <v>14.932576255197484</v>
      </c>
      <c r="E36" s="95">
        <v>11.072146466152489</v>
      </c>
      <c r="F36" s="103">
        <v>8.9072031489603116</v>
      </c>
      <c r="G36" s="159"/>
      <c r="H36" s="160"/>
      <c r="I36" s="199"/>
      <c r="K36" s="5"/>
      <c r="L36" s="2"/>
      <c r="M36" s="5"/>
      <c r="N36" s="2"/>
      <c r="O36" s="5"/>
      <c r="P36" s="2"/>
      <c r="Q36" s="5"/>
      <c r="R36" s="2"/>
      <c r="S36" s="5"/>
      <c r="T36" s="2"/>
      <c r="U36" s="5"/>
      <c r="X36" s="2"/>
      <c r="AB36" s="5"/>
      <c r="AC36" s="2"/>
      <c r="AG36" s="5"/>
    </row>
    <row r="37" spans="1:37" x14ac:dyDescent="0.3">
      <c r="A37" s="10">
        <v>1</v>
      </c>
      <c r="B37">
        <v>2020</v>
      </c>
      <c r="C37" s="63">
        <f>C36+($C$57-$C$36)/$C$3</f>
        <v>10.765477651780996</v>
      </c>
      <c r="D37" s="175">
        <f>D36+($D$62-$D$36)/$D$3</f>
        <v>14.221597173992231</v>
      </c>
      <c r="E37" s="175">
        <f t="shared" ref="E37:E67" si="2">$E$2^A37*$E$36</f>
        <v>10.312597218574428</v>
      </c>
      <c r="F37" s="200">
        <f t="shared" ref="F37:F67" si="3">$F$2^A37*$F$36</f>
        <v>8.5215212526103308</v>
      </c>
      <c r="G37" s="2"/>
      <c r="H37" s="5"/>
      <c r="I37" s="163">
        <f t="shared" ref="I37:I67" si="4">SUM(C37:F37)+SUM(G37:H37)</f>
        <v>43.821193296957986</v>
      </c>
      <c r="J37" s="165">
        <f>Surfaces!A8</f>
        <v>8645297.8125</v>
      </c>
      <c r="K37" s="109">
        <f>(I37*1000000)/J37</f>
        <v>5.0687893288763419</v>
      </c>
      <c r="L37" s="163">
        <f t="shared" ref="L37:L67" si="5">C37</f>
        <v>10.765477651780996</v>
      </c>
      <c r="M37" s="109">
        <f>(E37*'Global-Swiss Carbon Budgets'!$B$50)/(100%-'Global-Swiss Carbon Budgets'!$B$51)</f>
        <v>6.5747702965999997</v>
      </c>
      <c r="N37" s="120">
        <f>M37*$N$7</f>
        <v>3.6642517776420633</v>
      </c>
      <c r="O37" s="109">
        <f>M37*$O$7</f>
        <v>2.9105185189579359</v>
      </c>
      <c r="P37" s="120">
        <f>(N37*1000000000)/Surfaces!U8</f>
        <v>642.18685731839901</v>
      </c>
      <c r="Q37" s="109">
        <f>(O37*1000000000)/Surfaces!V8</f>
        <v>493.26126341648438</v>
      </c>
      <c r="R37" s="120">
        <f>P37/$R$3</f>
        <v>755.51394978635176</v>
      </c>
      <c r="S37" s="109">
        <f>Q37/$S$3</f>
        <v>580.30736872527575</v>
      </c>
      <c r="T37" s="63">
        <f>R37/$T$3</f>
        <v>12.591899163105863</v>
      </c>
      <c r="U37" s="200">
        <f>S37/$T$3</f>
        <v>9.6717894787545955</v>
      </c>
      <c r="W37">
        <v>2020</v>
      </c>
      <c r="X37" s="120">
        <f>L37*$X$6</f>
        <v>7.4281795797288863</v>
      </c>
      <c r="Y37" s="175">
        <f>(X37*1000000000)/Surfaces!C8</f>
        <v>18.658488467400993</v>
      </c>
      <c r="Z37" s="175">
        <f>Y37*$Z$9</f>
        <v>18.945607598249637</v>
      </c>
      <c r="AA37" s="175">
        <f>Y37*$AA$9</f>
        <v>3.4545760635184295</v>
      </c>
      <c r="AB37" s="200">
        <f>Y37*$AB$9</f>
        <v>5.7247260481162545</v>
      </c>
      <c r="AC37" s="120">
        <f>L37*$AC$6</f>
        <v>3.3372980720521093</v>
      </c>
      <c r="AD37" s="175">
        <f>(AC37*1000000000)/Surfaces!N8</f>
        <v>25.259757909328368</v>
      </c>
      <c r="AE37" s="175">
        <f>AD37*$AE$9</f>
        <v>25.456736320799191</v>
      </c>
      <c r="AF37" s="175">
        <f>AD37*$AF$9</f>
        <v>10.112202422933617</v>
      </c>
      <c r="AG37" s="200">
        <f>AD37*$AG$9</f>
        <v>11.896708732863081</v>
      </c>
      <c r="AJ37">
        <f>P37*0.74</f>
        <v>475.21827441561527</v>
      </c>
      <c r="AK37">
        <f>Q37*0.74</f>
        <v>365.01333492819845</v>
      </c>
    </row>
    <row r="38" spans="1:37" x14ac:dyDescent="0.3">
      <c r="A38">
        <v>2</v>
      </c>
      <c r="B38">
        <v>2021</v>
      </c>
      <c r="C38" s="63">
        <f t="shared" ref="C38:C52" si="6">C37+($C$57-$C$36)/$C$3</f>
        <v>10.060961316790159</v>
      </c>
      <c r="D38" s="175">
        <f t="shared" ref="D38:D57" si="7">D37+($D$62-$D$36)/$D$3</f>
        <v>13.510618092786979</v>
      </c>
      <c r="E38" s="175">
        <f t="shared" si="2"/>
        <v>9.6051530493802222</v>
      </c>
      <c r="F38" s="200">
        <f t="shared" si="3"/>
        <v>8.1525393823723018</v>
      </c>
      <c r="G38" s="2"/>
      <c r="H38" s="5"/>
      <c r="I38" s="163">
        <f t="shared" si="4"/>
        <v>41.329271841329664</v>
      </c>
      <c r="J38" s="165">
        <f>Surfaces!A9</f>
        <v>8705141.21875</v>
      </c>
      <c r="K38" s="109">
        <f t="shared" ref="K38:K67" si="8">(I38*1000000)/J38</f>
        <v>4.7476853967986825</v>
      </c>
      <c r="L38" s="163">
        <f t="shared" si="5"/>
        <v>10.060961316790159</v>
      </c>
      <c r="M38" s="109">
        <f>(E38*'Global-Swiss Carbon Budgets'!$B$50)/(100%-'Global-Swiss Carbon Budgets'!$B$51)</f>
        <v>6.1237410542532391</v>
      </c>
      <c r="N38" s="120">
        <f t="shared" ref="N38:N67" si="9">M38*$N$7</f>
        <v>3.4128841056958175</v>
      </c>
      <c r="O38" s="109">
        <f t="shared" ref="O38:O67" si="10">M38*$O$7</f>
        <v>2.7108569485574212</v>
      </c>
      <c r="P38" s="120">
        <f>(N38*1000000000)/Surfaces!U9</f>
        <v>594.02098068709654</v>
      </c>
      <c r="Q38" s="109">
        <f>(O38*1000000000)/Surfaces!V9</f>
        <v>435.24335439105494</v>
      </c>
      <c r="R38" s="120">
        <f t="shared" ref="R38:R67" si="11">P38/$R$3</f>
        <v>698.84821257305475</v>
      </c>
      <c r="S38" s="109">
        <f t="shared" ref="S38:S67" si="12">Q38/$S$3</f>
        <v>512.051005165947</v>
      </c>
      <c r="T38" s="63">
        <f t="shared" ref="T38:T67" si="13">R38/$T$3</f>
        <v>11.647470209550912</v>
      </c>
      <c r="U38" s="200">
        <f t="shared" ref="U38:U67" si="14">S38/$T$3</f>
        <v>8.5341834194324502</v>
      </c>
      <c r="W38">
        <v>2021</v>
      </c>
      <c r="X38" s="120">
        <f t="shared" ref="X38:X67" si="15">L38*$X$6</f>
        <v>6.942063308585209</v>
      </c>
      <c r="Y38" s="175">
        <f>(X38*1000000000)/Surfaces!C9</f>
        <v>17.320998738857842</v>
      </c>
      <c r="Z38" s="175">
        <f t="shared" ref="Z38:Z67" si="16">Y38*$Z$9</f>
        <v>17.587536412154382</v>
      </c>
      <c r="AA38" s="175">
        <f t="shared" ref="AA38:AA67" si="17">Y38*$AA$9</f>
        <v>3.2069429280959367</v>
      </c>
      <c r="AB38" s="200">
        <f t="shared" ref="AB38:AB67" si="18">Y38*$AB$9</f>
        <v>5.3143625665589811</v>
      </c>
      <c r="AC38" s="120">
        <f t="shared" ref="AC38:AC67" si="19">L38*$AC$6</f>
        <v>3.1188980082049498</v>
      </c>
      <c r="AD38" s="175">
        <f>(AC38*1000000000)/Surfaces!N9</f>
        <v>23.504491578271786</v>
      </c>
      <c r="AE38" s="175">
        <f t="shared" ref="AE38:AE67" si="20">AD38*$AE$9</f>
        <v>23.687782226984119</v>
      </c>
      <c r="AF38" s="175">
        <f t="shared" ref="AF38:AF67" si="21">AD38*$AF$9</f>
        <v>9.4095191862407876</v>
      </c>
      <c r="AG38" s="200">
        <f t="shared" ref="AG38:AG67" si="22">AD38*$AG$9</f>
        <v>11.070022572047986</v>
      </c>
      <c r="AJ38">
        <f t="shared" ref="AJ38:AJ67" si="23">P38*0.74</f>
        <v>439.57552570845144</v>
      </c>
      <c r="AK38">
        <f t="shared" ref="AK38:AK67" si="24">Q38*0.74</f>
        <v>322.08008224938067</v>
      </c>
    </row>
    <row r="39" spans="1:37" x14ac:dyDescent="0.3">
      <c r="A39">
        <v>3</v>
      </c>
      <c r="B39">
        <v>2022</v>
      </c>
      <c r="C39" s="63">
        <f t="shared" si="6"/>
        <v>9.3564449817993225</v>
      </c>
      <c r="D39" s="175">
        <f t="shared" si="7"/>
        <v>12.799639011581727</v>
      </c>
      <c r="E39" s="175">
        <f t="shared" si="2"/>
        <v>8.9462395501927396</v>
      </c>
      <c r="F39" s="200">
        <f t="shared" si="3"/>
        <v>7.7995344271155815</v>
      </c>
      <c r="G39" s="2"/>
      <c r="H39" s="5"/>
      <c r="I39" s="163">
        <f t="shared" si="4"/>
        <v>38.90185797068937</v>
      </c>
      <c r="J39" s="165">
        <f>Surfaces!A10</f>
        <v>8764984.625</v>
      </c>
      <c r="K39" s="109">
        <f t="shared" si="8"/>
        <v>4.4383258653678892</v>
      </c>
      <c r="L39" s="163">
        <f t="shared" si="5"/>
        <v>9.3564449817993225</v>
      </c>
      <c r="M39" s="109">
        <f>(E39*'Global-Swiss Carbon Budgets'!$B$50)/(100%-'Global-Swiss Carbon Budgets'!$B$51)</f>
        <v>5.7036524179314672</v>
      </c>
      <c r="N39" s="120">
        <f t="shared" si="9"/>
        <v>3.1787602560450847</v>
      </c>
      <c r="O39" s="109">
        <f t="shared" si="10"/>
        <v>2.5248921618863824</v>
      </c>
      <c r="P39" s="120">
        <f>(N39*1000000000)/Surfaces!U10</f>
        <v>549.4936527912198</v>
      </c>
      <c r="Q39" s="109">
        <f>(O39*1000000000)/Surfaces!V10</f>
        <v>385.11637726583723</v>
      </c>
      <c r="R39" s="120">
        <f t="shared" si="11"/>
        <v>646.4631209308468</v>
      </c>
      <c r="S39" s="109">
        <f t="shared" si="12"/>
        <v>453.07809090098499</v>
      </c>
      <c r="T39" s="63">
        <f t="shared" si="13"/>
        <v>10.774385348847447</v>
      </c>
      <c r="U39" s="200">
        <f t="shared" si="14"/>
        <v>7.5513015150164167</v>
      </c>
      <c r="W39">
        <v>2022</v>
      </c>
      <c r="X39" s="120">
        <f t="shared" si="15"/>
        <v>6.4559470374415318</v>
      </c>
      <c r="Y39" s="175">
        <f>(X39*1000000000)/Surfaces!C10</f>
        <v>16.001252561628053</v>
      </c>
      <c r="Z39" s="175">
        <f t="shared" si="16"/>
        <v>16.247481817337118</v>
      </c>
      <c r="AA39" s="175">
        <f t="shared" si="17"/>
        <v>2.9625949702351764</v>
      </c>
      <c r="AB39" s="200">
        <f t="shared" si="18"/>
        <v>4.9094430935325777</v>
      </c>
      <c r="AC39" s="120">
        <f t="shared" si="19"/>
        <v>2.9004979443577903</v>
      </c>
      <c r="AD39" s="175">
        <f>(AC39*1000000000)/Surfaces!N10</f>
        <v>21.76371466831484</v>
      </c>
      <c r="AE39" s="175">
        <f t="shared" si="20"/>
        <v>21.933430544391616</v>
      </c>
      <c r="AF39" s="175">
        <f t="shared" si="21"/>
        <v>8.7126364785821853</v>
      </c>
      <c r="AG39" s="200">
        <f t="shared" si="22"/>
        <v>10.250160563037866</v>
      </c>
      <c r="AJ39">
        <f t="shared" si="23"/>
        <v>406.62530306550264</v>
      </c>
      <c r="AK39">
        <f t="shared" si="24"/>
        <v>284.98611917671957</v>
      </c>
    </row>
    <row r="40" spans="1:37" x14ac:dyDescent="0.3">
      <c r="A40">
        <v>4</v>
      </c>
      <c r="B40">
        <v>2023</v>
      </c>
      <c r="C40" s="63">
        <f t="shared" si="6"/>
        <v>8.6519286468084857</v>
      </c>
      <c r="D40" s="175">
        <f t="shared" si="7"/>
        <v>12.088659930376474</v>
      </c>
      <c r="E40" s="175">
        <f t="shared" si="2"/>
        <v>8.3325275170495186</v>
      </c>
      <c r="F40" s="200">
        <f t="shared" si="3"/>
        <v>7.4618145864214771</v>
      </c>
      <c r="G40" s="2"/>
      <c r="H40" s="5"/>
      <c r="I40" s="163">
        <f t="shared" si="4"/>
        <v>36.534930680655954</v>
      </c>
      <c r="J40" s="165">
        <f>Surfaces!A11</f>
        <v>8824828.03125</v>
      </c>
      <c r="K40" s="109">
        <f t="shared" si="8"/>
        <v>4.1400161624997622</v>
      </c>
      <c r="L40" s="163">
        <f t="shared" si="5"/>
        <v>8.6519286468084857</v>
      </c>
      <c r="M40" s="109">
        <f>(E40*'Global-Swiss Carbon Budgets'!$B$50)/(100%-'Global-Swiss Carbon Budgets'!$B$51)</f>
        <v>5.3123818620613692</v>
      </c>
      <c r="N40" s="120">
        <f t="shared" si="9"/>
        <v>2.960697302480392</v>
      </c>
      <c r="O40" s="109">
        <f t="shared" si="10"/>
        <v>2.3516845595809768</v>
      </c>
      <c r="P40" s="120">
        <f>(N40*1000000000)/Surfaces!U11</f>
        <v>508.32775300242997</v>
      </c>
      <c r="Q40" s="109">
        <f>(O40*1000000000)/Surfaces!V11</f>
        <v>341.61656550990551</v>
      </c>
      <c r="R40" s="120">
        <f t="shared" si="11"/>
        <v>598.03265059109413</v>
      </c>
      <c r="S40" s="109">
        <f t="shared" si="12"/>
        <v>401.90184177635945</v>
      </c>
      <c r="T40" s="63">
        <f t="shared" si="13"/>
        <v>9.9672108431849029</v>
      </c>
      <c r="U40" s="200">
        <f t="shared" si="14"/>
        <v>6.6983640296059912</v>
      </c>
      <c r="W40">
        <v>2023</v>
      </c>
      <c r="X40" s="120">
        <f t="shared" si="15"/>
        <v>5.9698307662978545</v>
      </c>
      <c r="Y40" s="175">
        <f>(X40*1000000000)/Surfaces!C11</f>
        <v>14.698899175222452</v>
      </c>
      <c r="Z40" s="175">
        <f t="shared" si="16"/>
        <v>14.925087655762839</v>
      </c>
      <c r="AA40" s="175">
        <f t="shared" si="17"/>
        <v>2.721467247441367</v>
      </c>
      <c r="AB40" s="200">
        <f t="shared" si="18"/>
        <v>4.5098600100456938</v>
      </c>
      <c r="AC40" s="120">
        <f t="shared" si="19"/>
        <v>2.6820978805106312</v>
      </c>
      <c r="AD40" s="175">
        <f>(AC40*1000000000)/Surfaces!N11</f>
        <v>20.037393415548092</v>
      </c>
      <c r="AE40" s="175">
        <f t="shared" si="20"/>
        <v>20.193647245817502</v>
      </c>
      <c r="AF40" s="175">
        <f t="shared" si="21"/>
        <v>8.0215407833006847</v>
      </c>
      <c r="AG40" s="200">
        <f t="shared" si="22"/>
        <v>9.4371068038831591</v>
      </c>
      <c r="AJ40">
        <f t="shared" si="23"/>
        <v>376.16253722179817</v>
      </c>
      <c r="AK40">
        <f t="shared" si="24"/>
        <v>252.79625847733007</v>
      </c>
    </row>
    <row r="41" spans="1:37" x14ac:dyDescent="0.3">
      <c r="A41">
        <v>5</v>
      </c>
      <c r="B41">
        <v>2024</v>
      </c>
      <c r="C41" s="63">
        <f t="shared" si="6"/>
        <v>7.947412311817649</v>
      </c>
      <c r="D41" s="175">
        <f t="shared" si="7"/>
        <v>11.377680849171222</v>
      </c>
      <c r="E41" s="175">
        <f t="shared" si="2"/>
        <v>7.7609161293799218</v>
      </c>
      <c r="F41" s="200">
        <f t="shared" si="3"/>
        <v>7.1387180148294274</v>
      </c>
      <c r="G41" s="2"/>
      <c r="H41" s="5"/>
      <c r="I41" s="163">
        <f t="shared" si="4"/>
        <v>34.224727305198222</v>
      </c>
      <c r="J41" s="165">
        <f>Surfaces!A12</f>
        <v>8884671.4375</v>
      </c>
      <c r="K41" s="109">
        <f t="shared" si="8"/>
        <v>3.8521095063509176</v>
      </c>
      <c r="L41" s="163">
        <f t="shared" si="5"/>
        <v>7.947412311817649</v>
      </c>
      <c r="M41" s="109">
        <f>(E41*'Global-Swiss Carbon Budgets'!$B$50)/(100%-'Global-Swiss Carbon Budgets'!$B$51)</f>
        <v>4.9479524663239598</v>
      </c>
      <c r="N41" s="120">
        <f t="shared" si="9"/>
        <v>2.7575934675302376</v>
      </c>
      <c r="O41" s="109">
        <f t="shared" si="10"/>
        <v>2.1903589987937218</v>
      </c>
      <c r="P41" s="120">
        <f>(N41*1000000000)/Surfaces!U12</f>
        <v>470.26746570113221</v>
      </c>
      <c r="Q41" s="109">
        <f>(O41*1000000000)/Surfaces!V12</f>
        <v>303.71886597429295</v>
      </c>
      <c r="R41" s="120">
        <f t="shared" si="11"/>
        <v>553.25584200133198</v>
      </c>
      <c r="S41" s="109">
        <f t="shared" si="12"/>
        <v>357.31631291093288</v>
      </c>
      <c r="T41" s="63">
        <f t="shared" si="13"/>
        <v>9.2209307000221994</v>
      </c>
      <c r="U41" s="200">
        <f t="shared" si="14"/>
        <v>5.9552718818488817</v>
      </c>
      <c r="W41">
        <v>2024</v>
      </c>
      <c r="X41" s="120">
        <f t="shared" si="15"/>
        <v>5.4837144951541772</v>
      </c>
      <c r="Y41" s="175">
        <f>(X41*1000000000)/Surfaces!C12</f>
        <v>13.413597003897891</v>
      </c>
      <c r="Z41" s="175">
        <f t="shared" si="16"/>
        <v>13.620007095478563</v>
      </c>
      <c r="AA41" s="175">
        <f t="shared" si="17"/>
        <v>2.483496517754249</v>
      </c>
      <c r="AB41" s="200">
        <f t="shared" si="18"/>
        <v>4.1155085151356126</v>
      </c>
      <c r="AC41" s="120">
        <f t="shared" si="19"/>
        <v>2.4636978166634718</v>
      </c>
      <c r="AD41" s="175">
        <f>(AC41*1000000000)/Surfaces!N12</f>
        <v>18.325492091073315</v>
      </c>
      <c r="AE41" s="175">
        <f t="shared" si="20"/>
        <v>18.468396323745619</v>
      </c>
      <c r="AF41" s="175">
        <f t="shared" si="21"/>
        <v>7.3362177970980262</v>
      </c>
      <c r="AG41" s="200">
        <f t="shared" si="22"/>
        <v>8.6308444671741498</v>
      </c>
      <c r="AJ41">
        <f t="shared" si="23"/>
        <v>347.99792461883783</v>
      </c>
      <c r="AK41">
        <f t="shared" si="24"/>
        <v>224.75196082097679</v>
      </c>
    </row>
    <row r="42" spans="1:37" x14ac:dyDescent="0.3">
      <c r="A42" s="10">
        <v>6</v>
      </c>
      <c r="B42">
        <v>2025</v>
      </c>
      <c r="C42" s="63">
        <f t="shared" si="6"/>
        <v>7.2428959768268122</v>
      </c>
      <c r="D42" s="175">
        <f t="shared" si="7"/>
        <v>10.66670176796597</v>
      </c>
      <c r="E42" s="175">
        <f t="shared" si="2"/>
        <v>7.2285172829044582</v>
      </c>
      <c r="F42" s="200">
        <f t="shared" si="3"/>
        <v>6.8296115247873121</v>
      </c>
      <c r="G42" s="197"/>
      <c r="H42" s="198"/>
      <c r="I42" s="163">
        <f t="shared" si="4"/>
        <v>31.967726552484557</v>
      </c>
      <c r="J42" s="165">
        <f>Surfaces!A13</f>
        <v>8944514.84375</v>
      </c>
      <c r="K42" s="109">
        <f t="shared" si="8"/>
        <v>3.5740034100141362</v>
      </c>
      <c r="L42" s="163">
        <f t="shared" si="5"/>
        <v>7.2428959768268122</v>
      </c>
      <c r="M42" s="109">
        <f>(E42*'Global-Swiss Carbon Budgets'!$B$50)/(100%-'Global-Swiss Carbon Budgets'!$B$51)</f>
        <v>4.6085229271341346</v>
      </c>
      <c r="N42" s="120">
        <f t="shared" si="9"/>
        <v>2.5684225556576625</v>
      </c>
      <c r="O42" s="109">
        <f t="shared" si="10"/>
        <v>2.0401003714764721</v>
      </c>
      <c r="P42" s="120">
        <f>(N42*1000000000)/Surfaces!U13</f>
        <v>435.07662458330685</v>
      </c>
      <c r="Q42" s="109">
        <f>(O42*1000000000)/Surfaces!V13</f>
        <v>270.58445821330616</v>
      </c>
      <c r="R42" s="120">
        <f t="shared" si="11"/>
        <v>511.85485245094924</v>
      </c>
      <c r="S42" s="109">
        <f t="shared" si="12"/>
        <v>318.33465672153665</v>
      </c>
      <c r="T42" s="63">
        <f t="shared" si="13"/>
        <v>8.5309142075158206</v>
      </c>
      <c r="U42" s="200">
        <f t="shared" si="14"/>
        <v>5.3055776120256111</v>
      </c>
      <c r="W42">
        <v>2025</v>
      </c>
      <c r="X42" s="120">
        <f t="shared" si="15"/>
        <v>4.9975982240104999</v>
      </c>
      <c r="Y42" s="175">
        <f>(X42*1000000000)/Surfaces!C13</f>
        <v>12.145013357981542</v>
      </c>
      <c r="Z42" s="175">
        <f t="shared" si="16"/>
        <v>12.331902327341586</v>
      </c>
      <c r="AA42" s="175">
        <f t="shared" si="17"/>
        <v>2.2486211844489672</v>
      </c>
      <c r="AB42" s="200">
        <f t="shared" si="18"/>
        <v>3.7262865342297173</v>
      </c>
      <c r="AC42" s="120">
        <f t="shared" si="19"/>
        <v>2.2452977528163123</v>
      </c>
      <c r="AD42" s="175">
        <f>(AC42*1000000000)/Surfaces!N13</f>
        <v>16.627973053832719</v>
      </c>
      <c r="AE42" s="175">
        <f t="shared" si="20"/>
        <v>16.757639843589008</v>
      </c>
      <c r="AF42" s="175">
        <f t="shared" si="21"/>
        <v>6.6566524511838816</v>
      </c>
      <c r="AG42" s="200">
        <f t="shared" si="22"/>
        <v>7.8313558249222144</v>
      </c>
      <c r="AJ42">
        <f t="shared" si="23"/>
        <v>321.95670219164708</v>
      </c>
      <c r="AK42">
        <f t="shared" si="24"/>
        <v>200.23249907784657</v>
      </c>
    </row>
    <row r="43" spans="1:37" x14ac:dyDescent="0.3">
      <c r="A43">
        <v>7</v>
      </c>
      <c r="B43">
        <v>2026</v>
      </c>
      <c r="C43" s="63">
        <f t="shared" si="6"/>
        <v>6.5383796418359754</v>
      </c>
      <c r="D43" s="175">
        <f t="shared" si="7"/>
        <v>9.9557226867607174</v>
      </c>
      <c r="E43" s="175">
        <f t="shared" si="2"/>
        <v>6.7326409972972128</v>
      </c>
      <c r="F43" s="200">
        <f t="shared" si="3"/>
        <v>6.5338893457640213</v>
      </c>
      <c r="G43" s="2"/>
      <c r="H43" s="5"/>
      <c r="I43" s="163">
        <f t="shared" si="4"/>
        <v>29.760632671657927</v>
      </c>
      <c r="J43" s="165">
        <f>Surfaces!A14</f>
        <v>9004358.25</v>
      </c>
      <c r="K43" s="109">
        <f t="shared" si="8"/>
        <v>3.3051364511910584</v>
      </c>
      <c r="L43" s="163">
        <f t="shared" si="5"/>
        <v>6.5383796418359754</v>
      </c>
      <c r="M43" s="109">
        <f>(E43*'Global-Swiss Carbon Budgets'!$B$50)/(100%-'Global-Swiss Carbon Budgets'!$B$51)</f>
        <v>4.2923782543327338</v>
      </c>
      <c r="N43" s="120">
        <f t="shared" si="9"/>
        <v>2.3922287683395473</v>
      </c>
      <c r="O43" s="109">
        <f t="shared" si="10"/>
        <v>1.9001494859931862</v>
      </c>
      <c r="P43" s="120">
        <f>(N43*1000000000)/Surfaces!U14</f>
        <v>402.53718724915331</v>
      </c>
      <c r="Q43" s="109">
        <f>(O43*1000000000)/Surfaces!V14</f>
        <v>241.52143253071196</v>
      </c>
      <c r="R43" s="120">
        <f t="shared" si="11"/>
        <v>473.57316146959215</v>
      </c>
      <c r="S43" s="109">
        <f t="shared" si="12"/>
        <v>284.14286180083764</v>
      </c>
      <c r="T43" s="63">
        <f t="shared" si="13"/>
        <v>7.8928860244932029</v>
      </c>
      <c r="U43" s="200">
        <f t="shared" si="14"/>
        <v>4.7357143633472942</v>
      </c>
      <c r="W43">
        <v>2026</v>
      </c>
      <c r="X43" s="120">
        <f t="shared" si="15"/>
        <v>4.5114819528668226</v>
      </c>
      <c r="Y43" s="175">
        <f>(X43*1000000000)/Surfaces!C14</f>
        <v>10.892824146774938</v>
      </c>
      <c r="Z43" s="175">
        <f t="shared" si="16"/>
        <v>11.060444273505643</v>
      </c>
      <c r="AA43" s="175">
        <f t="shared" si="17"/>
        <v>2.0167812428809189</v>
      </c>
      <c r="AB43" s="200">
        <f t="shared" si="18"/>
        <v>3.3420946310598079</v>
      </c>
      <c r="AC43" s="120">
        <f t="shared" si="19"/>
        <v>2.0268976889691528</v>
      </c>
      <c r="AD43" s="175">
        <f>(AC43*1000000000)/Surfaces!N14</f>
        <v>14.944796802907566</v>
      </c>
      <c r="AE43" s="175">
        <f t="shared" si="20"/>
        <v>15.061337996396354</v>
      </c>
      <c r="AF43" s="175">
        <f t="shared" si="21"/>
        <v>5.9828289322124677</v>
      </c>
      <c r="AG43" s="200">
        <f t="shared" si="22"/>
        <v>7.0386222731911392</v>
      </c>
      <c r="AJ43">
        <f t="shared" si="23"/>
        <v>297.87751856437342</v>
      </c>
      <c r="AK43">
        <f t="shared" si="24"/>
        <v>178.72586007272685</v>
      </c>
    </row>
    <row r="44" spans="1:37" x14ac:dyDescent="0.3">
      <c r="A44">
        <v>8</v>
      </c>
      <c r="B44">
        <v>2027</v>
      </c>
      <c r="C44" s="63">
        <f t="shared" si="6"/>
        <v>5.8338633068451387</v>
      </c>
      <c r="D44" s="175">
        <f t="shared" si="7"/>
        <v>9.244743605555465</v>
      </c>
      <c r="E44" s="175">
        <f t="shared" si="2"/>
        <v>6.2707818248826248</v>
      </c>
      <c r="F44" s="200">
        <f t="shared" si="3"/>
        <v>6.250971937092439</v>
      </c>
      <c r="G44" s="2"/>
      <c r="H44" s="5"/>
      <c r="I44" s="163">
        <f t="shared" si="4"/>
        <v>27.600360674375665</v>
      </c>
      <c r="J44" s="165">
        <f>Surfaces!A15</f>
        <v>9064201.65625</v>
      </c>
      <c r="K44" s="109">
        <f t="shared" si="8"/>
        <v>3.0449852861939037</v>
      </c>
      <c r="L44" s="163">
        <f t="shared" si="5"/>
        <v>5.8338633068451387</v>
      </c>
      <c r="M44" s="109">
        <f>(E44*'Global-Swiss Carbon Budgets'!$B$50)/(100%-'Global-Swiss Carbon Budgets'!$B$51)</f>
        <v>3.9979211060855087</v>
      </c>
      <c r="N44" s="120">
        <f t="shared" si="9"/>
        <v>2.2281218748314546</v>
      </c>
      <c r="O44" s="109">
        <f t="shared" si="10"/>
        <v>1.7697992312540538</v>
      </c>
      <c r="P44" s="120">
        <f>(N44*1000000000)/Surfaces!U15</f>
        <v>372.44782967348419</v>
      </c>
      <c r="Q44" s="109">
        <f>(O44*1000000000)/Surfaces!V15</f>
        <v>215.95493976874096</v>
      </c>
      <c r="R44" s="120">
        <f t="shared" si="11"/>
        <v>438.1739172629226</v>
      </c>
      <c r="S44" s="109">
        <f t="shared" si="12"/>
        <v>254.06463502204818</v>
      </c>
      <c r="T44" s="63">
        <f t="shared" si="13"/>
        <v>7.3028986210487101</v>
      </c>
      <c r="U44" s="200">
        <f t="shared" si="14"/>
        <v>4.2344105837008028</v>
      </c>
      <c r="W44">
        <v>2027</v>
      </c>
      <c r="X44" s="120">
        <f t="shared" si="15"/>
        <v>4.0253656817231454</v>
      </c>
      <c r="Y44" s="175">
        <f>(X44*1000000000)/Surfaces!C15</f>
        <v>9.6567136025173177</v>
      </c>
      <c r="Z44" s="175">
        <f t="shared" si="16"/>
        <v>9.8053123071365711</v>
      </c>
      <c r="AA44" s="175">
        <f t="shared" si="17"/>
        <v>1.7879182293782001</v>
      </c>
      <c r="AB44" s="200">
        <f t="shared" si="18"/>
        <v>2.9628359229695884</v>
      </c>
      <c r="AC44" s="120">
        <f t="shared" si="19"/>
        <v>1.8084976251219933</v>
      </c>
      <c r="AD44" s="175">
        <f>(AC44*1000000000)/Surfaces!N15</f>
        <v>13.275922029270381</v>
      </c>
      <c r="AE44" s="175">
        <f t="shared" si="20"/>
        <v>13.379449151007776</v>
      </c>
      <c r="AF44" s="175">
        <f t="shared" si="21"/>
        <v>5.3147307030004418</v>
      </c>
      <c r="AG44" s="200">
        <f t="shared" si="22"/>
        <v>6.2526243564711095</v>
      </c>
      <c r="AJ44">
        <f t="shared" si="23"/>
        <v>275.6113939583783</v>
      </c>
      <c r="AK44">
        <f t="shared" si="24"/>
        <v>159.80665542886831</v>
      </c>
    </row>
    <row r="45" spans="1:37" x14ac:dyDescent="0.3">
      <c r="A45">
        <v>9</v>
      </c>
      <c r="B45">
        <v>2028</v>
      </c>
      <c r="C45" s="63">
        <f t="shared" si="6"/>
        <v>5.1293469718543019</v>
      </c>
      <c r="D45" s="175">
        <f t="shared" si="7"/>
        <v>8.5337645243502127</v>
      </c>
      <c r="E45" s="175">
        <f t="shared" si="2"/>
        <v>5.8406061916956773</v>
      </c>
      <c r="F45" s="200">
        <f t="shared" si="3"/>
        <v>5.9803048522163369</v>
      </c>
      <c r="G45" s="2"/>
      <c r="H45" s="5"/>
      <c r="I45" s="163">
        <f t="shared" si="4"/>
        <v>25.484022540116527</v>
      </c>
      <c r="J45" s="165">
        <f>Surfaces!A16</f>
        <v>9124045.0625</v>
      </c>
      <c r="K45" s="109">
        <f t="shared" si="8"/>
        <v>2.7930618892771966</v>
      </c>
      <c r="L45" s="163">
        <f t="shared" si="5"/>
        <v>5.1293469718543019</v>
      </c>
      <c r="M45" s="109">
        <f>(E45*'Global-Swiss Carbon Budgets'!$B$50)/(100%-'Global-Swiss Carbon Budgets'!$B$51)</f>
        <v>3.723663718208043</v>
      </c>
      <c r="N45" s="120">
        <f t="shared" si="9"/>
        <v>2.0752727142180167</v>
      </c>
      <c r="O45" s="109">
        <f t="shared" si="10"/>
        <v>1.6483910039900258</v>
      </c>
      <c r="P45" s="120">
        <f>(N45*1000000000)/Surfaces!U16</f>
        <v>344.62265100195253</v>
      </c>
      <c r="Q45" s="109">
        <f>(O45*1000000000)/Surfaces!V16</f>
        <v>193.40426048135129</v>
      </c>
      <c r="R45" s="120">
        <f t="shared" si="11"/>
        <v>405.43841294347357</v>
      </c>
      <c r="S45" s="109">
        <f t="shared" si="12"/>
        <v>227.53442409570741</v>
      </c>
      <c r="T45" s="63">
        <f t="shared" si="13"/>
        <v>6.7573068823912257</v>
      </c>
      <c r="U45" s="200">
        <f t="shared" si="14"/>
        <v>3.7922404015951234</v>
      </c>
      <c r="W45">
        <v>2028</v>
      </c>
      <c r="X45" s="120">
        <f t="shared" si="15"/>
        <v>3.5392494105794681</v>
      </c>
      <c r="Y45" s="175">
        <f>(X45*1000000000)/Surfaces!C16</f>
        <v>8.4363740149144473</v>
      </c>
      <c r="Z45" s="175">
        <f t="shared" si="16"/>
        <v>8.5661939828560278</v>
      </c>
      <c r="AA45" s="175">
        <f t="shared" si="17"/>
        <v>1.5619751720902344</v>
      </c>
      <c r="AB45" s="200">
        <f t="shared" si="18"/>
        <v>2.588415999463817</v>
      </c>
      <c r="AC45" s="120">
        <f t="shared" si="19"/>
        <v>1.5900975612748338</v>
      </c>
      <c r="AD45" s="175">
        <f>(AC45*1000000000)/Surfaces!N16</f>
        <v>11.621305666975871</v>
      </c>
      <c r="AE45" s="175">
        <f t="shared" si="20"/>
        <v>11.711929905644936</v>
      </c>
      <c r="AF45" s="175">
        <f t="shared" si="21"/>
        <v>4.6523405230200892</v>
      </c>
      <c r="AG45" s="200">
        <f t="shared" si="22"/>
        <v>5.4733417917883411</v>
      </c>
      <c r="AJ45">
        <f t="shared" si="23"/>
        <v>255.02076174144486</v>
      </c>
      <c r="AK45">
        <f t="shared" si="24"/>
        <v>143.11915275619995</v>
      </c>
    </row>
    <row r="46" spans="1:37" x14ac:dyDescent="0.3">
      <c r="A46">
        <v>10</v>
      </c>
      <c r="B46">
        <v>2029</v>
      </c>
      <c r="C46" s="63">
        <f t="shared" si="6"/>
        <v>4.4248306368634651</v>
      </c>
      <c r="D46" s="175">
        <f t="shared" si="7"/>
        <v>7.8227854431449604</v>
      </c>
      <c r="E46" s="175">
        <f t="shared" si="2"/>
        <v>5.4399406069453535</v>
      </c>
      <c r="F46" s="200">
        <f t="shared" si="3"/>
        <v>5.7213576521153691</v>
      </c>
      <c r="G46" s="2"/>
      <c r="H46" s="5"/>
      <c r="I46" s="163">
        <f t="shared" si="4"/>
        <v>23.408914339069149</v>
      </c>
      <c r="J46" s="165">
        <f>Surfaces!A17</f>
        <v>9183888.46875</v>
      </c>
      <c r="K46" s="109">
        <f t="shared" si="8"/>
        <v>2.5489109998147974</v>
      </c>
      <c r="L46" s="163">
        <f t="shared" si="5"/>
        <v>4.4248306368634651</v>
      </c>
      <c r="M46" s="109">
        <f>(E46*'Global-Swiss Carbon Budgets'!$B$50)/(100%-'Global-Swiss Carbon Budgets'!$B$51)</f>
        <v>3.4682203871389712</v>
      </c>
      <c r="N46" s="120">
        <f t="shared" si="9"/>
        <v>1.9329090060226608</v>
      </c>
      <c r="O46" s="109">
        <f t="shared" si="10"/>
        <v>1.5353113811163102</v>
      </c>
      <c r="P46" s="120">
        <f>(N46*1000000000)/Surfaces!U17</f>
        <v>318.88997989147572</v>
      </c>
      <c r="Q46" s="109">
        <f>(O46*1000000000)/Surfaces!V17</f>
        <v>173.4649975377998</v>
      </c>
      <c r="R46" s="120">
        <f t="shared" si="11"/>
        <v>375.16468222526555</v>
      </c>
      <c r="S46" s="109">
        <f t="shared" si="12"/>
        <v>204.07646769152919</v>
      </c>
      <c r="T46" s="63">
        <f t="shared" si="13"/>
        <v>6.2527447037544261</v>
      </c>
      <c r="U46" s="200">
        <f t="shared" si="14"/>
        <v>3.4012744615254866</v>
      </c>
      <c r="W46">
        <v>2029</v>
      </c>
      <c r="X46" s="120">
        <f t="shared" si="15"/>
        <v>3.0531331394357908</v>
      </c>
      <c r="Y46" s="175">
        <f>(X46*1000000000)/Surfaces!C17</f>
        <v>7.2315054757641022</v>
      </c>
      <c r="Z46" s="175">
        <f t="shared" si="16"/>
        <v>7.3427847774372363</v>
      </c>
      <c r="AA46" s="175">
        <f t="shared" si="17"/>
        <v>1.338896543705768</v>
      </c>
      <c r="AB46" s="200">
        <f t="shared" si="18"/>
        <v>2.2187428438552725</v>
      </c>
      <c r="AC46" s="120">
        <f t="shared" si="19"/>
        <v>1.3716974974276743</v>
      </c>
      <c r="AD46" s="175">
        <f>(AC46*1000000000)/Surfaces!N17</f>
        <v>9.9809029437766341</v>
      </c>
      <c r="AE46" s="175">
        <f t="shared" si="20"/>
        <v>10.058735138921447</v>
      </c>
      <c r="AF46" s="175">
        <f t="shared" si="21"/>
        <v>3.9956404686622333</v>
      </c>
      <c r="AG46" s="200">
        <f t="shared" si="22"/>
        <v>4.7007534925438046</v>
      </c>
      <c r="AJ46">
        <f t="shared" si="23"/>
        <v>235.97858511969204</v>
      </c>
      <c r="AK46">
        <f t="shared" si="24"/>
        <v>128.36409817797184</v>
      </c>
    </row>
    <row r="47" spans="1:37" x14ac:dyDescent="0.3">
      <c r="A47" s="10">
        <v>11</v>
      </c>
      <c r="B47">
        <v>2030</v>
      </c>
      <c r="C47" s="63">
        <f t="shared" si="6"/>
        <v>3.7203143018726279</v>
      </c>
      <c r="D47" s="175">
        <f t="shared" si="7"/>
        <v>7.1118063619397081</v>
      </c>
      <c r="E47" s="175">
        <f t="shared" si="2"/>
        <v>5.0667606813089021</v>
      </c>
      <c r="F47" s="200">
        <f t="shared" si="3"/>
        <v>5.4736228657787738</v>
      </c>
      <c r="G47" s="197"/>
      <c r="H47" s="198"/>
      <c r="I47" s="163">
        <f t="shared" si="4"/>
        <v>21.372504210900011</v>
      </c>
      <c r="J47" s="165">
        <f>Surfaces!A18</f>
        <v>9243731.875</v>
      </c>
      <c r="K47" s="109">
        <f t="shared" si="8"/>
        <v>2.3121077612282011</v>
      </c>
      <c r="L47" s="163">
        <f t="shared" si="5"/>
        <v>3.7203143018726279</v>
      </c>
      <c r="M47" s="109">
        <f>(E47*'Global-Swiss Carbon Budgets'!$B$50)/(100%-'Global-Swiss Carbon Budgets'!$B$51)</f>
        <v>3.230300468581238</v>
      </c>
      <c r="N47" s="120">
        <f t="shared" si="9"/>
        <v>1.8003114482095064</v>
      </c>
      <c r="O47" s="109">
        <f t="shared" si="10"/>
        <v>1.4299890203717314</v>
      </c>
      <c r="P47" s="120">
        <f>(N47*1000000000)/Surfaces!U18</f>
        <v>295.09127432358076</v>
      </c>
      <c r="Q47" s="109">
        <f>(O47*1000000000)/Surfaces!V18</f>
        <v>155.79510946718153</v>
      </c>
      <c r="R47" s="120">
        <f t="shared" si="11"/>
        <v>347.16620508656564</v>
      </c>
      <c r="S47" s="109">
        <f t="shared" si="12"/>
        <v>183.28836407903711</v>
      </c>
      <c r="T47" s="63">
        <f t="shared" si="13"/>
        <v>5.7861034181094277</v>
      </c>
      <c r="U47" s="200">
        <f t="shared" si="14"/>
        <v>3.0548060679839519</v>
      </c>
      <c r="W47">
        <v>2030</v>
      </c>
      <c r="X47" s="120">
        <f t="shared" si="15"/>
        <v>2.5670168682921131</v>
      </c>
      <c r="Y47" s="175">
        <f>(X47*1000000000)/Surfaces!C18</f>
        <v>6.0418156332330133</v>
      </c>
      <c r="Z47" s="175">
        <f t="shared" si="16"/>
        <v>6.1347878403007199</v>
      </c>
      <c r="AA47" s="175">
        <f t="shared" si="17"/>
        <v>1.1186282159578136</v>
      </c>
      <c r="AB47" s="200">
        <f t="shared" si="18"/>
        <v>1.8537267578729482</v>
      </c>
      <c r="AC47" s="120">
        <f t="shared" si="19"/>
        <v>1.1532974335805148</v>
      </c>
      <c r="AD47" s="175">
        <f>(AC47*1000000000)/Surfaces!N18</f>
        <v>8.3546674311507232</v>
      </c>
      <c r="AE47" s="175">
        <f t="shared" si="20"/>
        <v>8.4198180602605657</v>
      </c>
      <c r="AF47" s="175">
        <f t="shared" si="21"/>
        <v>3.3446119532636991</v>
      </c>
      <c r="AG47" s="200">
        <f t="shared" si="22"/>
        <v>3.9348375920749405</v>
      </c>
      <c r="AJ47">
        <f t="shared" si="23"/>
        <v>218.36754299944977</v>
      </c>
      <c r="AK47">
        <f t="shared" si="24"/>
        <v>115.28838100571433</v>
      </c>
    </row>
    <row r="48" spans="1:37" x14ac:dyDescent="0.3">
      <c r="A48">
        <v>12</v>
      </c>
      <c r="B48">
        <v>2031</v>
      </c>
      <c r="C48" s="63">
        <f t="shared" si="6"/>
        <v>3.0157979668817907</v>
      </c>
      <c r="D48" s="175">
        <f t="shared" si="7"/>
        <v>6.4008272807344557</v>
      </c>
      <c r="E48" s="175">
        <f t="shared" si="2"/>
        <v>4.7191808985711114</v>
      </c>
      <c r="F48" s="200">
        <f t="shared" si="3"/>
        <v>5.2366149956905526</v>
      </c>
      <c r="G48" s="2"/>
      <c r="H48" s="5"/>
      <c r="I48" s="163">
        <f t="shared" si="4"/>
        <v>19.372421141877908</v>
      </c>
      <c r="J48" s="165">
        <f>Surfaces!A19</f>
        <v>9303575.28125</v>
      </c>
      <c r="K48" s="109">
        <f t="shared" si="8"/>
        <v>2.0822555368493871</v>
      </c>
      <c r="L48" s="163">
        <f t="shared" si="5"/>
        <v>3.0157979668817907</v>
      </c>
      <c r="M48" s="109">
        <f>(E48*'Global-Swiss Carbon Budgets'!$B$50)/(100%-'Global-Swiss Carbon Budgets'!$B$51)</f>
        <v>3.0087018564365646</v>
      </c>
      <c r="N48" s="120">
        <f t="shared" si="9"/>
        <v>1.676810082862334</v>
      </c>
      <c r="O48" s="109">
        <f t="shared" si="10"/>
        <v>1.3318917735742304</v>
      </c>
      <c r="P48" s="120">
        <f>(N48*1000000000)/Surfaces!U19</f>
        <v>273.08010747120579</v>
      </c>
      <c r="Q48" s="109">
        <f>(O48*1000000000)/Surfaces!V19</f>
        <v>140.10385582125932</v>
      </c>
      <c r="R48" s="120">
        <f t="shared" si="11"/>
        <v>321.27071467200682</v>
      </c>
      <c r="S48" s="109">
        <f t="shared" si="12"/>
        <v>164.82806567206978</v>
      </c>
      <c r="T48" s="63">
        <f t="shared" si="13"/>
        <v>5.354511911200114</v>
      </c>
      <c r="U48" s="200">
        <f t="shared" si="14"/>
        <v>2.7471344278678296</v>
      </c>
      <c r="W48">
        <v>2031</v>
      </c>
      <c r="X48" s="120">
        <f t="shared" si="15"/>
        <v>2.0809005971484353</v>
      </c>
      <c r="Y48" s="175">
        <f>(X48*1000000000)/Surfaces!C19</f>
        <v>4.8670194553624153</v>
      </c>
      <c r="Z48" s="175">
        <f t="shared" si="16"/>
        <v>4.9419137533806383</v>
      </c>
      <c r="AA48" s="175">
        <f t="shared" si="17"/>
        <v>0.90111741583724947</v>
      </c>
      <c r="AB48" s="200">
        <f t="shared" si="18"/>
        <v>1.4932802891017276</v>
      </c>
      <c r="AC48" s="120">
        <f t="shared" si="19"/>
        <v>0.93489736973335524</v>
      </c>
      <c r="AD48" s="175">
        <f>(AC48*1000000000)/Surfaces!N19</f>
        <v>6.7425510937289808</v>
      </c>
      <c r="AE48" s="175">
        <f t="shared" si="20"/>
        <v>6.7951302597079666</v>
      </c>
      <c r="AF48" s="175">
        <f t="shared" si="21"/>
        <v>2.6992357468944879</v>
      </c>
      <c r="AG48" s="200">
        <f t="shared" si="22"/>
        <v>3.1755714669346924</v>
      </c>
      <c r="AJ48">
        <f t="shared" si="23"/>
        <v>202.0792795286923</v>
      </c>
      <c r="AK48">
        <f t="shared" si="24"/>
        <v>103.67685330773189</v>
      </c>
    </row>
    <row r="49" spans="1:37" x14ac:dyDescent="0.3">
      <c r="A49">
        <v>13</v>
      </c>
      <c r="B49">
        <v>2032</v>
      </c>
      <c r="C49" s="63">
        <f t="shared" si="6"/>
        <v>2.3112816318909535</v>
      </c>
      <c r="D49" s="175">
        <f t="shared" si="7"/>
        <v>5.6898481995292034</v>
      </c>
      <c r="E49" s="175">
        <f t="shared" si="2"/>
        <v>4.3954450889291339</v>
      </c>
      <c r="F49" s="200">
        <f t="shared" si="3"/>
        <v>5.0098695663771524</v>
      </c>
      <c r="G49" s="2"/>
      <c r="H49" s="5"/>
      <c r="I49" s="163">
        <f t="shared" si="4"/>
        <v>17.406444486726443</v>
      </c>
      <c r="J49" s="165">
        <f>Surfaces!A20</f>
        <v>9363418.6875</v>
      </c>
      <c r="K49" s="109">
        <f t="shared" si="8"/>
        <v>1.8589838890750172</v>
      </c>
      <c r="L49" s="163">
        <f t="shared" si="5"/>
        <v>2.3112816318909535</v>
      </c>
      <c r="M49" s="109">
        <f>(E49*'Global-Swiss Carbon Budgets'!$B$50)/(100%-'Global-Swiss Carbon Budgets'!$B$51)</f>
        <v>2.8023049090850169</v>
      </c>
      <c r="N49" s="120">
        <f t="shared" si="9"/>
        <v>1.5617809111779783</v>
      </c>
      <c r="O49" s="109">
        <f t="shared" si="10"/>
        <v>1.2405239979070384</v>
      </c>
      <c r="P49" s="120">
        <f>(N49*1000000000)/Surfaces!U20</f>
        <v>252.72123279770059</v>
      </c>
      <c r="Q49" s="109">
        <f>(O49*1000000000)/Surfaces!V20</f>
        <v>126.14297360152358</v>
      </c>
      <c r="R49" s="120">
        <f t="shared" si="11"/>
        <v>297.31909740905951</v>
      </c>
      <c r="S49" s="109">
        <f t="shared" si="12"/>
        <v>148.40349835473361</v>
      </c>
      <c r="T49" s="63">
        <f t="shared" si="13"/>
        <v>4.9553182901509922</v>
      </c>
      <c r="U49" s="200">
        <f t="shared" si="14"/>
        <v>2.4733916392455604</v>
      </c>
      <c r="W49">
        <v>2032</v>
      </c>
      <c r="X49" s="120">
        <f t="shared" si="15"/>
        <v>1.5947843260047578</v>
      </c>
      <c r="Y49" s="175">
        <f>(X49*1000000000)/Surfaces!C20</f>
        <v>3.7068390024003004</v>
      </c>
      <c r="Z49" s="175">
        <f t="shared" si="16"/>
        <v>3.7638802999536645</v>
      </c>
      <c r="AA49" s="175">
        <f t="shared" si="17"/>
        <v>0.68631268344066154</v>
      </c>
      <c r="AB49" s="200">
        <f t="shared" si="18"/>
        <v>1.1373181611302392</v>
      </c>
      <c r="AC49" s="120">
        <f t="shared" si="19"/>
        <v>0.71649730588619576</v>
      </c>
      <c r="AD49" s="175">
        <f>(AC49*1000000000)/Surfaces!N20</f>
        <v>5.1445043381110462</v>
      </c>
      <c r="AE49" s="175">
        <f t="shared" si="20"/>
        <v>5.1846217571284168</v>
      </c>
      <c r="AF49" s="175">
        <f t="shared" si="21"/>
        <v>2.0594919959002191</v>
      </c>
      <c r="AG49" s="200">
        <f t="shared" si="22"/>
        <v>2.4229317598826112</v>
      </c>
      <c r="AJ49">
        <f t="shared" si="23"/>
        <v>187.01371227029844</v>
      </c>
      <c r="AK49">
        <f t="shared" si="24"/>
        <v>93.345800465127454</v>
      </c>
    </row>
    <row r="50" spans="1:37" ht="15" x14ac:dyDescent="0.35">
      <c r="A50">
        <v>14</v>
      </c>
      <c r="B50">
        <v>2033</v>
      </c>
      <c r="C50" s="63">
        <f t="shared" si="6"/>
        <v>1.6067652969001163</v>
      </c>
      <c r="D50" s="175">
        <f t="shared" si="7"/>
        <v>4.9788691183239511</v>
      </c>
      <c r="E50" s="175">
        <f t="shared" si="2"/>
        <v>4.093917555828595</v>
      </c>
      <c r="F50" s="200">
        <f t="shared" si="3"/>
        <v>4.7929422141530198</v>
      </c>
      <c r="G50" s="2"/>
      <c r="H50" s="103">
        <v>-0.24308042749721581</v>
      </c>
      <c r="I50" s="163">
        <f t="shared" si="4"/>
        <v>15.229413757708468</v>
      </c>
      <c r="J50" s="165">
        <f>Surfaces!A21</f>
        <v>9423262.09375</v>
      </c>
      <c r="K50" s="109">
        <f t="shared" si="8"/>
        <v>1.616150925888967</v>
      </c>
      <c r="L50" s="163">
        <f t="shared" si="5"/>
        <v>1.6067652969001163</v>
      </c>
      <c r="M50" s="109">
        <f>(E50*'Global-Swiss Carbon Budgets'!$B$50)/(100%-'Global-Swiss Carbon Budgets'!$B$51)</f>
        <v>2.6100667923217844</v>
      </c>
      <c r="N50" s="120">
        <f t="shared" si="9"/>
        <v>1.4546427406711688</v>
      </c>
      <c r="O50" s="109">
        <f t="shared" si="10"/>
        <v>1.1554240516506153</v>
      </c>
      <c r="P50" s="120">
        <f>(N50*1000000000)/Surfaces!U21</f>
        <v>233.88972211585676</v>
      </c>
      <c r="Q50" s="109">
        <f>(O50*1000000000)/Surfaces!V21</f>
        <v>113.69957962496038</v>
      </c>
      <c r="R50" s="120">
        <f t="shared" si="11"/>
        <v>275.16437895983148</v>
      </c>
      <c r="S50" s="109">
        <f t="shared" si="12"/>
        <v>133.76421132348281</v>
      </c>
      <c r="T50" s="63">
        <f t="shared" si="13"/>
        <v>4.5860729826638584</v>
      </c>
      <c r="U50" s="200">
        <f t="shared" si="14"/>
        <v>2.229403522058047</v>
      </c>
      <c r="W50">
        <v>2033</v>
      </c>
      <c r="X50" s="120">
        <f t="shared" si="15"/>
        <v>1.1086680548610801</v>
      </c>
      <c r="Y50" s="175">
        <f>(X50*1000000000)/Surfaces!C21</f>
        <v>2.5610032075784557</v>
      </c>
      <c r="Z50" s="175">
        <f t="shared" si="16"/>
        <v>2.6004122420425935</v>
      </c>
      <c r="AA50" s="175">
        <f t="shared" si="17"/>
        <v>0.47416383138171792</v>
      </c>
      <c r="AB50" s="200">
        <f t="shared" si="18"/>
        <v>0.78575720628970402</v>
      </c>
      <c r="AC50" s="120">
        <f t="shared" si="19"/>
        <v>0.4980972420390361</v>
      </c>
      <c r="AD50" s="175">
        <f>(AC50*1000000000)/Surfaces!N21</f>
        <v>3.5604760610596871</v>
      </c>
      <c r="AE50" s="175">
        <f t="shared" si="20"/>
        <v>3.5882410507759355</v>
      </c>
      <c r="AF50" s="175">
        <f t="shared" si="21"/>
        <v>1.4253602421956952</v>
      </c>
      <c r="AG50" s="200">
        <f t="shared" si="22"/>
        <v>1.6768944025831709</v>
      </c>
      <c r="AJ50">
        <f t="shared" si="23"/>
        <v>173.078394365734</v>
      </c>
      <c r="AK50">
        <f t="shared" si="24"/>
        <v>84.137688922470673</v>
      </c>
    </row>
    <row r="51" spans="1:37" ht="15" x14ac:dyDescent="0.35">
      <c r="A51">
        <v>15</v>
      </c>
      <c r="B51">
        <v>2034</v>
      </c>
      <c r="C51" s="63">
        <f t="shared" si="6"/>
        <v>0.90224896190927917</v>
      </c>
      <c r="D51" s="175">
        <f t="shared" si="7"/>
        <v>4.2678900371186987</v>
      </c>
      <c r="E51" s="175">
        <f t="shared" si="2"/>
        <v>3.8130748114987534</v>
      </c>
      <c r="F51" s="200">
        <f t="shared" si="3"/>
        <v>4.5854078162801946</v>
      </c>
      <c r="G51" s="2"/>
      <c r="H51" s="103">
        <v>-0.34708336107240451</v>
      </c>
      <c r="I51" s="163">
        <f t="shared" si="4"/>
        <v>13.221538265734521</v>
      </c>
      <c r="J51" s="165">
        <f>Surfaces!A22</f>
        <v>9483105.5</v>
      </c>
      <c r="K51" s="109">
        <f t="shared" si="8"/>
        <v>1.3942203074440669</v>
      </c>
      <c r="L51" s="163">
        <f t="shared" si="5"/>
        <v>0.90224896190927917</v>
      </c>
      <c r="M51" s="109">
        <f>(E51*'Global-Swiss Carbon Budgets'!$B$50)/(100%-'Global-Swiss Carbon Budgets'!$B$51)</f>
        <v>2.4310162103685098</v>
      </c>
      <c r="N51" s="120">
        <f t="shared" si="9"/>
        <v>1.3548542486611266</v>
      </c>
      <c r="O51" s="109">
        <f t="shared" si="10"/>
        <v>1.0761619617073832</v>
      </c>
      <c r="P51" s="120">
        <f>(N51*1000000000)/Surfaces!U22</f>
        <v>216.47017083890651</v>
      </c>
      <c r="Q51" s="109">
        <f>(O51*1000000000)/Surfaces!V22</f>
        <v>102.59042007322908</v>
      </c>
      <c r="R51" s="120">
        <f t="shared" si="11"/>
        <v>254.67078922224297</v>
      </c>
      <c r="S51" s="109">
        <f t="shared" si="12"/>
        <v>120.69461185085775</v>
      </c>
      <c r="T51" s="63">
        <f t="shared" si="13"/>
        <v>4.2445131537040499</v>
      </c>
      <c r="U51" s="200">
        <f t="shared" si="14"/>
        <v>2.0115768641809626</v>
      </c>
      <c r="W51">
        <v>2034</v>
      </c>
      <c r="X51" s="120">
        <f t="shared" si="15"/>
        <v>0.62255178371740261</v>
      </c>
      <c r="Y51" s="175">
        <f>(X51*1000000000)/Surfaces!C22</f>
        <v>1.4292476659710605</v>
      </c>
      <c r="Z51" s="175">
        <f t="shared" si="16"/>
        <v>1.4512411060258661</v>
      </c>
      <c r="AA51" s="175">
        <f t="shared" si="17"/>
        <v>0.26462190569882554</v>
      </c>
      <c r="AB51" s="200">
        <f t="shared" si="18"/>
        <v>0.43851630087233945</v>
      </c>
      <c r="AC51" s="120">
        <f t="shared" si="19"/>
        <v>0.27969717819187662</v>
      </c>
      <c r="AD51" s="175">
        <f>(AC51*1000000000)/Surfaces!N22</f>
        <v>1.9904136970641009</v>
      </c>
      <c r="AE51" s="175">
        <f t="shared" si="20"/>
        <v>2.0059351652280006</v>
      </c>
      <c r="AF51" s="175">
        <f t="shared" si="21"/>
        <v>0.79681944230585178</v>
      </c>
      <c r="AG51" s="200">
        <f t="shared" si="22"/>
        <v>0.93743463800688465</v>
      </c>
      <c r="AJ51">
        <f t="shared" si="23"/>
        <v>160.18792642079083</v>
      </c>
      <c r="AK51">
        <f t="shared" si="24"/>
        <v>75.916910854189524</v>
      </c>
    </row>
    <row r="52" spans="1:37" ht="15" x14ac:dyDescent="0.35">
      <c r="A52" s="10">
        <v>16</v>
      </c>
      <c r="B52">
        <v>2035</v>
      </c>
      <c r="C52" s="63">
        <f t="shared" si="6"/>
        <v>0.19773262691844207</v>
      </c>
      <c r="D52" s="175">
        <f t="shared" si="7"/>
        <v>3.5569109559134464</v>
      </c>
      <c r="E52" s="175">
        <f t="shared" si="2"/>
        <v>3.5514978794299394</v>
      </c>
      <c r="F52" s="200">
        <f t="shared" si="3"/>
        <v>4.3868596578352621</v>
      </c>
      <c r="G52" s="197"/>
      <c r="H52" s="103">
        <v>-0.41024212788411291</v>
      </c>
      <c r="I52" s="163">
        <f t="shared" si="4"/>
        <v>11.282758992212978</v>
      </c>
      <c r="J52" s="165">
        <f>Surfaces!A23</f>
        <v>9542948.90625</v>
      </c>
      <c r="K52" s="109">
        <f t="shared" si="8"/>
        <v>1.1823136750552565</v>
      </c>
      <c r="L52" s="163">
        <f t="shared" si="5"/>
        <v>0.19773262691844207</v>
      </c>
      <c r="M52" s="109">
        <f>(E52*'Global-Swiss Carbon Budgets'!$B$50)/(100%-'Global-Swiss Carbon Budgets'!$B$51)</f>
        <v>2.2642484983372304</v>
      </c>
      <c r="N52" s="120">
        <f t="shared" si="9"/>
        <v>1.2619112472029734</v>
      </c>
      <c r="O52" s="109">
        <f t="shared" si="10"/>
        <v>1.0023372511342568</v>
      </c>
      <c r="P52" s="120">
        <f>(N52*1000000000)/Surfaces!U23</f>
        <v>200.3559651182978</v>
      </c>
      <c r="Q52" s="109">
        <f>(O52*1000000000)/Surfaces!V23</f>
        <v>92.657180369653872</v>
      </c>
      <c r="R52" s="120">
        <f t="shared" si="11"/>
        <v>235.71290013917388</v>
      </c>
      <c r="S52" s="109">
        <f t="shared" si="12"/>
        <v>109.00844749371043</v>
      </c>
      <c r="T52" s="63">
        <f t="shared" si="13"/>
        <v>3.9285483356528981</v>
      </c>
      <c r="U52" s="200">
        <f t="shared" si="14"/>
        <v>1.8168074582285072</v>
      </c>
      <c r="W52">
        <v>2035</v>
      </c>
      <c r="X52" s="120">
        <f t="shared" si="15"/>
        <v>0.13643551257372502</v>
      </c>
      <c r="Y52" s="175">
        <f>(X52*1000000000)/Surfaces!C23</f>
        <v>0.31131443108938361</v>
      </c>
      <c r="Z52" s="175">
        <f t="shared" si="16"/>
        <v>0.3161049761022442</v>
      </c>
      <c r="AA52" s="175">
        <f t="shared" si="17"/>
        <v>5.7639148195108153E-2</v>
      </c>
      <c r="AB52" s="200">
        <f t="shared" si="18"/>
        <v>9.551630272332208E-2</v>
      </c>
      <c r="AC52" s="120">
        <f t="shared" si="19"/>
        <v>6.1297114344717053E-2</v>
      </c>
      <c r="AD52" s="175">
        <f>(AC52*1000000000)/Surfaces!N23</f>
        <v>0.43426326526350861</v>
      </c>
      <c r="AE52" s="175">
        <f t="shared" si="20"/>
        <v>0.4376496986750556</v>
      </c>
      <c r="AF52" s="175">
        <f t="shared" si="21"/>
        <v>0.17384798615061145</v>
      </c>
      <c r="AG52" s="200">
        <f t="shared" si="22"/>
        <v>0.20452704253013113</v>
      </c>
      <c r="AJ52">
        <f t="shared" si="23"/>
        <v>148.26341418754038</v>
      </c>
      <c r="AK52">
        <f t="shared" si="24"/>
        <v>68.566313473543872</v>
      </c>
    </row>
    <row r="53" spans="1:37" ht="15" x14ac:dyDescent="0.35">
      <c r="A53">
        <v>17</v>
      </c>
      <c r="B53">
        <v>2036</v>
      </c>
      <c r="C53" s="63">
        <v>0</v>
      </c>
      <c r="D53" s="175">
        <f t="shared" si="7"/>
        <v>2.8459318747081941</v>
      </c>
      <c r="E53" s="175">
        <f t="shared" si="2"/>
        <v>3.3078651249010456</v>
      </c>
      <c r="F53" s="200">
        <f t="shared" si="3"/>
        <v>4.1969086346509954</v>
      </c>
      <c r="G53" s="2"/>
      <c r="H53" s="103">
        <v>-0.80273167109954868</v>
      </c>
      <c r="I53" s="163">
        <f t="shared" si="4"/>
        <v>9.5479739631606861</v>
      </c>
      <c r="J53" s="165">
        <f>Surfaces!A24</f>
        <v>9602792.3125</v>
      </c>
      <c r="K53" s="109">
        <f t="shared" si="8"/>
        <v>0.99429141570957891</v>
      </c>
      <c r="L53" s="163">
        <f t="shared" si="5"/>
        <v>0</v>
      </c>
      <c r="M53" s="109">
        <f>(E53*'Global-Swiss Carbon Budgets'!$B$50)/(100%-'Global-Swiss Carbon Budgets'!$B$51)</f>
        <v>2.1089210513512966</v>
      </c>
      <c r="N53" s="120">
        <f t="shared" si="9"/>
        <v>1.1753441356448495</v>
      </c>
      <c r="O53" s="109">
        <f t="shared" si="10"/>
        <v>0.93357691570644685</v>
      </c>
      <c r="P53" s="120">
        <f>(N53*1000000000)/Surfaces!U24</f>
        <v>185.44860598813892</v>
      </c>
      <c r="Q53" s="109">
        <f>(O53*1000000000)/Surfaces!V24</f>
        <v>83.762636096404606</v>
      </c>
      <c r="R53" s="120">
        <f t="shared" si="11"/>
        <v>218.17483057428109</v>
      </c>
      <c r="S53" s="109">
        <f t="shared" si="12"/>
        <v>98.544277760476007</v>
      </c>
      <c r="T53" s="63">
        <f t="shared" si="13"/>
        <v>3.636247176238018</v>
      </c>
      <c r="U53" s="200">
        <f t="shared" si="14"/>
        <v>1.6424046293412669</v>
      </c>
      <c r="W53">
        <v>2036</v>
      </c>
      <c r="X53" s="120">
        <f t="shared" si="15"/>
        <v>0</v>
      </c>
      <c r="Y53" s="175">
        <f>(X53*1000000000)/Surfaces!C24</f>
        <v>0</v>
      </c>
      <c r="Z53" s="175">
        <f t="shared" si="16"/>
        <v>0</v>
      </c>
      <c r="AA53" s="175">
        <f t="shared" si="17"/>
        <v>0</v>
      </c>
      <c r="AB53" s="200">
        <f t="shared" si="18"/>
        <v>0</v>
      </c>
      <c r="AC53" s="120">
        <f t="shared" si="19"/>
        <v>0</v>
      </c>
      <c r="AD53" s="175">
        <f>(AC53*1000000000)/Surfaces!N24</f>
        <v>0</v>
      </c>
      <c r="AE53" s="175">
        <f t="shared" si="20"/>
        <v>0</v>
      </c>
      <c r="AF53" s="175">
        <f t="shared" si="21"/>
        <v>0</v>
      </c>
      <c r="AG53" s="200">
        <f t="shared" si="22"/>
        <v>0</v>
      </c>
      <c r="AJ53">
        <f t="shared" si="23"/>
        <v>137.23196843122281</v>
      </c>
      <c r="AK53">
        <f t="shared" si="24"/>
        <v>61.98435071133941</v>
      </c>
    </row>
    <row r="54" spans="1:37" ht="15" x14ac:dyDescent="0.35">
      <c r="A54">
        <v>18</v>
      </c>
      <c r="B54">
        <v>2037</v>
      </c>
      <c r="C54" s="63">
        <v>0</v>
      </c>
      <c r="D54" s="175">
        <f t="shared" si="7"/>
        <v>2.1349527935029418</v>
      </c>
      <c r="E54" s="175">
        <f t="shared" si="2"/>
        <v>3.0809455773328338</v>
      </c>
      <c r="F54" s="200">
        <f t="shared" si="3"/>
        <v>4.0151824907706066</v>
      </c>
      <c r="G54" s="2"/>
      <c r="H54" s="103">
        <v>-0.96003406675369518</v>
      </c>
      <c r="I54" s="163">
        <f t="shared" si="4"/>
        <v>8.2710467948526887</v>
      </c>
      <c r="J54" s="165">
        <f>Surfaces!A25</f>
        <v>9662635.71875</v>
      </c>
      <c r="K54" s="109">
        <f t="shared" si="8"/>
        <v>0.85598247058025978</v>
      </c>
      <c r="L54" s="163">
        <f t="shared" si="5"/>
        <v>0</v>
      </c>
      <c r="M54" s="109">
        <f>(E54*'Global-Swiss Carbon Budgets'!$B$50)/(100%-'Global-Swiss Carbon Budgets'!$B$51)</f>
        <v>1.9642490672285977</v>
      </c>
      <c r="N54" s="120">
        <f t="shared" si="9"/>
        <v>1.094715527939613</v>
      </c>
      <c r="O54" s="109">
        <f t="shared" si="10"/>
        <v>0.86953353928898469</v>
      </c>
      <c r="P54" s="120">
        <f>(N54*1000000000)/Surfaces!U25</f>
        <v>171.65708602664441</v>
      </c>
      <c r="Q54" s="109">
        <f>(O54*1000000000)/Surfaces!V25</f>
        <v>75.787475852757211</v>
      </c>
      <c r="R54" s="120">
        <f t="shared" si="11"/>
        <v>201.94951297252283</v>
      </c>
      <c r="S54" s="109">
        <f t="shared" si="12"/>
        <v>89.161736297361429</v>
      </c>
      <c r="T54" s="63">
        <f t="shared" si="13"/>
        <v>3.3658252162087137</v>
      </c>
      <c r="U54" s="200">
        <f t="shared" si="14"/>
        <v>1.4860289382893572</v>
      </c>
      <c r="W54">
        <v>2037</v>
      </c>
      <c r="X54" s="120">
        <f t="shared" si="15"/>
        <v>0</v>
      </c>
      <c r="Y54" s="175">
        <f>(X54*1000000000)/Surfaces!C25</f>
        <v>0</v>
      </c>
      <c r="Z54" s="175">
        <f t="shared" si="16"/>
        <v>0</v>
      </c>
      <c r="AA54" s="175">
        <f t="shared" si="17"/>
        <v>0</v>
      </c>
      <c r="AB54" s="200">
        <f t="shared" si="18"/>
        <v>0</v>
      </c>
      <c r="AC54" s="120">
        <f t="shared" si="19"/>
        <v>0</v>
      </c>
      <c r="AD54" s="175">
        <f>(AC54*1000000000)/Surfaces!N25</f>
        <v>0</v>
      </c>
      <c r="AE54" s="175">
        <f t="shared" si="20"/>
        <v>0</v>
      </c>
      <c r="AF54" s="175">
        <f t="shared" si="21"/>
        <v>0</v>
      </c>
      <c r="AG54" s="200">
        <f t="shared" si="22"/>
        <v>0</v>
      </c>
      <c r="AJ54">
        <f t="shared" si="23"/>
        <v>127.02624365971685</v>
      </c>
      <c r="AK54">
        <f t="shared" si="24"/>
        <v>56.082732131040338</v>
      </c>
    </row>
    <row r="55" spans="1:37" ht="15" x14ac:dyDescent="0.35">
      <c r="A55">
        <v>19</v>
      </c>
      <c r="B55">
        <v>2038</v>
      </c>
      <c r="C55" s="63">
        <v>0</v>
      </c>
      <c r="D55" s="175">
        <f t="shared" si="7"/>
        <v>1.4239737122976897</v>
      </c>
      <c r="E55" s="175">
        <f t="shared" si="2"/>
        <v>2.8695927107278014</v>
      </c>
      <c r="F55" s="200">
        <f t="shared" si="3"/>
        <v>3.8413250889202395</v>
      </c>
      <c r="G55" s="2"/>
      <c r="H55" s="103">
        <v>-1.1771687971106104</v>
      </c>
      <c r="I55" s="163">
        <f t="shared" si="4"/>
        <v>6.9577227148351213</v>
      </c>
      <c r="J55" s="165">
        <f>Surfaces!A26</f>
        <v>9722479.125</v>
      </c>
      <c r="K55" s="109">
        <f t="shared" si="8"/>
        <v>0.71563256916070994</v>
      </c>
      <c r="L55" s="163">
        <f t="shared" si="5"/>
        <v>0</v>
      </c>
      <c r="M55" s="109">
        <f>(E55*'Global-Swiss Carbon Budgets'!$B$50)/(100%-'Global-Swiss Carbon Budgets'!$B$51)</f>
        <v>1.8295015812167159</v>
      </c>
      <c r="N55" s="120">
        <f t="shared" si="9"/>
        <v>1.0196180427229555</v>
      </c>
      <c r="O55" s="109">
        <f t="shared" si="10"/>
        <v>0.80988353849376027</v>
      </c>
      <c r="P55" s="120">
        <f>(N55*1000000000)/Surfaces!U26</f>
        <v>158.89731440359441</v>
      </c>
      <c r="Q55" s="109">
        <f>(O55*1000000000)/Surfaces!V26</f>
        <v>68.627664592334213</v>
      </c>
      <c r="R55" s="120">
        <f t="shared" si="11"/>
        <v>186.9380169454052</v>
      </c>
      <c r="S55" s="109">
        <f t="shared" si="12"/>
        <v>80.738428932157902</v>
      </c>
      <c r="T55" s="63">
        <f t="shared" si="13"/>
        <v>3.1156336157567535</v>
      </c>
      <c r="U55" s="200">
        <f t="shared" si="14"/>
        <v>1.3456404822026318</v>
      </c>
      <c r="W55">
        <v>2038</v>
      </c>
      <c r="X55" s="120">
        <f t="shared" si="15"/>
        <v>0</v>
      </c>
      <c r="Y55" s="175">
        <f>(X55*1000000000)/Surfaces!C26</f>
        <v>0</v>
      </c>
      <c r="Z55" s="175">
        <f t="shared" si="16"/>
        <v>0</v>
      </c>
      <c r="AA55" s="175">
        <f t="shared" si="17"/>
        <v>0</v>
      </c>
      <c r="AB55" s="200">
        <f t="shared" si="18"/>
        <v>0</v>
      </c>
      <c r="AC55" s="120">
        <f t="shared" si="19"/>
        <v>0</v>
      </c>
      <c r="AD55" s="175">
        <f>(AC55*1000000000)/Surfaces!N26</f>
        <v>0</v>
      </c>
      <c r="AE55" s="175">
        <f t="shared" si="20"/>
        <v>0</v>
      </c>
      <c r="AF55" s="175">
        <f t="shared" si="21"/>
        <v>0</v>
      </c>
      <c r="AG55" s="200">
        <f t="shared" si="22"/>
        <v>0</v>
      </c>
      <c r="AJ55">
        <f t="shared" si="23"/>
        <v>117.58401265865986</v>
      </c>
      <c r="AK55">
        <f t="shared" si="24"/>
        <v>50.784471798327317</v>
      </c>
    </row>
    <row r="56" spans="1:37" ht="15" x14ac:dyDescent="0.35">
      <c r="A56">
        <v>20</v>
      </c>
      <c r="B56">
        <v>2039</v>
      </c>
      <c r="C56" s="63">
        <v>0</v>
      </c>
      <c r="D56" s="175">
        <f t="shared" si="7"/>
        <v>0.71299463109243755</v>
      </c>
      <c r="E56" s="175">
        <f t="shared" si="2"/>
        <v>2.6727386507718744</v>
      </c>
      <c r="F56" s="200">
        <f t="shared" si="3"/>
        <v>3.6749957125699932</v>
      </c>
      <c r="G56" s="2"/>
      <c r="H56" s="103">
        <v>-1.6939520579252529</v>
      </c>
      <c r="I56" s="163">
        <f t="shared" si="4"/>
        <v>5.3667769365090514</v>
      </c>
      <c r="J56" s="165">
        <f>Surfaces!A27</f>
        <v>9782322.53125</v>
      </c>
      <c r="K56" s="109">
        <f t="shared" si="8"/>
        <v>0.54861991304873448</v>
      </c>
      <c r="L56" s="163">
        <f t="shared" si="5"/>
        <v>0</v>
      </c>
      <c r="M56" s="109">
        <f>(E56*'Global-Swiss Carbon Budgets'!$B$50)/(100%-'Global-Swiss Carbon Budgets'!$B$51)</f>
        <v>1.7039977727452491</v>
      </c>
      <c r="N56" s="120">
        <f t="shared" si="9"/>
        <v>0.94967224499216074</v>
      </c>
      <c r="O56" s="109">
        <f t="shared" si="10"/>
        <v>0.75432552775308837</v>
      </c>
      <c r="P56" s="120">
        <f>(N56*1000000000)/Surfaces!U27</f>
        <v>147.09158651236467</v>
      </c>
      <c r="Q56" s="109">
        <f>(O56*1000000000)/Surfaces!V27</f>
        <v>62.19224445531902</v>
      </c>
      <c r="R56" s="120">
        <f t="shared" si="11"/>
        <v>173.04892530866434</v>
      </c>
      <c r="S56" s="109">
        <f t="shared" si="12"/>
        <v>73.167346418022376</v>
      </c>
      <c r="T56" s="63">
        <f t="shared" si="13"/>
        <v>2.8841487551444058</v>
      </c>
      <c r="U56" s="200">
        <f t="shared" si="14"/>
        <v>1.2194557736337062</v>
      </c>
      <c r="W56">
        <v>2039</v>
      </c>
      <c r="X56" s="120">
        <f t="shared" si="15"/>
        <v>0</v>
      </c>
      <c r="Y56" s="175">
        <f>(X56*1000000000)/Surfaces!C27</f>
        <v>0</v>
      </c>
      <c r="Z56" s="175">
        <f t="shared" si="16"/>
        <v>0</v>
      </c>
      <c r="AA56" s="175">
        <f t="shared" si="17"/>
        <v>0</v>
      </c>
      <c r="AB56" s="200">
        <f t="shared" si="18"/>
        <v>0</v>
      </c>
      <c r="AC56" s="120">
        <f t="shared" si="19"/>
        <v>0</v>
      </c>
      <c r="AD56" s="175">
        <f>(AC56*1000000000)/Surfaces!N27</f>
        <v>0</v>
      </c>
      <c r="AE56" s="175">
        <f t="shared" si="20"/>
        <v>0</v>
      </c>
      <c r="AF56" s="175">
        <f t="shared" si="21"/>
        <v>0</v>
      </c>
      <c r="AG56" s="200">
        <f t="shared" si="22"/>
        <v>0</v>
      </c>
      <c r="AJ56">
        <f t="shared" si="23"/>
        <v>108.84777401914985</v>
      </c>
      <c r="AK56">
        <f t="shared" si="24"/>
        <v>46.022260896936075</v>
      </c>
    </row>
    <row r="57" spans="1:37" ht="15" x14ac:dyDescent="0.35">
      <c r="A57" s="10">
        <v>21</v>
      </c>
      <c r="B57">
        <v>2040</v>
      </c>
      <c r="C57" s="63">
        <v>0</v>
      </c>
      <c r="D57" s="175">
        <f t="shared" si="7"/>
        <v>2.0155498871854416E-3</v>
      </c>
      <c r="E57" s="175">
        <f t="shared" si="2"/>
        <v>2.489388779328924</v>
      </c>
      <c r="F57" s="200">
        <f t="shared" si="3"/>
        <v>3.5158683982157126</v>
      </c>
      <c r="G57" s="197"/>
      <c r="H57" s="103">
        <v>-1.690448871227062</v>
      </c>
      <c r="I57" s="163">
        <f t="shared" si="4"/>
        <v>4.3168238562047598</v>
      </c>
      <c r="J57" s="165">
        <f>Surfaces!A28</f>
        <v>9842165.9375</v>
      </c>
      <c r="K57" s="109">
        <f t="shared" si="8"/>
        <v>0.43860506758548645</v>
      </c>
      <c r="L57" s="163">
        <f t="shared" si="5"/>
        <v>0</v>
      </c>
      <c r="M57" s="109">
        <f>(E57*'Global-Swiss Carbon Budgets'!$B$50)/(100%-'Global-Swiss Carbon Budgets'!$B$51)</f>
        <v>1.5871035255349253</v>
      </c>
      <c r="N57" s="120">
        <f t="shared" si="9"/>
        <v>0.88452472898569856</v>
      </c>
      <c r="O57" s="109">
        <f t="shared" si="10"/>
        <v>0.70257879654922661</v>
      </c>
      <c r="P57" s="120">
        <f>(N57*1000000000)/Surfaces!U28</f>
        <v>136.16809468791431</v>
      </c>
      <c r="Q57" s="109">
        <f>(O57*1000000000)/Surfaces!V28</f>
        <v>56.401491841324038</v>
      </c>
      <c r="R57" s="120">
        <f t="shared" si="11"/>
        <v>160.19775845636977</v>
      </c>
      <c r="S57" s="109">
        <f t="shared" si="12"/>
        <v>66.354696283910641</v>
      </c>
      <c r="T57" s="63">
        <f t="shared" si="13"/>
        <v>2.6699626409394961</v>
      </c>
      <c r="U57" s="200">
        <f t="shared" si="14"/>
        <v>1.105911604731844</v>
      </c>
      <c r="W57">
        <v>2040</v>
      </c>
      <c r="X57" s="120">
        <f t="shared" si="15"/>
        <v>0</v>
      </c>
      <c r="Y57" s="175">
        <f>(X57*1000000000)/Surfaces!C28</f>
        <v>0</v>
      </c>
      <c r="Z57" s="175">
        <f t="shared" si="16"/>
        <v>0</v>
      </c>
      <c r="AA57" s="175">
        <f t="shared" si="17"/>
        <v>0</v>
      </c>
      <c r="AB57" s="200">
        <f t="shared" si="18"/>
        <v>0</v>
      </c>
      <c r="AC57" s="120">
        <f t="shared" si="19"/>
        <v>0</v>
      </c>
      <c r="AD57" s="175">
        <f>(AC57*1000000000)/Surfaces!N28</f>
        <v>0</v>
      </c>
      <c r="AE57" s="175">
        <f t="shared" si="20"/>
        <v>0</v>
      </c>
      <c r="AF57" s="175">
        <f t="shared" si="21"/>
        <v>0</v>
      </c>
      <c r="AG57" s="200">
        <f t="shared" si="22"/>
        <v>0</v>
      </c>
      <c r="AJ57">
        <f t="shared" si="23"/>
        <v>100.76439006905659</v>
      </c>
      <c r="AK57">
        <f t="shared" si="24"/>
        <v>41.737103962579788</v>
      </c>
    </row>
    <row r="58" spans="1:37" ht="15" x14ac:dyDescent="0.35">
      <c r="A58">
        <v>22</v>
      </c>
      <c r="B58">
        <v>2041</v>
      </c>
      <c r="C58" s="63">
        <v>0</v>
      </c>
      <c r="D58" s="175">
        <v>0</v>
      </c>
      <c r="E58" s="175">
        <f t="shared" si="2"/>
        <v>2.3186167090669598</v>
      </c>
      <c r="F58" s="200">
        <f t="shared" si="3"/>
        <v>3.3636312965729718</v>
      </c>
      <c r="G58" s="94">
        <v>-0.31832701387902151</v>
      </c>
      <c r="H58" s="103">
        <v>-1.7909355689339197</v>
      </c>
      <c r="I58" s="163">
        <f t="shared" si="4"/>
        <v>3.5729854228269904</v>
      </c>
      <c r="J58" s="165">
        <f>Surfaces!A29</f>
        <v>9902009.34375</v>
      </c>
      <c r="K58" s="109">
        <f t="shared" si="8"/>
        <v>0.36083438207238266</v>
      </c>
      <c r="L58" s="163">
        <f t="shared" si="5"/>
        <v>0</v>
      </c>
      <c r="M58" s="109">
        <f>(E58*'Global-Swiss Carbon Budgets'!$B$50)/(100%-'Global-Swiss Carbon Budgets'!$B$51)</f>
        <v>1.4782282236832294</v>
      </c>
      <c r="N58" s="120">
        <f t="shared" si="9"/>
        <v>0.82384633257727968</v>
      </c>
      <c r="O58" s="109">
        <f t="shared" si="10"/>
        <v>0.65438189110594958</v>
      </c>
      <c r="P58" s="120">
        <f>(N58*1000000000)/Surfaces!U29</f>
        <v>126.06047679043671</v>
      </c>
      <c r="Q58" s="109">
        <f>(O58*1000000000)/Surfaces!V29</f>
        <v>51.185366180470496</v>
      </c>
      <c r="R58" s="120">
        <f t="shared" si="11"/>
        <v>148.30644328286672</v>
      </c>
      <c r="S58" s="109">
        <f t="shared" si="12"/>
        <v>60.218077859377054</v>
      </c>
      <c r="T58" s="63">
        <f t="shared" si="13"/>
        <v>2.4717740547144453</v>
      </c>
      <c r="U58" s="200">
        <f t="shared" si="14"/>
        <v>1.0036346309896176</v>
      </c>
      <c r="W58">
        <v>2041</v>
      </c>
      <c r="X58" s="120">
        <f t="shared" si="15"/>
        <v>0</v>
      </c>
      <c r="Y58" s="175">
        <f>(X58*1000000000)/Surfaces!C29</f>
        <v>0</v>
      </c>
      <c r="Z58" s="175">
        <f t="shared" si="16"/>
        <v>0</v>
      </c>
      <c r="AA58" s="175">
        <f t="shared" si="17"/>
        <v>0</v>
      </c>
      <c r="AB58" s="200">
        <f t="shared" si="18"/>
        <v>0</v>
      </c>
      <c r="AC58" s="120">
        <f t="shared" si="19"/>
        <v>0</v>
      </c>
      <c r="AD58" s="175">
        <f>(AC58*1000000000)/Surfaces!N29</f>
        <v>0</v>
      </c>
      <c r="AE58" s="175">
        <f t="shared" si="20"/>
        <v>0</v>
      </c>
      <c r="AF58" s="175">
        <f t="shared" si="21"/>
        <v>0</v>
      </c>
      <c r="AG58" s="200">
        <f t="shared" si="22"/>
        <v>0</v>
      </c>
      <c r="AJ58">
        <f t="shared" si="23"/>
        <v>93.28475282492316</v>
      </c>
      <c r="AK58">
        <f t="shared" si="24"/>
        <v>37.877170973548168</v>
      </c>
    </row>
    <row r="59" spans="1:37" ht="15" x14ac:dyDescent="0.35">
      <c r="A59">
        <v>23</v>
      </c>
      <c r="B59">
        <v>2042</v>
      </c>
      <c r="C59" s="63">
        <v>0</v>
      </c>
      <c r="D59" s="175">
        <v>0</v>
      </c>
      <c r="E59" s="175">
        <f t="shared" si="2"/>
        <v>2.1595596028249666</v>
      </c>
      <c r="F59" s="200">
        <f t="shared" si="3"/>
        <v>3.2179860614313625</v>
      </c>
      <c r="G59" s="94">
        <v>-0.4396442158120889</v>
      </c>
      <c r="H59" s="103">
        <v>-2.9972014866588004</v>
      </c>
      <c r="I59" s="163">
        <f t="shared" si="4"/>
        <v>1.9406999617854401</v>
      </c>
      <c r="J59" s="165">
        <f>Surfaces!A30</f>
        <v>9961852.75</v>
      </c>
      <c r="K59" s="109">
        <f t="shared" si="8"/>
        <v>0.19481315479045203</v>
      </c>
      <c r="L59" s="163">
        <f t="shared" si="5"/>
        <v>0</v>
      </c>
      <c r="M59" s="109">
        <f>(E59*'Global-Swiss Carbon Budgets'!$B$50)/(100%-'Global-Swiss Carbon Budgets'!$B$51)</f>
        <v>1.3768217675385601</v>
      </c>
      <c r="N59" s="120">
        <f t="shared" si="9"/>
        <v>0.76733047416247846</v>
      </c>
      <c r="O59" s="109">
        <f t="shared" si="10"/>
        <v>0.60949129337608166</v>
      </c>
      <c r="P59" s="120">
        <f>(N59*1000000000)/Surfaces!U30</f>
        <v>116.7073996902042</v>
      </c>
      <c r="Q59" s="109">
        <f>(O59*1000000000)/Surfaces!V30</f>
        <v>46.482198808977984</v>
      </c>
      <c r="R59" s="120">
        <f t="shared" si="11"/>
        <v>137.30282316494612</v>
      </c>
      <c r="S59" s="109">
        <f t="shared" si="12"/>
        <v>54.684939775268219</v>
      </c>
      <c r="T59" s="63">
        <f t="shared" si="13"/>
        <v>2.2883803860824354</v>
      </c>
      <c r="U59" s="200">
        <f t="shared" si="14"/>
        <v>0.91141566292113696</v>
      </c>
      <c r="W59">
        <v>2042</v>
      </c>
      <c r="X59" s="120">
        <f t="shared" si="15"/>
        <v>0</v>
      </c>
      <c r="Y59" s="175">
        <f>(X59*1000000000)/Surfaces!C30</f>
        <v>0</v>
      </c>
      <c r="Z59" s="175">
        <f t="shared" si="16"/>
        <v>0</v>
      </c>
      <c r="AA59" s="175">
        <f t="shared" si="17"/>
        <v>0</v>
      </c>
      <c r="AB59" s="200">
        <f t="shared" si="18"/>
        <v>0</v>
      </c>
      <c r="AC59" s="120">
        <f t="shared" si="19"/>
        <v>0</v>
      </c>
      <c r="AD59" s="175">
        <f>(AC59*1000000000)/Surfaces!N30</f>
        <v>0</v>
      </c>
      <c r="AE59" s="175">
        <f t="shared" si="20"/>
        <v>0</v>
      </c>
      <c r="AF59" s="175">
        <f t="shared" si="21"/>
        <v>0</v>
      </c>
      <c r="AG59" s="200">
        <f t="shared" si="22"/>
        <v>0</v>
      </c>
      <c r="AJ59">
        <f t="shared" si="23"/>
        <v>86.363475770751108</v>
      </c>
      <c r="AK59">
        <f t="shared" si="24"/>
        <v>34.396827118643706</v>
      </c>
    </row>
    <row r="60" spans="1:37" ht="15" x14ac:dyDescent="0.35">
      <c r="A60">
        <v>24</v>
      </c>
      <c r="B60">
        <v>2043</v>
      </c>
      <c r="C60" s="63">
        <v>0</v>
      </c>
      <c r="D60" s="175">
        <v>0</v>
      </c>
      <c r="E60" s="175">
        <f t="shared" si="2"/>
        <v>2.0114138140711737</v>
      </c>
      <c r="F60" s="200">
        <f t="shared" si="3"/>
        <v>3.0786472649713845</v>
      </c>
      <c r="G60" s="94">
        <v>-0.64057787712155057</v>
      </c>
      <c r="H60" s="103">
        <v>-3.0459184021249515</v>
      </c>
      <c r="I60" s="163">
        <f t="shared" si="4"/>
        <v>1.4035647997960559</v>
      </c>
      <c r="J60" s="165">
        <f>Surfaces!A31</f>
        <v>10021696.15625</v>
      </c>
      <c r="K60" s="109">
        <f t="shared" si="8"/>
        <v>0.14005261962773904</v>
      </c>
      <c r="L60" s="163">
        <f t="shared" si="5"/>
        <v>0</v>
      </c>
      <c r="M60" s="109">
        <f>(E60*'Global-Swiss Carbon Budgets'!$B$50)/(100%-'Global-Swiss Carbon Budgets'!$B$51)</f>
        <v>1.2823717942854145</v>
      </c>
      <c r="N60" s="120">
        <f t="shared" si="9"/>
        <v>0.71469160363493223</v>
      </c>
      <c r="O60" s="109">
        <f t="shared" si="10"/>
        <v>0.56768019065048225</v>
      </c>
      <c r="P60" s="120">
        <f>(N60*1000000000)/Surfaces!U31</f>
        <v>108.05217492432233</v>
      </c>
      <c r="Q60" s="109">
        <f>(O60*1000000000)/Surfaces!V31</f>
        <v>42.237580459202029</v>
      </c>
      <c r="R60" s="120">
        <f t="shared" si="11"/>
        <v>127.12020579332039</v>
      </c>
      <c r="S60" s="109">
        <f t="shared" si="12"/>
        <v>49.691271128472977</v>
      </c>
      <c r="T60" s="63">
        <f t="shared" si="13"/>
        <v>2.11867009655534</v>
      </c>
      <c r="U60" s="200">
        <f t="shared" si="14"/>
        <v>0.82818785214121626</v>
      </c>
      <c r="W60">
        <v>2043</v>
      </c>
      <c r="X60" s="120">
        <f t="shared" si="15"/>
        <v>0</v>
      </c>
      <c r="Y60" s="175">
        <f>(X60*1000000000)/Surfaces!C31</f>
        <v>0</v>
      </c>
      <c r="Z60" s="175">
        <f t="shared" si="16"/>
        <v>0</v>
      </c>
      <c r="AA60" s="175">
        <f t="shared" si="17"/>
        <v>0</v>
      </c>
      <c r="AB60" s="200">
        <f t="shared" si="18"/>
        <v>0</v>
      </c>
      <c r="AC60" s="120">
        <f t="shared" si="19"/>
        <v>0</v>
      </c>
      <c r="AD60" s="175">
        <f>(AC60*1000000000)/Surfaces!N31</f>
        <v>0</v>
      </c>
      <c r="AE60" s="175">
        <f t="shared" si="20"/>
        <v>0</v>
      </c>
      <c r="AF60" s="175">
        <f t="shared" si="21"/>
        <v>0</v>
      </c>
      <c r="AG60" s="200">
        <f t="shared" si="22"/>
        <v>0</v>
      </c>
      <c r="AJ60">
        <f t="shared" si="23"/>
        <v>79.958609443998526</v>
      </c>
      <c r="AK60">
        <f t="shared" si="24"/>
        <v>31.255809539809501</v>
      </c>
    </row>
    <row r="61" spans="1:37" ht="15" x14ac:dyDescent="0.35">
      <c r="A61">
        <v>25</v>
      </c>
      <c r="B61">
        <v>2044</v>
      </c>
      <c r="C61" s="63">
        <v>0</v>
      </c>
      <c r="D61" s="175">
        <v>0</v>
      </c>
      <c r="E61" s="175">
        <f t="shared" si="2"/>
        <v>1.8734308264258916</v>
      </c>
      <c r="F61" s="200">
        <f t="shared" si="3"/>
        <v>2.9453418383981238</v>
      </c>
      <c r="G61" s="94">
        <v>-0.88112926603228781</v>
      </c>
      <c r="H61" s="103">
        <v>-3.9976715418858024</v>
      </c>
      <c r="I61" s="163">
        <f t="shared" si="4"/>
        <v>-6.0028143094074338E-2</v>
      </c>
      <c r="J61" s="165">
        <f>Surfaces!A32</f>
        <v>10081539.5625</v>
      </c>
      <c r="K61" s="109">
        <f t="shared" si="8"/>
        <v>-5.9542635052843729E-3</v>
      </c>
      <c r="L61" s="163">
        <f t="shared" si="5"/>
        <v>0</v>
      </c>
      <c r="M61" s="109">
        <f>(E61*'Global-Swiss Carbon Budgets'!$B$50)/(100%-'Global-Swiss Carbon Budgets'!$B$51)</f>
        <v>1.1944010891974355</v>
      </c>
      <c r="N61" s="120">
        <f t="shared" si="9"/>
        <v>0.66566375962557611</v>
      </c>
      <c r="O61" s="109">
        <f t="shared" si="10"/>
        <v>0.52873732957185937</v>
      </c>
      <c r="P61" s="120">
        <f>(N61*1000000000)/Surfaces!U32</f>
        <v>100.04240401235302</v>
      </c>
      <c r="Q61" s="109">
        <f>(O61*1000000000)/Surfaces!V32</f>
        <v>38.403413810184098</v>
      </c>
      <c r="R61" s="120">
        <f t="shared" si="11"/>
        <v>117.69694589688591</v>
      </c>
      <c r="S61" s="109">
        <f t="shared" si="12"/>
        <v>45.180486835510706</v>
      </c>
      <c r="T61" s="63">
        <f t="shared" si="13"/>
        <v>1.9616157649480985</v>
      </c>
      <c r="U61" s="200">
        <f t="shared" si="14"/>
        <v>0.75300811392517841</v>
      </c>
      <c r="W61">
        <v>2044</v>
      </c>
      <c r="X61" s="120">
        <f t="shared" si="15"/>
        <v>0</v>
      </c>
      <c r="Y61" s="175">
        <f>(X61*1000000000)/Surfaces!C32</f>
        <v>0</v>
      </c>
      <c r="Z61" s="175">
        <f t="shared" si="16"/>
        <v>0</v>
      </c>
      <c r="AA61" s="175">
        <f t="shared" si="17"/>
        <v>0</v>
      </c>
      <c r="AB61" s="200">
        <f t="shared" si="18"/>
        <v>0</v>
      </c>
      <c r="AC61" s="120">
        <f t="shared" si="19"/>
        <v>0</v>
      </c>
      <c r="AD61" s="175">
        <f>(AC61*1000000000)/Surfaces!N32</f>
        <v>0</v>
      </c>
      <c r="AE61" s="175">
        <f t="shared" si="20"/>
        <v>0</v>
      </c>
      <c r="AF61" s="175">
        <f t="shared" si="21"/>
        <v>0</v>
      </c>
      <c r="AG61" s="200">
        <f t="shared" si="22"/>
        <v>0</v>
      </c>
      <c r="AJ61">
        <f t="shared" si="23"/>
        <v>74.03137896914123</v>
      </c>
      <c r="AK61">
        <f t="shared" si="24"/>
        <v>28.418526219536233</v>
      </c>
    </row>
    <row r="62" spans="1:37" ht="15" x14ac:dyDescent="0.35">
      <c r="A62" s="10">
        <v>26</v>
      </c>
      <c r="B62">
        <v>2045</v>
      </c>
      <c r="C62" s="63">
        <v>0</v>
      </c>
      <c r="D62" s="175">
        <v>0</v>
      </c>
      <c r="E62" s="175">
        <f t="shared" si="2"/>
        <v>1.7449134717330752</v>
      </c>
      <c r="F62" s="200">
        <f t="shared" si="3"/>
        <v>2.8178085367954844</v>
      </c>
      <c r="G62" s="94">
        <v>-1.1656210414801247</v>
      </c>
      <c r="H62" s="103">
        <v>-4.7762628676116528</v>
      </c>
      <c r="I62" s="163">
        <f t="shared" si="4"/>
        <v>-1.3791619005632176</v>
      </c>
      <c r="J62" s="165">
        <f>Surfaces!A33</f>
        <v>10141382.96875</v>
      </c>
      <c r="K62" s="109">
        <f t="shared" si="8"/>
        <v>-0.13599347394857425</v>
      </c>
      <c r="L62" s="163">
        <f t="shared" si="5"/>
        <v>0</v>
      </c>
      <c r="M62" s="109">
        <f>(E62*'Global-Swiss Carbon Budgets'!$B$50)/(100%-'Global-Swiss Carbon Budgets'!$B$51)</f>
        <v>1.1124651744784912</v>
      </c>
      <c r="N62" s="120">
        <f t="shared" si="9"/>
        <v>0.61999922571526145</v>
      </c>
      <c r="O62" s="109">
        <f t="shared" si="10"/>
        <v>0.49246594876322969</v>
      </c>
      <c r="P62" s="120">
        <f>(N62*1000000000)/Surfaces!U33</f>
        <v>92.629651116610162</v>
      </c>
      <c r="Q62" s="109">
        <f>(O62*1000000000)/Surfaces!V33</f>
        <v>34.937103817623935</v>
      </c>
      <c r="R62" s="120">
        <f t="shared" si="11"/>
        <v>108.97606013718843</v>
      </c>
      <c r="S62" s="109">
        <f t="shared" si="12"/>
        <v>41.102475079557571</v>
      </c>
      <c r="T62" s="63">
        <f t="shared" si="13"/>
        <v>1.8162676689531405</v>
      </c>
      <c r="U62" s="200">
        <f t="shared" si="14"/>
        <v>0.6850412513259595</v>
      </c>
      <c r="W62">
        <v>2045</v>
      </c>
      <c r="X62" s="120">
        <f t="shared" si="15"/>
        <v>0</v>
      </c>
      <c r="Y62" s="175">
        <f>(X62*1000000000)/Surfaces!C33</f>
        <v>0</v>
      </c>
      <c r="Z62" s="175">
        <f t="shared" si="16"/>
        <v>0</v>
      </c>
      <c r="AA62" s="175">
        <f t="shared" si="17"/>
        <v>0</v>
      </c>
      <c r="AB62" s="200">
        <f t="shared" si="18"/>
        <v>0</v>
      </c>
      <c r="AC62" s="120">
        <f t="shared" si="19"/>
        <v>0</v>
      </c>
      <c r="AD62" s="175">
        <f>(AC62*1000000000)/Surfaces!N33</f>
        <v>0</v>
      </c>
      <c r="AE62" s="175">
        <f t="shared" si="20"/>
        <v>0</v>
      </c>
      <c r="AF62" s="175">
        <f t="shared" si="21"/>
        <v>0</v>
      </c>
      <c r="AG62" s="200">
        <f t="shared" si="22"/>
        <v>0</v>
      </c>
      <c r="AJ62">
        <f t="shared" si="23"/>
        <v>68.545941826291525</v>
      </c>
      <c r="AK62">
        <f t="shared" si="24"/>
        <v>25.853456825041711</v>
      </c>
    </row>
    <row r="63" spans="1:37" ht="15" x14ac:dyDescent="0.35">
      <c r="A63">
        <v>27</v>
      </c>
      <c r="B63">
        <v>2046</v>
      </c>
      <c r="C63" s="63">
        <v>0</v>
      </c>
      <c r="D63" s="175">
        <v>0</v>
      </c>
      <c r="E63" s="175">
        <f t="shared" si="2"/>
        <v>1.6252124075721863</v>
      </c>
      <c r="F63" s="200">
        <f t="shared" si="3"/>
        <v>2.69579742715224</v>
      </c>
      <c r="G63" s="94">
        <v>-1.4998490543714387</v>
      </c>
      <c r="H63" s="103">
        <v>-5.1014936056855547</v>
      </c>
      <c r="I63" s="163">
        <f t="shared" si="4"/>
        <v>-2.2803328253325663</v>
      </c>
      <c r="J63" s="165">
        <f>Surfaces!A34</f>
        <v>10201226.375</v>
      </c>
      <c r="K63" s="109">
        <f t="shared" si="8"/>
        <v>-0.2235351654307903</v>
      </c>
      <c r="L63" s="163">
        <f t="shared" si="5"/>
        <v>0</v>
      </c>
      <c r="M63" s="109">
        <f>(E63*'Global-Swiss Carbon Budgets'!$B$50)/(100%-'Global-Swiss Carbon Budgets'!$B$51)</f>
        <v>1.0361500635092666</v>
      </c>
      <c r="N63" s="120">
        <f t="shared" si="9"/>
        <v>0.57746727883119442</v>
      </c>
      <c r="O63" s="109">
        <f t="shared" si="10"/>
        <v>0.45868278467807211</v>
      </c>
      <c r="P63" s="120">
        <f>(N63*1000000000)/Surfaces!U34</f>
        <v>85.769140915815299</v>
      </c>
      <c r="Q63" s="109">
        <f>(O63*1000000000)/Surfaces!V34</f>
        <v>31.800863529922776</v>
      </c>
      <c r="R63" s="120">
        <f t="shared" si="11"/>
        <v>100.90487166566506</v>
      </c>
      <c r="S63" s="109">
        <f t="shared" si="12"/>
        <v>37.412780623438557</v>
      </c>
      <c r="T63" s="63">
        <f t="shared" si="13"/>
        <v>1.6817478610944177</v>
      </c>
      <c r="U63" s="200">
        <f t="shared" si="14"/>
        <v>0.62354634372397599</v>
      </c>
      <c r="W63">
        <v>2046</v>
      </c>
      <c r="X63" s="120">
        <f t="shared" si="15"/>
        <v>0</v>
      </c>
      <c r="Y63" s="175">
        <f>(X63*1000000000)/Surfaces!C34</f>
        <v>0</v>
      </c>
      <c r="Z63" s="175">
        <f t="shared" si="16"/>
        <v>0</v>
      </c>
      <c r="AA63" s="175">
        <f t="shared" si="17"/>
        <v>0</v>
      </c>
      <c r="AB63" s="200">
        <f t="shared" si="18"/>
        <v>0</v>
      </c>
      <c r="AC63" s="120">
        <f t="shared" si="19"/>
        <v>0</v>
      </c>
      <c r="AD63" s="175">
        <f>(AC63*1000000000)/Surfaces!N34</f>
        <v>0</v>
      </c>
      <c r="AE63" s="175">
        <f t="shared" si="20"/>
        <v>0</v>
      </c>
      <c r="AF63" s="175">
        <f t="shared" si="21"/>
        <v>0</v>
      </c>
      <c r="AG63" s="200">
        <f t="shared" si="22"/>
        <v>0</v>
      </c>
      <c r="AJ63">
        <f t="shared" si="23"/>
        <v>63.469164277703321</v>
      </c>
      <c r="AK63">
        <f t="shared" si="24"/>
        <v>23.532639012142855</v>
      </c>
    </row>
    <row r="64" spans="1:37" ht="15" x14ac:dyDescent="0.35">
      <c r="A64">
        <v>28</v>
      </c>
      <c r="B64">
        <v>2047</v>
      </c>
      <c r="C64" s="63">
        <v>0</v>
      </c>
      <c r="D64" s="175">
        <v>0</v>
      </c>
      <c r="E64" s="175">
        <f t="shared" si="2"/>
        <v>1.5137228364127344</v>
      </c>
      <c r="F64" s="200">
        <f t="shared" si="3"/>
        <v>2.5790693985565478</v>
      </c>
      <c r="G64" s="94">
        <v>-2.0527828991623536</v>
      </c>
      <c r="H64" s="103">
        <v>-5.0926550804488215</v>
      </c>
      <c r="I64" s="163">
        <f t="shared" si="4"/>
        <v>-3.0526457446418931</v>
      </c>
      <c r="J64" s="165">
        <f>Surfaces!A35</f>
        <v>10261069.78125</v>
      </c>
      <c r="K64" s="109">
        <f t="shared" si="8"/>
        <v>-0.29749780575705437</v>
      </c>
      <c r="L64" s="163">
        <f t="shared" si="5"/>
        <v>0</v>
      </c>
      <c r="M64" s="109">
        <f>(E64*'Global-Swiss Carbon Budgets'!$B$50)/(100%-'Global-Swiss Carbon Budgets'!$B$51)</f>
        <v>0.96507016915253119</v>
      </c>
      <c r="N64" s="120">
        <f t="shared" si="9"/>
        <v>0.53785302350337472</v>
      </c>
      <c r="O64" s="109">
        <f t="shared" si="10"/>
        <v>0.42721714564915647</v>
      </c>
      <c r="P64" s="120">
        <f>(N64*1000000000)/Surfaces!U35</f>
        <v>79.419479729011968</v>
      </c>
      <c r="Q64" s="109">
        <f>(O64*1000000000)/Surfaces!V35</f>
        <v>28.9611170852863</v>
      </c>
      <c r="R64" s="120">
        <f t="shared" si="11"/>
        <v>93.434682034131725</v>
      </c>
      <c r="S64" s="109">
        <f t="shared" si="12"/>
        <v>34.071902453278</v>
      </c>
      <c r="T64" s="63">
        <f t="shared" si="13"/>
        <v>1.5572447005688621</v>
      </c>
      <c r="U64" s="200">
        <f t="shared" si="14"/>
        <v>0.56786504088796663</v>
      </c>
      <c r="W64">
        <v>2047</v>
      </c>
      <c r="X64" s="120">
        <f t="shared" si="15"/>
        <v>0</v>
      </c>
      <c r="Y64" s="175">
        <f>(X64*1000000000)/Surfaces!C35</f>
        <v>0</v>
      </c>
      <c r="Z64" s="175">
        <f t="shared" si="16"/>
        <v>0</v>
      </c>
      <c r="AA64" s="175">
        <f t="shared" si="17"/>
        <v>0</v>
      </c>
      <c r="AB64" s="200">
        <f t="shared" si="18"/>
        <v>0</v>
      </c>
      <c r="AC64" s="120">
        <f t="shared" si="19"/>
        <v>0</v>
      </c>
      <c r="AD64" s="175">
        <f>(AC64*1000000000)/Surfaces!N35</f>
        <v>0</v>
      </c>
      <c r="AE64" s="175">
        <f t="shared" si="20"/>
        <v>0</v>
      </c>
      <c r="AF64" s="175">
        <f t="shared" si="21"/>
        <v>0</v>
      </c>
      <c r="AG64" s="200">
        <f t="shared" si="22"/>
        <v>0</v>
      </c>
      <c r="AJ64">
        <f t="shared" si="23"/>
        <v>58.770414999468855</v>
      </c>
      <c r="AK64">
        <f t="shared" si="24"/>
        <v>21.431226643111863</v>
      </c>
    </row>
    <row r="65" spans="1:37" ht="15" x14ac:dyDescent="0.35">
      <c r="A65">
        <v>29</v>
      </c>
      <c r="B65">
        <v>2048</v>
      </c>
      <c r="C65" s="63">
        <v>0</v>
      </c>
      <c r="D65" s="175">
        <v>0</v>
      </c>
      <c r="E65" s="175">
        <f t="shared" si="2"/>
        <v>1.4098814498348211</v>
      </c>
      <c r="F65" s="200">
        <f t="shared" si="3"/>
        <v>2.4673956935990495</v>
      </c>
      <c r="G65" s="94">
        <v>-2.7422775901023781</v>
      </c>
      <c r="H65" s="103">
        <v>-5.3034875138790749</v>
      </c>
      <c r="I65" s="163">
        <f t="shared" si="4"/>
        <v>-4.1684879605475817</v>
      </c>
      <c r="J65" s="165">
        <f>Surfaces!A36</f>
        <v>10320913.1875</v>
      </c>
      <c r="K65" s="109">
        <f t="shared" si="8"/>
        <v>-0.40388751313170385</v>
      </c>
      <c r="L65" s="163">
        <f t="shared" si="5"/>
        <v>0</v>
      </c>
      <c r="M65" s="109">
        <f>(E65*'Global-Swiss Carbon Budgets'!$B$50)/(100%-'Global-Swiss Carbon Budgets'!$B$51)</f>
        <v>0.89886635554866756</v>
      </c>
      <c r="N65" s="120">
        <f t="shared" si="9"/>
        <v>0.50095630609104314</v>
      </c>
      <c r="O65" s="109">
        <f t="shared" si="10"/>
        <v>0.39791004945762432</v>
      </c>
      <c r="P65" s="120">
        <f>(N65*1000000000)/Surfaces!U36</f>
        <v>73.542398081385883</v>
      </c>
      <c r="Q65" s="109">
        <f>(O65*1000000000)/Surfaces!V36</f>
        <v>26.387984791208794</v>
      </c>
      <c r="R65" s="120">
        <f t="shared" si="11"/>
        <v>86.520468331042224</v>
      </c>
      <c r="S65" s="109">
        <f t="shared" si="12"/>
        <v>31.044687989657405</v>
      </c>
      <c r="T65" s="63">
        <f t="shared" si="13"/>
        <v>1.4420078055173704</v>
      </c>
      <c r="U65" s="200">
        <f t="shared" si="14"/>
        <v>0.51741146649429004</v>
      </c>
      <c r="W65">
        <v>2048</v>
      </c>
      <c r="X65" s="120">
        <f t="shared" si="15"/>
        <v>0</v>
      </c>
      <c r="Y65" s="175">
        <f>(X65*1000000000)/Surfaces!C36</f>
        <v>0</v>
      </c>
      <c r="Z65" s="175">
        <f t="shared" si="16"/>
        <v>0</v>
      </c>
      <c r="AA65" s="175">
        <f t="shared" si="17"/>
        <v>0</v>
      </c>
      <c r="AB65" s="200">
        <f t="shared" si="18"/>
        <v>0</v>
      </c>
      <c r="AC65" s="120">
        <f t="shared" si="19"/>
        <v>0</v>
      </c>
      <c r="AD65" s="175">
        <f>(AC65*1000000000)/Surfaces!N36</f>
        <v>0</v>
      </c>
      <c r="AE65" s="175">
        <f t="shared" si="20"/>
        <v>0</v>
      </c>
      <c r="AF65" s="175">
        <f t="shared" si="21"/>
        <v>0</v>
      </c>
      <c r="AG65" s="200">
        <f t="shared" si="22"/>
        <v>0</v>
      </c>
      <c r="AJ65">
        <f t="shared" si="23"/>
        <v>54.421374580225553</v>
      </c>
      <c r="AK65">
        <f t="shared" si="24"/>
        <v>19.527108745494509</v>
      </c>
    </row>
    <row r="66" spans="1:37" ht="15" x14ac:dyDescent="0.35">
      <c r="A66">
        <v>30</v>
      </c>
      <c r="B66">
        <v>2049</v>
      </c>
      <c r="C66" s="63">
        <v>0</v>
      </c>
      <c r="D66" s="175">
        <v>0</v>
      </c>
      <c r="E66" s="175">
        <f t="shared" si="2"/>
        <v>1.313163582376152</v>
      </c>
      <c r="F66" s="200">
        <f t="shared" si="3"/>
        <v>2.3605574600662105</v>
      </c>
      <c r="G66" s="94">
        <v>-3.3521738009986004</v>
      </c>
      <c r="H66" s="103">
        <v>-6.082456662333489</v>
      </c>
      <c r="I66" s="163">
        <f t="shared" si="4"/>
        <v>-5.7609094208897265</v>
      </c>
      <c r="J66" s="165">
        <f>Surfaces!A37</f>
        <v>10380756.59375</v>
      </c>
      <c r="K66" s="109">
        <f t="shared" si="8"/>
        <v>-0.55496045677038897</v>
      </c>
      <c r="L66" s="163">
        <f t="shared" si="5"/>
        <v>0</v>
      </c>
      <c r="M66" s="109">
        <f>(E66*'Global-Swiss Carbon Budgets'!$B$50)/(100%-'Global-Swiss Carbon Budgets'!$B$51)</f>
        <v>0.83720412355802876</v>
      </c>
      <c r="N66" s="120">
        <f t="shared" si="9"/>
        <v>0.46659070349319748</v>
      </c>
      <c r="O66" s="109">
        <f t="shared" si="10"/>
        <v>0.37061342006483122</v>
      </c>
      <c r="P66" s="120">
        <f>(N66*1000000000)/Surfaces!U37</f>
        <v>68.102513046011524</v>
      </c>
      <c r="Q66" s="109">
        <f>(O66*1000000000)/Surfaces!V37</f>
        <v>24.054837778477996</v>
      </c>
      <c r="R66" s="120">
        <f t="shared" si="11"/>
        <v>80.120603583542973</v>
      </c>
      <c r="S66" s="109">
        <f t="shared" si="12"/>
        <v>28.299809151150583</v>
      </c>
      <c r="T66" s="63">
        <f t="shared" si="13"/>
        <v>1.3353433930590495</v>
      </c>
      <c r="U66" s="200">
        <f t="shared" si="14"/>
        <v>0.47166348585250972</v>
      </c>
      <c r="W66">
        <v>2049</v>
      </c>
      <c r="X66" s="120">
        <f t="shared" si="15"/>
        <v>0</v>
      </c>
      <c r="Y66" s="175">
        <f>(X66*1000000000)/Surfaces!C37</f>
        <v>0</v>
      </c>
      <c r="Z66" s="175">
        <f t="shared" si="16"/>
        <v>0</v>
      </c>
      <c r="AA66" s="175">
        <f t="shared" si="17"/>
        <v>0</v>
      </c>
      <c r="AB66" s="200">
        <f t="shared" si="18"/>
        <v>0</v>
      </c>
      <c r="AC66" s="120">
        <f t="shared" si="19"/>
        <v>0</v>
      </c>
      <c r="AD66" s="175">
        <f>(AC66*1000000000)/Surfaces!N37</f>
        <v>0</v>
      </c>
      <c r="AE66" s="175">
        <f t="shared" si="20"/>
        <v>0</v>
      </c>
      <c r="AF66" s="175">
        <f t="shared" si="21"/>
        <v>0</v>
      </c>
      <c r="AG66" s="200">
        <f t="shared" si="22"/>
        <v>0</v>
      </c>
      <c r="AJ66">
        <f t="shared" si="23"/>
        <v>50.395859654048529</v>
      </c>
      <c r="AK66">
        <f t="shared" si="24"/>
        <v>17.800579956073715</v>
      </c>
    </row>
    <row r="67" spans="1:37" ht="15.6" thickBot="1" x14ac:dyDescent="0.4">
      <c r="A67" s="10">
        <v>31</v>
      </c>
      <c r="B67">
        <v>2050</v>
      </c>
      <c r="C67" s="177">
        <v>0</v>
      </c>
      <c r="D67" s="176">
        <v>0</v>
      </c>
      <c r="E67" s="175">
        <f t="shared" si="2"/>
        <v>1.223080560625148</v>
      </c>
      <c r="F67" s="200">
        <f t="shared" si="3"/>
        <v>2.2583453220453436</v>
      </c>
      <c r="G67" s="96">
        <v>-4.7377767183828299</v>
      </c>
      <c r="H67" s="104">
        <v>-7.0157158003162579</v>
      </c>
      <c r="I67" s="164">
        <f t="shared" si="4"/>
        <v>-8.2720666360285957</v>
      </c>
      <c r="J67" s="166">
        <f>Surfaces!A38</f>
        <v>10440600</v>
      </c>
      <c r="K67" s="111">
        <f t="shared" si="8"/>
        <v>-0.79229801314374604</v>
      </c>
      <c r="L67" s="164">
        <f t="shared" si="5"/>
        <v>0</v>
      </c>
      <c r="M67" s="111">
        <f>(E67*'Global-Swiss Carbon Budgets'!$B$50)/(100%-'Global-Swiss Carbon Budgets'!$B$51)</f>
        <v>0.77977192068194812</v>
      </c>
      <c r="N67" s="180">
        <f t="shared" si="9"/>
        <v>0.43458258123356425</v>
      </c>
      <c r="O67" s="111">
        <f t="shared" si="10"/>
        <v>0.34518933944838387</v>
      </c>
      <c r="P67" s="120">
        <f>(N67*1000000000)/Surfaces!U38</f>
        <v>63.067108826551284</v>
      </c>
      <c r="Q67" s="109">
        <f>(O67*1000000000)/Surfaces!V38</f>
        <v>21.937911825481198</v>
      </c>
      <c r="R67" s="180">
        <f t="shared" si="11"/>
        <v>74.196598619472098</v>
      </c>
      <c r="S67" s="111">
        <f t="shared" si="12"/>
        <v>25.809308029977881</v>
      </c>
      <c r="T67" s="177">
        <f t="shared" si="13"/>
        <v>1.2366099769912016</v>
      </c>
      <c r="U67" s="201">
        <f t="shared" si="14"/>
        <v>0.43015513383296466</v>
      </c>
      <c r="W67">
        <v>2050</v>
      </c>
      <c r="X67" s="180">
        <f t="shared" si="15"/>
        <v>0</v>
      </c>
      <c r="Y67" s="176">
        <f>(X67*1000000000)/Surfaces!C38</f>
        <v>0</v>
      </c>
      <c r="Z67" s="176">
        <f t="shared" si="16"/>
        <v>0</v>
      </c>
      <c r="AA67" s="176">
        <f t="shared" si="17"/>
        <v>0</v>
      </c>
      <c r="AB67" s="201">
        <f t="shared" si="18"/>
        <v>0</v>
      </c>
      <c r="AC67" s="180">
        <f t="shared" si="19"/>
        <v>0</v>
      </c>
      <c r="AD67" s="176">
        <f>(AC67*1000000000)/Surfaces!N38</f>
        <v>0</v>
      </c>
      <c r="AE67" s="176">
        <f t="shared" si="20"/>
        <v>0</v>
      </c>
      <c r="AF67" s="176">
        <f t="shared" si="21"/>
        <v>0</v>
      </c>
      <c r="AG67" s="201">
        <f t="shared" si="22"/>
        <v>0</v>
      </c>
      <c r="AJ67">
        <f t="shared" si="23"/>
        <v>46.669660531647949</v>
      </c>
      <c r="AK67">
        <f t="shared" si="24"/>
        <v>16.234054750856085</v>
      </c>
    </row>
    <row r="68" spans="1:37" x14ac:dyDescent="0.3">
      <c r="C68" s="9"/>
      <c r="AA68">
        <v>0</v>
      </c>
      <c r="AB68">
        <v>0</v>
      </c>
      <c r="AF68">
        <v>0</v>
      </c>
      <c r="AG68">
        <v>0</v>
      </c>
    </row>
    <row r="69" spans="1:37" x14ac:dyDescent="0.3">
      <c r="E69" s="9"/>
      <c r="L69" s="9">
        <f>SUM(L37:L67)</f>
        <v>87.705682229595524</v>
      </c>
      <c r="M69" s="9">
        <f>SUM(M37:M67)</f>
        <v>85.25496690491012</v>
      </c>
      <c r="N69" s="9">
        <f t="shared" ref="N69:O69" si="25">SUM(N37:N67)</f>
        <v>47.51430847640119</v>
      </c>
      <c r="O69" s="9">
        <f t="shared" si="25"/>
        <v>37.740658428508922</v>
      </c>
      <c r="AA69">
        <v>0</v>
      </c>
      <c r="AB69">
        <v>0</v>
      </c>
      <c r="AF69">
        <v>0</v>
      </c>
      <c r="AG69">
        <v>0</v>
      </c>
    </row>
    <row r="70" spans="1:37" x14ac:dyDescent="0.3">
      <c r="C70" s="9"/>
      <c r="D70" s="9"/>
      <c r="E70" s="9"/>
      <c r="F70" s="9"/>
      <c r="AA70">
        <v>0</v>
      </c>
      <c r="AB70">
        <v>0</v>
      </c>
      <c r="AF70">
        <v>0</v>
      </c>
      <c r="AG70">
        <v>0</v>
      </c>
    </row>
    <row r="71" spans="1:37" x14ac:dyDescent="0.3">
      <c r="AA71">
        <v>0</v>
      </c>
      <c r="AB71">
        <v>0</v>
      </c>
      <c r="AF71">
        <v>0</v>
      </c>
      <c r="AG71">
        <v>0</v>
      </c>
    </row>
    <row r="72" spans="1:37" x14ac:dyDescent="0.3">
      <c r="AA72">
        <v>0</v>
      </c>
      <c r="AB72">
        <v>0</v>
      </c>
      <c r="AF72">
        <v>0</v>
      </c>
      <c r="AG72">
        <v>0</v>
      </c>
    </row>
    <row r="73" spans="1:37" x14ac:dyDescent="0.3">
      <c r="AA73">
        <v>0</v>
      </c>
      <c r="AB73">
        <v>0</v>
      </c>
      <c r="AF73">
        <v>0</v>
      </c>
      <c r="AG73">
        <v>0</v>
      </c>
    </row>
    <row r="74" spans="1:37" x14ac:dyDescent="0.3">
      <c r="AA74">
        <v>0</v>
      </c>
      <c r="AB74">
        <v>0</v>
      </c>
      <c r="AF74">
        <v>0</v>
      </c>
      <c r="AG74">
        <v>0</v>
      </c>
    </row>
    <row r="75" spans="1:37" x14ac:dyDescent="0.3">
      <c r="AA75">
        <v>0</v>
      </c>
      <c r="AB75">
        <v>0</v>
      </c>
      <c r="AF75">
        <v>0</v>
      </c>
      <c r="AG75">
        <v>0</v>
      </c>
    </row>
    <row r="76" spans="1:37" x14ac:dyDescent="0.3">
      <c r="AA76">
        <v>0</v>
      </c>
      <c r="AB76">
        <v>0</v>
      </c>
      <c r="AF76">
        <v>0</v>
      </c>
      <c r="AG76">
        <v>0</v>
      </c>
    </row>
    <row r="77" spans="1:37" x14ac:dyDescent="0.3">
      <c r="AA77">
        <v>0</v>
      </c>
      <c r="AB77">
        <v>0</v>
      </c>
      <c r="AF77">
        <v>0</v>
      </c>
      <c r="AG77">
        <v>0</v>
      </c>
    </row>
    <row r="78" spans="1:37" x14ac:dyDescent="0.3">
      <c r="AA78">
        <v>0</v>
      </c>
      <c r="AB78">
        <v>0</v>
      </c>
      <c r="AF78">
        <v>0</v>
      </c>
      <c r="AG78">
        <v>0</v>
      </c>
    </row>
    <row r="79" spans="1:37" x14ac:dyDescent="0.3">
      <c r="AA79">
        <v>0</v>
      </c>
      <c r="AB79">
        <v>0</v>
      </c>
      <c r="AF79">
        <v>0</v>
      </c>
      <c r="AG79">
        <v>0</v>
      </c>
    </row>
    <row r="80" spans="1:37" x14ac:dyDescent="0.3">
      <c r="AA80">
        <v>0</v>
      </c>
      <c r="AB80">
        <v>0</v>
      </c>
      <c r="AF80">
        <v>0</v>
      </c>
      <c r="AG80">
        <v>0</v>
      </c>
    </row>
    <row r="81" spans="27:33" x14ac:dyDescent="0.3">
      <c r="AA81">
        <v>0</v>
      </c>
      <c r="AB81">
        <v>0</v>
      </c>
      <c r="AF81">
        <v>0</v>
      </c>
      <c r="AG81">
        <v>0</v>
      </c>
    </row>
    <row r="82" spans="27:33" x14ac:dyDescent="0.3">
      <c r="AA82">
        <v>0</v>
      </c>
      <c r="AB82">
        <v>0</v>
      </c>
      <c r="AF82">
        <v>0</v>
      </c>
      <c r="AG82">
        <v>0</v>
      </c>
    </row>
    <row r="83" spans="27:33" x14ac:dyDescent="0.3">
      <c r="AA83">
        <v>0</v>
      </c>
      <c r="AB83">
        <v>0</v>
      </c>
      <c r="AF83">
        <v>0</v>
      </c>
      <c r="AG83">
        <v>0</v>
      </c>
    </row>
    <row r="84" spans="27:33" x14ac:dyDescent="0.3">
      <c r="AA84">
        <v>0</v>
      </c>
      <c r="AB84">
        <v>0</v>
      </c>
      <c r="AF84">
        <v>0</v>
      </c>
      <c r="AG84">
        <v>0</v>
      </c>
    </row>
    <row r="85" spans="27:33" x14ac:dyDescent="0.3">
      <c r="AA85">
        <v>0</v>
      </c>
      <c r="AB85">
        <v>0</v>
      </c>
      <c r="AF85">
        <v>0</v>
      </c>
      <c r="AG85">
        <v>0</v>
      </c>
    </row>
    <row r="86" spans="27:33" x14ac:dyDescent="0.3">
      <c r="AA86">
        <v>0</v>
      </c>
      <c r="AB86">
        <v>0</v>
      </c>
      <c r="AF86">
        <v>0</v>
      </c>
      <c r="AG86">
        <v>0</v>
      </c>
    </row>
    <row r="87" spans="27:33" x14ac:dyDescent="0.3">
      <c r="AA87">
        <v>0</v>
      </c>
      <c r="AB87">
        <v>0</v>
      </c>
      <c r="AF87">
        <v>0</v>
      </c>
      <c r="AG87">
        <v>0</v>
      </c>
    </row>
    <row r="88" spans="27:33" x14ac:dyDescent="0.3">
      <c r="AA88">
        <v>0</v>
      </c>
      <c r="AB88">
        <v>0</v>
      </c>
      <c r="AF88">
        <v>0</v>
      </c>
      <c r="AG88">
        <v>0</v>
      </c>
    </row>
    <row r="89" spans="27:33" x14ac:dyDescent="0.3">
      <c r="AA89">
        <v>0</v>
      </c>
      <c r="AB89">
        <v>0</v>
      </c>
      <c r="AF89">
        <v>0</v>
      </c>
      <c r="AG89">
        <v>0</v>
      </c>
    </row>
    <row r="90" spans="27:33" x14ac:dyDescent="0.3">
      <c r="AA90">
        <v>0</v>
      </c>
      <c r="AB90">
        <v>0</v>
      </c>
      <c r="AF90">
        <v>0</v>
      </c>
      <c r="AG90">
        <v>0</v>
      </c>
    </row>
    <row r="91" spans="27:33" x14ac:dyDescent="0.3">
      <c r="AA91">
        <v>0</v>
      </c>
      <c r="AB91">
        <v>0</v>
      </c>
      <c r="AF91">
        <v>0</v>
      </c>
      <c r="AG91">
        <v>0</v>
      </c>
    </row>
    <row r="92" spans="27:33" x14ac:dyDescent="0.3">
      <c r="AA92">
        <v>0</v>
      </c>
      <c r="AB92">
        <v>0</v>
      </c>
      <c r="AF92">
        <v>0</v>
      </c>
      <c r="AG92">
        <v>0</v>
      </c>
    </row>
    <row r="93" spans="27:33" x14ac:dyDescent="0.3">
      <c r="AA93">
        <v>0</v>
      </c>
      <c r="AB93">
        <v>0</v>
      </c>
      <c r="AF93">
        <v>0</v>
      </c>
      <c r="AG93">
        <v>0</v>
      </c>
    </row>
    <row r="94" spans="27:33" x14ac:dyDescent="0.3">
      <c r="AA94">
        <v>0</v>
      </c>
      <c r="AB94">
        <v>0</v>
      </c>
      <c r="AF94">
        <v>0</v>
      </c>
      <c r="AG94">
        <v>0</v>
      </c>
    </row>
    <row r="95" spans="27:33" x14ac:dyDescent="0.3">
      <c r="AA95">
        <v>0</v>
      </c>
      <c r="AB95">
        <v>0</v>
      </c>
      <c r="AF95">
        <v>0</v>
      </c>
      <c r="AG95">
        <v>0</v>
      </c>
    </row>
    <row r="96" spans="27:33" x14ac:dyDescent="0.3">
      <c r="AA96">
        <v>0</v>
      </c>
      <c r="AB96">
        <v>0</v>
      </c>
      <c r="AF96">
        <v>0</v>
      </c>
      <c r="AG96">
        <v>0</v>
      </c>
    </row>
    <row r="97" spans="27:33" x14ac:dyDescent="0.3">
      <c r="AA97">
        <v>0</v>
      </c>
      <c r="AB97">
        <v>0</v>
      </c>
      <c r="AF97">
        <v>0</v>
      </c>
      <c r="AG97">
        <v>0</v>
      </c>
    </row>
  </sheetData>
  <mergeCells count="10">
    <mergeCell ref="N5:O5"/>
    <mergeCell ref="P5:Q5"/>
    <mergeCell ref="R5:S5"/>
    <mergeCell ref="T5:U5"/>
    <mergeCell ref="L3:M3"/>
    <mergeCell ref="L4:M4"/>
    <mergeCell ref="N4:O4"/>
    <mergeCell ref="P4:Q4"/>
    <mergeCell ref="R4:S4"/>
    <mergeCell ref="T4:U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96BCA-B6E2-4C57-B64F-09F4C5EFA465}">
  <dimension ref="A1:R25"/>
  <sheetViews>
    <sheetView zoomScaleNormal="100" workbookViewId="0">
      <selection activeCell="B16" sqref="B16"/>
    </sheetView>
  </sheetViews>
  <sheetFormatPr baseColWidth="10" defaultRowHeight="14.4" x14ac:dyDescent="0.3"/>
  <cols>
    <col min="1" max="1" width="21.44140625" customWidth="1"/>
    <col min="2" max="2" width="33.33203125" bestFit="1" customWidth="1"/>
    <col min="3" max="3" width="43.88671875" bestFit="1" customWidth="1"/>
    <col min="4" max="4" width="126.5546875" bestFit="1" customWidth="1"/>
    <col min="11" max="11" width="20.33203125" bestFit="1" customWidth="1"/>
  </cols>
  <sheetData>
    <row r="1" spans="1:18" ht="61.95" customHeight="1" thickBot="1" x14ac:dyDescent="0.35">
      <c r="A1" s="17"/>
      <c r="B1" s="288" t="s">
        <v>0</v>
      </c>
      <c r="C1" s="288"/>
      <c r="D1" s="288"/>
      <c r="E1" s="22"/>
      <c r="F1" s="22"/>
    </row>
    <row r="2" spans="1:18" ht="14.4" customHeight="1" x14ac:dyDescent="0.3">
      <c r="A2" s="279" t="s">
        <v>365</v>
      </c>
      <c r="B2" s="280"/>
      <c r="C2" s="280"/>
      <c r="D2" s="281"/>
      <c r="E2" s="208"/>
      <c r="F2" s="62"/>
      <c r="G2" t="s">
        <v>223</v>
      </c>
      <c r="H2" s="208"/>
      <c r="I2" s="208"/>
      <c r="J2" s="208"/>
      <c r="K2" s="208"/>
      <c r="L2" s="208"/>
      <c r="M2" s="208"/>
      <c r="N2" s="208"/>
      <c r="O2" s="208"/>
      <c r="P2" s="208"/>
      <c r="Q2" s="208"/>
      <c r="R2" s="208"/>
    </row>
    <row r="3" spans="1:18" x14ac:dyDescent="0.3">
      <c r="A3" s="282"/>
      <c r="B3" s="283"/>
      <c r="C3" s="283"/>
      <c r="D3" s="284"/>
      <c r="E3" s="208"/>
      <c r="F3" s="12"/>
      <c r="G3" t="s">
        <v>222</v>
      </c>
      <c r="H3" s="208"/>
      <c r="I3" s="208"/>
      <c r="J3" s="208"/>
      <c r="K3" s="208"/>
      <c r="L3" s="208"/>
      <c r="M3" s="208"/>
      <c r="N3" s="208"/>
      <c r="O3" s="208"/>
      <c r="P3" s="208"/>
      <c r="Q3" s="208"/>
      <c r="R3" s="208"/>
    </row>
    <row r="4" spans="1:18" x14ac:dyDescent="0.3">
      <c r="A4" s="282"/>
      <c r="B4" s="283"/>
      <c r="C4" s="283"/>
      <c r="D4" s="284"/>
      <c r="E4" s="208"/>
      <c r="F4" s="116"/>
      <c r="G4" t="s">
        <v>224</v>
      </c>
      <c r="H4" s="208"/>
      <c r="I4" s="208"/>
      <c r="J4" s="208"/>
      <c r="K4" s="208"/>
      <c r="L4" s="208"/>
      <c r="M4" s="208"/>
      <c r="N4" s="208"/>
      <c r="O4" s="208"/>
      <c r="P4" s="208"/>
      <c r="Q4" s="208"/>
      <c r="R4" s="208"/>
    </row>
    <row r="5" spans="1:18" x14ac:dyDescent="0.3">
      <c r="A5" s="282"/>
      <c r="B5" s="283"/>
      <c r="C5" s="283"/>
      <c r="D5" s="284"/>
      <c r="E5" s="208"/>
      <c r="F5" s="140"/>
      <c r="G5" t="s">
        <v>225</v>
      </c>
      <c r="H5" s="208"/>
      <c r="I5" s="208"/>
      <c r="J5" s="208"/>
      <c r="K5" s="208"/>
      <c r="L5" s="208"/>
      <c r="M5" s="208"/>
      <c r="N5" s="208"/>
      <c r="O5" s="208"/>
      <c r="P5" s="208"/>
      <c r="Q5" s="208"/>
      <c r="R5" s="208"/>
    </row>
    <row r="6" spans="1:18" x14ac:dyDescent="0.3">
      <c r="A6" s="282"/>
      <c r="B6" s="283"/>
      <c r="C6" s="283"/>
      <c r="D6" s="284"/>
      <c r="E6" s="208"/>
      <c r="F6" s="208"/>
      <c r="G6" s="208"/>
      <c r="H6" s="208"/>
      <c r="I6" s="208"/>
      <c r="J6" s="208"/>
      <c r="K6" s="208"/>
      <c r="L6" s="208"/>
      <c r="M6" s="208"/>
      <c r="N6" s="208"/>
      <c r="O6" s="208"/>
      <c r="P6" s="208"/>
      <c r="Q6" s="208"/>
      <c r="R6" s="208"/>
    </row>
    <row r="7" spans="1:18" x14ac:dyDescent="0.3">
      <c r="A7" s="282"/>
      <c r="B7" s="283"/>
      <c r="C7" s="283"/>
      <c r="D7" s="284"/>
      <c r="E7" s="208"/>
      <c r="F7" s="208"/>
      <c r="G7" s="208"/>
      <c r="H7" s="208"/>
      <c r="I7" s="208"/>
      <c r="J7" s="208"/>
      <c r="K7" s="208"/>
      <c r="L7" s="208"/>
      <c r="M7" s="208"/>
      <c r="N7" s="208"/>
      <c r="O7" s="208"/>
      <c r="P7" s="208"/>
      <c r="Q7" s="208"/>
      <c r="R7" s="208"/>
    </row>
    <row r="8" spans="1:18" x14ac:dyDescent="0.3">
      <c r="A8" s="282"/>
      <c r="B8" s="283"/>
      <c r="C8" s="283"/>
      <c r="D8" s="284"/>
      <c r="E8" s="208"/>
      <c r="F8" s="208"/>
      <c r="G8" s="208"/>
      <c r="H8" s="208"/>
      <c r="I8" s="208"/>
      <c r="J8" s="208"/>
      <c r="K8" s="208"/>
      <c r="L8" s="208"/>
      <c r="M8" s="208"/>
      <c r="N8" s="208"/>
      <c r="O8" s="208"/>
      <c r="P8" s="208"/>
      <c r="Q8" s="208"/>
      <c r="R8" s="208"/>
    </row>
    <row r="9" spans="1:18" x14ac:dyDescent="0.3">
      <c r="A9" s="282"/>
      <c r="B9" s="283"/>
      <c r="C9" s="283"/>
      <c r="D9" s="284"/>
      <c r="E9" s="208"/>
      <c r="F9" s="208"/>
      <c r="G9" s="208"/>
      <c r="H9" s="208"/>
      <c r="I9" s="208"/>
      <c r="J9" s="208"/>
      <c r="K9" s="208"/>
      <c r="L9" s="208"/>
      <c r="M9" s="208"/>
      <c r="N9" s="208"/>
      <c r="O9" s="208"/>
      <c r="P9" s="208"/>
      <c r="Q9" s="208"/>
      <c r="R9" s="208"/>
    </row>
    <row r="10" spans="1:18" ht="15" thickBot="1" x14ac:dyDescent="0.35">
      <c r="A10" s="285"/>
      <c r="B10" s="286"/>
      <c r="C10" s="286"/>
      <c r="D10" s="287"/>
      <c r="E10" s="208"/>
      <c r="F10" s="208"/>
      <c r="G10" s="208"/>
      <c r="H10" s="208"/>
      <c r="I10" s="208"/>
      <c r="J10" s="208"/>
      <c r="K10" s="208"/>
      <c r="L10" s="208"/>
      <c r="M10" s="208"/>
      <c r="N10" s="208"/>
      <c r="O10" s="208"/>
      <c r="P10" s="208"/>
      <c r="Q10" s="208"/>
      <c r="R10" s="208"/>
    </row>
    <row r="11" spans="1:18" x14ac:dyDescent="0.3">
      <c r="A11" s="209" t="s">
        <v>261</v>
      </c>
      <c r="B11" s="210"/>
      <c r="C11" s="210"/>
      <c r="D11" s="211"/>
      <c r="E11" s="207"/>
      <c r="F11" s="207"/>
      <c r="G11" s="207"/>
      <c r="H11" s="207"/>
      <c r="I11" s="207"/>
      <c r="J11" s="207"/>
      <c r="K11" s="207"/>
      <c r="L11" s="207"/>
      <c r="M11" s="207"/>
      <c r="N11" s="207"/>
      <c r="O11" s="207"/>
      <c r="P11" s="207"/>
      <c r="Q11" s="207"/>
      <c r="R11" s="207"/>
    </row>
    <row r="12" spans="1:18" x14ac:dyDescent="0.3">
      <c r="A12" s="212">
        <v>1</v>
      </c>
      <c r="B12" s="207" t="s">
        <v>246</v>
      </c>
      <c r="C12" s="207" t="s">
        <v>262</v>
      </c>
      <c r="D12" s="213" t="s">
        <v>263</v>
      </c>
      <c r="E12" s="207"/>
      <c r="F12" s="207"/>
      <c r="G12" s="207"/>
      <c r="H12" s="207"/>
      <c r="I12" s="207"/>
      <c r="J12" s="207"/>
      <c r="K12" s="207"/>
      <c r="L12" s="207"/>
      <c r="M12" s="207"/>
      <c r="N12" s="207"/>
      <c r="O12" s="207"/>
      <c r="P12" s="207"/>
      <c r="Q12" s="207"/>
      <c r="R12" s="207"/>
    </row>
    <row r="13" spans="1:18" x14ac:dyDescent="0.3">
      <c r="A13" s="212">
        <v>2</v>
      </c>
      <c r="B13" s="207" t="s">
        <v>249</v>
      </c>
      <c r="C13" s="207" t="s">
        <v>287</v>
      </c>
      <c r="D13" s="213" t="s">
        <v>264</v>
      </c>
      <c r="E13" s="207"/>
      <c r="F13" s="207"/>
      <c r="G13" s="207"/>
      <c r="H13" s="207"/>
      <c r="I13" s="207"/>
      <c r="J13" s="207"/>
      <c r="K13" s="207"/>
      <c r="L13" s="207"/>
      <c r="M13" s="207"/>
      <c r="N13" s="207"/>
      <c r="O13" s="207"/>
      <c r="P13" s="207"/>
      <c r="Q13" s="207"/>
      <c r="R13" s="207"/>
    </row>
    <row r="14" spans="1:18" x14ac:dyDescent="0.3">
      <c r="A14" s="212">
        <v>3</v>
      </c>
      <c r="B14" s="207" t="s">
        <v>251</v>
      </c>
      <c r="C14" s="207" t="s">
        <v>287</v>
      </c>
      <c r="D14" s="213" t="s">
        <v>264</v>
      </c>
      <c r="E14" s="207"/>
      <c r="F14" s="207"/>
      <c r="G14" s="207"/>
      <c r="H14" s="207"/>
      <c r="I14" s="207"/>
      <c r="J14" s="207"/>
      <c r="K14" s="207"/>
      <c r="L14" s="207"/>
      <c r="M14" s="207"/>
      <c r="N14" s="207"/>
      <c r="O14" s="207"/>
      <c r="P14" s="207"/>
      <c r="Q14" s="207"/>
      <c r="R14" s="207"/>
    </row>
    <row r="15" spans="1:18" ht="100.8" x14ac:dyDescent="0.3">
      <c r="A15" s="212">
        <v>4</v>
      </c>
      <c r="B15" s="207" t="s">
        <v>253</v>
      </c>
      <c r="C15" s="214" t="s">
        <v>265</v>
      </c>
      <c r="D15" s="213" t="s">
        <v>264</v>
      </c>
      <c r="E15" s="207"/>
      <c r="F15" s="207"/>
      <c r="G15" s="207"/>
      <c r="H15" s="207"/>
      <c r="I15" s="207"/>
      <c r="J15" s="207"/>
      <c r="K15" s="207"/>
      <c r="L15" s="207"/>
      <c r="M15" s="207"/>
      <c r="N15" s="207"/>
      <c r="O15" s="207"/>
      <c r="P15" s="207"/>
      <c r="Q15" s="207"/>
      <c r="R15" s="207"/>
    </row>
    <row r="16" spans="1:18" ht="115.2" x14ac:dyDescent="0.3">
      <c r="A16" s="212">
        <v>5</v>
      </c>
      <c r="B16" s="214" t="s">
        <v>255</v>
      </c>
      <c r="C16" s="214" t="s">
        <v>266</v>
      </c>
      <c r="D16" s="213" t="s">
        <v>257</v>
      </c>
      <c r="E16" s="207"/>
      <c r="F16" s="207"/>
      <c r="G16" s="207"/>
      <c r="H16" s="207"/>
      <c r="I16" s="207"/>
      <c r="J16" s="207"/>
      <c r="K16" s="207"/>
      <c r="L16" s="207"/>
      <c r="M16" s="207"/>
      <c r="N16" s="207"/>
      <c r="O16" s="207"/>
      <c r="P16" s="207"/>
      <c r="Q16" s="207"/>
      <c r="R16" s="207"/>
    </row>
    <row r="17" spans="1:18" ht="101.4" thickBot="1" x14ac:dyDescent="0.35">
      <c r="A17" s="215">
        <v>6</v>
      </c>
      <c r="B17" s="218" t="s">
        <v>258</v>
      </c>
      <c r="C17" s="216" t="s">
        <v>267</v>
      </c>
      <c r="D17" s="217"/>
      <c r="E17" s="207"/>
      <c r="F17" s="207"/>
      <c r="G17" s="207"/>
      <c r="H17" s="207"/>
      <c r="I17" s="207"/>
      <c r="J17" s="207"/>
      <c r="K17" s="207"/>
      <c r="L17" s="207"/>
      <c r="M17" s="207"/>
      <c r="N17" s="207"/>
      <c r="O17" s="207"/>
      <c r="P17" s="207"/>
      <c r="Q17" s="207"/>
      <c r="R17" s="207"/>
    </row>
    <row r="18" spans="1:18" x14ac:dyDescent="0.3">
      <c r="A18" s="207"/>
      <c r="B18" s="207"/>
      <c r="C18" s="207"/>
      <c r="D18" s="207"/>
      <c r="E18" s="207"/>
      <c r="F18" s="207"/>
      <c r="G18" s="207"/>
      <c r="H18" s="207"/>
      <c r="I18" s="207"/>
      <c r="J18" s="207"/>
      <c r="K18" s="207"/>
      <c r="L18" s="207"/>
      <c r="M18" s="207"/>
      <c r="N18" s="207"/>
      <c r="O18" s="207"/>
      <c r="P18" s="207"/>
      <c r="Q18" s="207"/>
      <c r="R18" s="207"/>
    </row>
    <row r="19" spans="1:18" x14ac:dyDescent="0.3">
      <c r="A19" s="207"/>
      <c r="B19" s="207"/>
      <c r="C19" s="207"/>
      <c r="D19" s="207"/>
      <c r="E19" s="207"/>
      <c r="F19" s="207"/>
      <c r="G19" s="207"/>
      <c r="H19" s="207"/>
      <c r="I19" s="207"/>
      <c r="J19" s="207"/>
      <c r="K19" s="207"/>
      <c r="L19" s="207"/>
      <c r="M19" s="207"/>
      <c r="N19" s="207"/>
      <c r="O19" s="207"/>
      <c r="P19" s="207"/>
      <c r="Q19" s="207"/>
      <c r="R19" s="207"/>
    </row>
    <row r="20" spans="1:18" x14ac:dyDescent="0.3">
      <c r="D20" s="207"/>
      <c r="E20" s="207"/>
      <c r="F20" s="207"/>
      <c r="G20" s="207"/>
      <c r="H20" s="207"/>
      <c r="I20" s="207"/>
      <c r="J20" s="207"/>
      <c r="K20" s="207"/>
      <c r="L20" s="207"/>
      <c r="M20" s="207"/>
      <c r="N20" s="207"/>
      <c r="O20" s="207"/>
      <c r="P20" s="207"/>
      <c r="Q20" s="207"/>
      <c r="R20" s="207"/>
    </row>
    <row r="21" spans="1:18" x14ac:dyDescent="0.3">
      <c r="D21" s="207"/>
      <c r="L21" s="207"/>
      <c r="M21" s="207"/>
      <c r="N21" s="207"/>
      <c r="O21" s="207"/>
      <c r="P21" s="207"/>
      <c r="Q21" s="207"/>
      <c r="R21" s="207"/>
    </row>
    <row r="22" spans="1:18" x14ac:dyDescent="0.3">
      <c r="D22" s="207"/>
      <c r="L22" s="207"/>
      <c r="M22" s="207"/>
      <c r="N22" s="207"/>
      <c r="O22" s="207"/>
      <c r="P22" s="207"/>
      <c r="Q22" s="207"/>
      <c r="R22" s="207"/>
    </row>
    <row r="23" spans="1:18" x14ac:dyDescent="0.3">
      <c r="D23" s="207"/>
      <c r="L23" s="207"/>
      <c r="M23" s="207"/>
      <c r="N23" s="207"/>
      <c r="O23" s="207"/>
      <c r="P23" s="207"/>
      <c r="Q23" s="207"/>
      <c r="R23" s="207"/>
    </row>
    <row r="24" spans="1:18" x14ac:dyDescent="0.3">
      <c r="D24" s="207"/>
      <c r="L24" s="207"/>
      <c r="M24" s="207"/>
      <c r="N24" s="207"/>
      <c r="O24" s="207"/>
      <c r="P24" s="207"/>
      <c r="Q24" s="207"/>
      <c r="R24" s="207"/>
    </row>
    <row r="25" spans="1:18" x14ac:dyDescent="0.3">
      <c r="A25" s="207"/>
      <c r="B25" s="207"/>
      <c r="C25" s="207"/>
      <c r="D25" s="207"/>
      <c r="L25" s="207"/>
      <c r="M25" s="207"/>
      <c r="N25" s="207"/>
      <c r="O25" s="207"/>
      <c r="P25" s="207"/>
      <c r="Q25" s="207"/>
      <c r="R25" s="207"/>
    </row>
  </sheetData>
  <mergeCells count="2">
    <mergeCell ref="B1:D1"/>
    <mergeCell ref="A2:D1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D6F2-C346-4771-A4AB-5CE4E87E47C4}">
  <dimension ref="A3:I67"/>
  <sheetViews>
    <sheetView zoomScale="70" zoomScaleNormal="70" workbookViewId="0">
      <selection activeCell="M66" sqref="M66"/>
    </sheetView>
  </sheetViews>
  <sheetFormatPr baseColWidth="10" defaultColWidth="11.44140625" defaultRowHeight="14.4" x14ac:dyDescent="0.3"/>
  <sheetData>
    <row r="3" spans="1:9" x14ac:dyDescent="0.3">
      <c r="E3" s="9"/>
      <c r="F3" s="9"/>
    </row>
    <row r="4" spans="1:9" x14ac:dyDescent="0.3">
      <c r="E4" s="9"/>
      <c r="F4" s="9"/>
    </row>
    <row r="5" spans="1:9" x14ac:dyDescent="0.3">
      <c r="B5" t="s">
        <v>55</v>
      </c>
      <c r="C5" s="11">
        <f>SUM(C37:C67)</f>
        <v>0</v>
      </c>
      <c r="D5" s="11">
        <f>SUM(D37:D67)</f>
        <v>0</v>
      </c>
      <c r="E5" s="11">
        <f>SUM(E37:E67)</f>
        <v>0</v>
      </c>
      <c r="F5" s="11">
        <f>SUM(F37:F67)</f>
        <v>0</v>
      </c>
      <c r="G5" s="11">
        <f t="shared" ref="G5:H5" si="0">SUM(G37:G67)</f>
        <v>-17.830159477342672</v>
      </c>
      <c r="H5" s="11">
        <f t="shared" si="0"/>
        <v>-52.528539910448238</v>
      </c>
    </row>
    <row r="6" spans="1:9" x14ac:dyDescent="0.3">
      <c r="A6" t="s">
        <v>197</v>
      </c>
      <c r="C6" s="1" t="s">
        <v>58</v>
      </c>
      <c r="D6" s="1" t="s">
        <v>59</v>
      </c>
      <c r="E6" s="1" t="s">
        <v>60</v>
      </c>
      <c r="F6" s="1" t="s">
        <v>61</v>
      </c>
      <c r="G6" s="1" t="s">
        <v>62</v>
      </c>
      <c r="H6" s="1" t="s">
        <v>63</v>
      </c>
      <c r="I6" s="1" t="s">
        <v>64</v>
      </c>
    </row>
    <row r="7" spans="1:9" ht="15" x14ac:dyDescent="0.35">
      <c r="B7" s="12">
        <v>1990</v>
      </c>
      <c r="C7" s="95">
        <v>16.687078235646027</v>
      </c>
      <c r="D7" s="95">
        <v>14.676371953635769</v>
      </c>
      <c r="E7" s="95">
        <v>13.547158388535459</v>
      </c>
      <c r="F7" s="95">
        <v>9.2350523332430559</v>
      </c>
      <c r="G7" s="12"/>
      <c r="H7" s="12"/>
      <c r="I7" s="14"/>
    </row>
    <row r="8" spans="1:9" ht="15" x14ac:dyDescent="0.35">
      <c r="B8" s="12">
        <v>1991</v>
      </c>
      <c r="C8" s="95">
        <v>18.051942742427364</v>
      </c>
      <c r="D8" s="95">
        <v>15.174492875903393</v>
      </c>
      <c r="E8" s="95">
        <v>13.770043526289779</v>
      </c>
      <c r="F8" s="95">
        <v>9.0060501281598579</v>
      </c>
      <c r="G8" s="12"/>
      <c r="H8" s="12"/>
      <c r="I8" s="14"/>
    </row>
    <row r="9" spans="1:9" ht="15" x14ac:dyDescent="0.35">
      <c r="B9" s="12">
        <v>1992</v>
      </c>
      <c r="C9" s="95">
        <v>18.093297250529066</v>
      </c>
      <c r="D9" s="95">
        <v>15.501761129980201</v>
      </c>
      <c r="E9" s="95">
        <v>13.22941638075846</v>
      </c>
      <c r="F9" s="95">
        <v>8.8906619759232175</v>
      </c>
      <c r="G9" s="12"/>
      <c r="H9" s="12"/>
      <c r="I9" s="14"/>
    </row>
    <row r="10" spans="1:9" ht="15" x14ac:dyDescent="0.35">
      <c r="B10" s="12">
        <v>1993</v>
      </c>
      <c r="C10" s="95">
        <v>17.485075012567854</v>
      </c>
      <c r="D10" s="95">
        <v>14.432099728757557</v>
      </c>
      <c r="E10" s="95">
        <v>12.450475013129331</v>
      </c>
      <c r="F10" s="95">
        <v>8.8431310278765825</v>
      </c>
      <c r="G10" s="12"/>
      <c r="H10" s="12"/>
      <c r="I10" s="14"/>
    </row>
    <row r="11" spans="1:9" ht="15" x14ac:dyDescent="0.35">
      <c r="B11" s="12">
        <v>1994</v>
      </c>
      <c r="C11" s="95">
        <v>16.209921061568444</v>
      </c>
      <c r="D11" s="95">
        <v>14.619024251692455</v>
      </c>
      <c r="E11" s="95">
        <v>12.606203630747707</v>
      </c>
      <c r="F11" s="95">
        <v>8.7428417151373061</v>
      </c>
      <c r="G11" s="12"/>
      <c r="H11" s="12"/>
      <c r="I11" s="14"/>
    </row>
    <row r="12" spans="1:9" ht="15" x14ac:dyDescent="0.35">
      <c r="B12" s="12">
        <v>1995</v>
      </c>
      <c r="C12" s="95">
        <v>17.260064665282986</v>
      </c>
      <c r="D12" s="95">
        <v>14.30494068428178</v>
      </c>
      <c r="E12" s="95">
        <v>12.74776841361858</v>
      </c>
      <c r="F12" s="95">
        <v>8.762715945124059</v>
      </c>
      <c r="G12" s="12"/>
      <c r="H12" s="12"/>
      <c r="I12" s="14"/>
    </row>
    <row r="13" spans="1:9" ht="15" x14ac:dyDescent="0.35">
      <c r="B13" s="12">
        <v>1996</v>
      </c>
      <c r="C13" s="95">
        <v>18.117080989434818</v>
      </c>
      <c r="D13" s="95">
        <v>14.368708683810713</v>
      </c>
      <c r="E13" s="95">
        <v>12.573806149253015</v>
      </c>
      <c r="F13" s="95">
        <v>8.6005862687267136</v>
      </c>
      <c r="G13" s="12"/>
      <c r="H13" s="12"/>
      <c r="I13" s="14"/>
    </row>
    <row r="14" spans="1:9" ht="15" x14ac:dyDescent="0.35">
      <c r="B14" s="12">
        <v>1997</v>
      </c>
      <c r="C14" s="95">
        <v>16.688995474624683</v>
      </c>
      <c r="D14" s="95">
        <v>14.925240498711442</v>
      </c>
      <c r="E14" s="95">
        <v>12.430277924948065</v>
      </c>
      <c r="F14" s="95">
        <v>8.4702128581906422</v>
      </c>
      <c r="G14" s="12"/>
      <c r="H14" s="12"/>
      <c r="I14" s="14"/>
    </row>
    <row r="15" spans="1:9" ht="15" x14ac:dyDescent="0.35">
      <c r="B15" s="12">
        <v>1998</v>
      </c>
      <c r="C15" s="95">
        <v>17.508047098826466</v>
      </c>
      <c r="D15" s="95">
        <v>15.134297433091467</v>
      </c>
      <c r="E15" s="95">
        <v>12.914913306036555</v>
      </c>
      <c r="F15" s="95">
        <v>8.5063328195422692</v>
      </c>
      <c r="G15" s="12"/>
      <c r="H15" s="12"/>
      <c r="I15" s="14"/>
    </row>
    <row r="16" spans="1:9" ht="15" x14ac:dyDescent="0.35">
      <c r="B16" s="12">
        <v>1999</v>
      </c>
      <c r="C16" s="95">
        <v>16.84181695077201</v>
      </c>
      <c r="D16" s="95">
        <v>15.743858031600093</v>
      </c>
      <c r="E16" s="95">
        <v>12.786334179866884</v>
      </c>
      <c r="F16" s="95">
        <v>8.465149323551076</v>
      </c>
      <c r="G16" s="12"/>
      <c r="H16" s="12"/>
      <c r="I16" s="14"/>
    </row>
    <row r="17" spans="2:9" ht="15" x14ac:dyDescent="0.35">
      <c r="B17" s="12">
        <v>2000</v>
      </c>
      <c r="C17" s="95">
        <v>15.751205335392848</v>
      </c>
      <c r="D17" s="95">
        <v>15.977221273986018</v>
      </c>
      <c r="E17" s="95">
        <v>12.813644285450442</v>
      </c>
      <c r="F17" s="95">
        <v>8.7051064463299408</v>
      </c>
      <c r="G17" s="12"/>
      <c r="H17" s="12"/>
      <c r="I17" s="14"/>
    </row>
    <row r="18" spans="2:9" ht="15" x14ac:dyDescent="0.35">
      <c r="B18" s="12">
        <v>2001</v>
      </c>
      <c r="C18" s="95">
        <v>17.107314778556216</v>
      </c>
      <c r="D18" s="95">
        <v>15.676660677015185</v>
      </c>
      <c r="E18" s="95">
        <v>13.157243796909022</v>
      </c>
      <c r="F18" s="95">
        <v>8.8152466202098303</v>
      </c>
      <c r="G18" s="12"/>
      <c r="H18" s="12"/>
      <c r="I18" s="14"/>
    </row>
    <row r="19" spans="2:9" ht="15" x14ac:dyDescent="0.35">
      <c r="B19" s="12">
        <v>2002</v>
      </c>
      <c r="C19" s="95">
        <v>15.973871460915685</v>
      </c>
      <c r="D19" s="95">
        <v>15.599937249852537</v>
      </c>
      <c r="E19" s="95">
        <v>12.856036330817394</v>
      </c>
      <c r="F19" s="95">
        <v>8.7804988457151456</v>
      </c>
      <c r="G19" s="12"/>
      <c r="H19" s="12"/>
      <c r="I19" s="14"/>
    </row>
    <row r="20" spans="2:9" ht="15" x14ac:dyDescent="0.35">
      <c r="B20" s="12">
        <v>2003</v>
      </c>
      <c r="C20" s="95">
        <v>16.976063024906125</v>
      </c>
      <c r="D20" s="95">
        <v>15.764449961557405</v>
      </c>
      <c r="E20" s="95">
        <v>12.882462569481769</v>
      </c>
      <c r="F20" s="95">
        <v>8.6014906762706858</v>
      </c>
      <c r="G20" s="12"/>
      <c r="H20" s="12"/>
      <c r="I20" s="14"/>
    </row>
    <row r="21" spans="2:9" ht="15" x14ac:dyDescent="0.35">
      <c r="B21" s="12">
        <v>2004</v>
      </c>
      <c r="C21" s="95">
        <v>16.837575010093495</v>
      </c>
      <c r="D21" s="95">
        <v>15.796470550687312</v>
      </c>
      <c r="E21" s="95">
        <v>13.527853637826698</v>
      </c>
      <c r="F21" s="95">
        <v>8.6528515170600446</v>
      </c>
      <c r="G21" s="12"/>
      <c r="H21" s="12"/>
      <c r="I21" s="14"/>
    </row>
    <row r="22" spans="2:9" ht="15" x14ac:dyDescent="0.35">
      <c r="B22" s="12">
        <v>2005</v>
      </c>
      <c r="C22" s="95">
        <v>17.071414391412919</v>
      </c>
      <c r="D22" s="95">
        <v>15.858331922296555</v>
      </c>
      <c r="E22" s="95">
        <v>13.75232545881528</v>
      </c>
      <c r="F22" s="95">
        <v>8.8451024364356154</v>
      </c>
      <c r="G22" s="12"/>
      <c r="H22" s="12"/>
      <c r="I22" s="14"/>
    </row>
    <row r="23" spans="2:9" ht="15" x14ac:dyDescent="0.35">
      <c r="B23" s="12">
        <v>2006</v>
      </c>
      <c r="C23" s="95">
        <v>16.225671639286766</v>
      </c>
      <c r="D23" s="95">
        <v>15.975834885057543</v>
      </c>
      <c r="E23" s="95">
        <v>13.961231431984324</v>
      </c>
      <c r="F23" s="95">
        <v>8.9725487180804748</v>
      </c>
      <c r="G23" s="12"/>
      <c r="H23" s="12"/>
      <c r="I23" s="14"/>
    </row>
    <row r="24" spans="2:9" ht="15" x14ac:dyDescent="0.35">
      <c r="B24" s="12">
        <v>2007</v>
      </c>
      <c r="C24" s="95">
        <v>14.412889708381268</v>
      </c>
      <c r="D24" s="95">
        <v>16.300692948404599</v>
      </c>
      <c r="E24" s="95">
        <v>13.558034880592055</v>
      </c>
      <c r="F24" s="95">
        <v>8.9961519847166578</v>
      </c>
      <c r="G24" s="12"/>
      <c r="H24" s="12"/>
      <c r="I24" s="14"/>
    </row>
    <row r="25" spans="2:9" ht="15" x14ac:dyDescent="0.35">
      <c r="B25" s="12">
        <v>2008</v>
      </c>
      <c r="C25" s="95">
        <v>15.284010507785457</v>
      </c>
      <c r="D25" s="95">
        <v>16.651384685852303</v>
      </c>
      <c r="E25" s="95">
        <v>13.697004671685903</v>
      </c>
      <c r="F25" s="95">
        <v>8.9995520150357891</v>
      </c>
      <c r="G25" s="12"/>
      <c r="H25" s="12"/>
      <c r="I25" s="14"/>
    </row>
    <row r="26" spans="2:9" ht="15" x14ac:dyDescent="0.35">
      <c r="B26" s="12">
        <v>2009</v>
      </c>
      <c r="C26" s="95">
        <v>14.862959406654983</v>
      </c>
      <c r="D26" s="95">
        <v>16.446679420463212</v>
      </c>
      <c r="E26" s="95">
        <v>13.019740779165144</v>
      </c>
      <c r="F26" s="95">
        <v>8.8585946071003008</v>
      </c>
      <c r="G26" s="12"/>
      <c r="H26" s="12"/>
      <c r="I26" s="14"/>
    </row>
    <row r="27" spans="2:9" ht="15" x14ac:dyDescent="0.35">
      <c r="B27" s="12">
        <v>2010</v>
      </c>
      <c r="C27" s="95">
        <v>16.046705847967111</v>
      </c>
      <c r="D27" s="95">
        <v>16.336981159173657</v>
      </c>
      <c r="E27" s="95">
        <v>13.503461464105689</v>
      </c>
      <c r="F27" s="95">
        <v>8.9428268157048283</v>
      </c>
      <c r="G27" s="12"/>
      <c r="H27" s="12"/>
      <c r="I27" s="14"/>
    </row>
    <row r="28" spans="2:9" ht="15" x14ac:dyDescent="0.35">
      <c r="B28" s="12">
        <v>2011</v>
      </c>
      <c r="C28" s="95">
        <v>12.882899967868637</v>
      </c>
      <c r="D28" s="95">
        <v>16.15778694010536</v>
      </c>
      <c r="E28" s="95">
        <v>12.823490452376248</v>
      </c>
      <c r="F28" s="95">
        <v>8.8521553128613562</v>
      </c>
      <c r="G28" s="12"/>
      <c r="H28" s="12"/>
      <c r="I28" s="14"/>
    </row>
    <row r="29" spans="2:9" ht="15" x14ac:dyDescent="0.35">
      <c r="B29" s="12">
        <v>2012</v>
      </c>
      <c r="C29" s="95">
        <v>14.114883355140179</v>
      </c>
      <c r="D29" s="95">
        <v>16.275352977447742</v>
      </c>
      <c r="E29" s="95">
        <v>12.799366197998545</v>
      </c>
      <c r="F29" s="95">
        <v>8.946510245576679</v>
      </c>
      <c r="G29" s="12"/>
      <c r="H29" s="12"/>
      <c r="I29" s="14"/>
    </row>
    <row r="30" spans="2:9" ht="15" x14ac:dyDescent="0.35">
      <c r="B30" s="12">
        <v>2013</v>
      </c>
      <c r="C30" s="95">
        <v>15.034452271656201</v>
      </c>
      <c r="D30" s="95">
        <v>16.18538436893148</v>
      </c>
      <c r="E30" s="95">
        <v>12.940303761682321</v>
      </c>
      <c r="F30" s="95">
        <v>8.751802946952651</v>
      </c>
      <c r="G30" s="12"/>
      <c r="H30" s="12"/>
      <c r="I30" s="14"/>
    </row>
    <row r="31" spans="2:9" ht="15" x14ac:dyDescent="0.35">
      <c r="B31" s="12">
        <v>2014</v>
      </c>
      <c r="C31" s="95">
        <v>11.667553231058934</v>
      </c>
      <c r="D31" s="95">
        <v>16.078846702215905</v>
      </c>
      <c r="E31" s="95">
        <v>12.320023027413992</v>
      </c>
      <c r="F31" s="95">
        <v>8.9047086596435232</v>
      </c>
      <c r="G31" s="12"/>
      <c r="H31" s="12"/>
      <c r="I31" s="14"/>
    </row>
    <row r="32" spans="2:9" ht="15" x14ac:dyDescent="0.35">
      <c r="B32" s="12">
        <v>2015</v>
      </c>
      <c r="C32" s="95">
        <v>12.514840793891644</v>
      </c>
      <c r="D32" s="95">
        <v>15.343800581110377</v>
      </c>
      <c r="E32" s="95">
        <v>11.773388788662759</v>
      </c>
      <c r="F32" s="95">
        <v>8.8693235183848707</v>
      </c>
      <c r="G32" s="12"/>
      <c r="H32" s="12"/>
      <c r="I32" s="14"/>
    </row>
    <row r="33" spans="1:9" ht="15" x14ac:dyDescent="0.35">
      <c r="B33" s="12">
        <v>2016</v>
      </c>
      <c r="C33" s="95">
        <v>12.978612372273911</v>
      </c>
      <c r="D33" s="95">
        <v>15.17846006557243</v>
      </c>
      <c r="E33" s="95">
        <v>11.72955356825409</v>
      </c>
      <c r="F33" s="95">
        <v>8.9233048697575459</v>
      </c>
      <c r="G33" s="12"/>
      <c r="H33" s="12"/>
      <c r="I33" s="14"/>
    </row>
    <row r="34" spans="1:9" ht="15" x14ac:dyDescent="0.35">
      <c r="B34" s="12">
        <v>2017</v>
      </c>
      <c r="C34" s="95">
        <v>12.358619709962349</v>
      </c>
      <c r="D34" s="95">
        <v>14.916423874981829</v>
      </c>
      <c r="E34" s="95">
        <v>11.770970304942075</v>
      </c>
      <c r="F34" s="95">
        <v>8.9118997750945734</v>
      </c>
      <c r="G34" s="12"/>
      <c r="H34" s="12"/>
      <c r="I34" s="14"/>
    </row>
    <row r="35" spans="1:9" ht="15" x14ac:dyDescent="0.35">
      <c r="B35" s="12">
        <v>2018</v>
      </c>
      <c r="C35" s="95">
        <v>11.195800617960556</v>
      </c>
      <c r="D35" s="95">
        <v>14.918086209890715</v>
      </c>
      <c r="E35" s="95">
        <v>11.507840941464931</v>
      </c>
      <c r="F35" s="95">
        <v>8.795058739939595</v>
      </c>
      <c r="G35" s="12"/>
      <c r="H35" s="12"/>
      <c r="I35" s="14"/>
    </row>
    <row r="36" spans="1:9" ht="15" x14ac:dyDescent="0.35">
      <c r="A36">
        <v>0</v>
      </c>
      <c r="B36" s="12">
        <v>2019</v>
      </c>
      <c r="C36" s="95">
        <v>11.469993986771833</v>
      </c>
      <c r="D36" s="95">
        <v>14.932576255197484</v>
      </c>
      <c r="E36" s="95">
        <v>11.072146466152489</v>
      </c>
      <c r="F36" s="95">
        <v>8.9072031489603116</v>
      </c>
      <c r="G36" s="12"/>
      <c r="H36" s="12"/>
      <c r="I36" s="14"/>
    </row>
    <row r="37" spans="1:9" x14ac:dyDescent="0.3">
      <c r="A37" s="10">
        <v>1</v>
      </c>
      <c r="B37" s="15">
        <v>2020</v>
      </c>
      <c r="G37" s="15"/>
      <c r="H37" s="15"/>
      <c r="I37" s="16">
        <f t="shared" ref="I37:I67" si="1">SUM(C37:F37)+SUM(G37:H37)</f>
        <v>0</v>
      </c>
    </row>
    <row r="38" spans="1:9" x14ac:dyDescent="0.3">
      <c r="A38">
        <v>2</v>
      </c>
      <c r="B38">
        <v>2021</v>
      </c>
      <c r="I38" s="9">
        <f t="shared" si="1"/>
        <v>0</v>
      </c>
    </row>
    <row r="39" spans="1:9" x14ac:dyDescent="0.3">
      <c r="A39">
        <v>3</v>
      </c>
      <c r="B39">
        <v>2022</v>
      </c>
      <c r="I39" s="9">
        <f t="shared" si="1"/>
        <v>0</v>
      </c>
    </row>
    <row r="40" spans="1:9" x14ac:dyDescent="0.3">
      <c r="A40">
        <v>4</v>
      </c>
      <c r="B40">
        <v>2023</v>
      </c>
      <c r="I40" s="9">
        <f t="shared" si="1"/>
        <v>0</v>
      </c>
    </row>
    <row r="41" spans="1:9" x14ac:dyDescent="0.3">
      <c r="A41">
        <v>5</v>
      </c>
      <c r="B41">
        <v>2024</v>
      </c>
      <c r="I41" s="9">
        <f t="shared" si="1"/>
        <v>0</v>
      </c>
    </row>
    <row r="42" spans="1:9" x14ac:dyDescent="0.3">
      <c r="A42" s="10">
        <v>6</v>
      </c>
      <c r="B42" s="10">
        <v>2025</v>
      </c>
      <c r="G42" s="10"/>
      <c r="H42" s="10"/>
      <c r="I42" s="13">
        <f t="shared" si="1"/>
        <v>0</v>
      </c>
    </row>
    <row r="43" spans="1:9" x14ac:dyDescent="0.3">
      <c r="A43">
        <v>7</v>
      </c>
      <c r="B43">
        <v>2026</v>
      </c>
      <c r="I43" s="9">
        <f t="shared" si="1"/>
        <v>0</v>
      </c>
    </row>
    <row r="44" spans="1:9" x14ac:dyDescent="0.3">
      <c r="A44">
        <v>8</v>
      </c>
      <c r="B44">
        <v>2027</v>
      </c>
      <c r="I44" s="9">
        <f t="shared" si="1"/>
        <v>0</v>
      </c>
    </row>
    <row r="45" spans="1:9" x14ac:dyDescent="0.3">
      <c r="A45">
        <v>9</v>
      </c>
      <c r="B45">
        <v>2028</v>
      </c>
      <c r="I45" s="9">
        <f t="shared" si="1"/>
        <v>0</v>
      </c>
    </row>
    <row r="46" spans="1:9" x14ac:dyDescent="0.3">
      <c r="A46">
        <v>10</v>
      </c>
      <c r="B46">
        <v>2029</v>
      </c>
      <c r="I46" s="9">
        <f t="shared" si="1"/>
        <v>0</v>
      </c>
    </row>
    <row r="47" spans="1:9" x14ac:dyDescent="0.3">
      <c r="A47" s="10">
        <v>11</v>
      </c>
      <c r="B47" s="10">
        <v>2030</v>
      </c>
      <c r="G47" s="10"/>
      <c r="H47" s="10"/>
      <c r="I47" s="13">
        <f t="shared" si="1"/>
        <v>0</v>
      </c>
    </row>
    <row r="48" spans="1:9" x14ac:dyDescent="0.3">
      <c r="A48">
        <v>12</v>
      </c>
      <c r="B48">
        <v>2031</v>
      </c>
      <c r="I48" s="9">
        <f t="shared" si="1"/>
        <v>0</v>
      </c>
    </row>
    <row r="49" spans="1:9" x14ac:dyDescent="0.3">
      <c r="A49">
        <v>13</v>
      </c>
      <c r="B49">
        <v>2032</v>
      </c>
      <c r="I49" s="9">
        <f t="shared" si="1"/>
        <v>0</v>
      </c>
    </row>
    <row r="50" spans="1:9" ht="15" x14ac:dyDescent="0.35">
      <c r="A50">
        <v>14</v>
      </c>
      <c r="B50">
        <v>2033</v>
      </c>
      <c r="H50" s="95">
        <v>-0.24308042749721581</v>
      </c>
      <c r="I50" s="9">
        <f t="shared" si="1"/>
        <v>-0.24308042749721581</v>
      </c>
    </row>
    <row r="51" spans="1:9" ht="15" x14ac:dyDescent="0.35">
      <c r="A51">
        <v>15</v>
      </c>
      <c r="B51">
        <v>2034</v>
      </c>
      <c r="H51" s="95">
        <v>-0.34708336107240451</v>
      </c>
      <c r="I51" s="9">
        <f t="shared" si="1"/>
        <v>-0.34708336107240451</v>
      </c>
    </row>
    <row r="52" spans="1:9" ht="15" x14ac:dyDescent="0.35">
      <c r="A52" s="10">
        <v>16</v>
      </c>
      <c r="B52" s="10">
        <v>2035</v>
      </c>
      <c r="G52" s="10"/>
      <c r="H52" s="95">
        <v>-0.41024212788411291</v>
      </c>
      <c r="I52" s="13">
        <f t="shared" si="1"/>
        <v>-0.41024212788411291</v>
      </c>
    </row>
    <row r="53" spans="1:9" ht="15" x14ac:dyDescent="0.35">
      <c r="A53">
        <v>17</v>
      </c>
      <c r="B53">
        <v>2036</v>
      </c>
      <c r="H53" s="95">
        <v>-0.80273167109954868</v>
      </c>
      <c r="I53" s="9">
        <f t="shared" si="1"/>
        <v>-0.80273167109954868</v>
      </c>
    </row>
    <row r="54" spans="1:9" ht="15" x14ac:dyDescent="0.35">
      <c r="A54">
        <v>18</v>
      </c>
      <c r="B54">
        <v>2037</v>
      </c>
      <c r="H54" s="95">
        <v>-0.96003406675369518</v>
      </c>
      <c r="I54" s="9">
        <f t="shared" si="1"/>
        <v>-0.96003406675369518</v>
      </c>
    </row>
    <row r="55" spans="1:9" ht="15" x14ac:dyDescent="0.35">
      <c r="A55">
        <v>19</v>
      </c>
      <c r="B55">
        <v>2038</v>
      </c>
      <c r="H55" s="95">
        <v>-1.1771687971106104</v>
      </c>
      <c r="I55" s="9">
        <f t="shared" si="1"/>
        <v>-1.1771687971106104</v>
      </c>
    </row>
    <row r="56" spans="1:9" ht="15" x14ac:dyDescent="0.35">
      <c r="A56">
        <v>20</v>
      </c>
      <c r="B56">
        <v>2039</v>
      </c>
      <c r="H56" s="95">
        <v>-1.6939520579252529</v>
      </c>
      <c r="I56" s="9">
        <f t="shared" si="1"/>
        <v>-1.6939520579252529</v>
      </c>
    </row>
    <row r="57" spans="1:9" ht="15" x14ac:dyDescent="0.35">
      <c r="A57" s="10">
        <v>21</v>
      </c>
      <c r="B57" s="10">
        <v>2040</v>
      </c>
      <c r="G57" s="10"/>
      <c r="H57" s="95">
        <v>-1.690448871227062</v>
      </c>
      <c r="I57" s="13">
        <f t="shared" si="1"/>
        <v>-1.690448871227062</v>
      </c>
    </row>
    <row r="58" spans="1:9" ht="15" x14ac:dyDescent="0.35">
      <c r="A58">
        <v>22</v>
      </c>
      <c r="B58">
        <v>2041</v>
      </c>
      <c r="G58" s="95">
        <v>-0.31832701387902151</v>
      </c>
      <c r="H58" s="95">
        <v>-1.7909355689339197</v>
      </c>
      <c r="I58" s="9">
        <f t="shared" si="1"/>
        <v>-2.1092625828129412</v>
      </c>
    </row>
    <row r="59" spans="1:9" ht="15" x14ac:dyDescent="0.35">
      <c r="A59">
        <v>23</v>
      </c>
      <c r="B59">
        <v>2042</v>
      </c>
      <c r="G59" s="95">
        <v>-0.4396442158120889</v>
      </c>
      <c r="H59" s="95">
        <v>-2.9972014866588004</v>
      </c>
      <c r="I59" s="9">
        <f t="shared" si="1"/>
        <v>-3.4368457024708894</v>
      </c>
    </row>
    <row r="60" spans="1:9" ht="15" x14ac:dyDescent="0.35">
      <c r="A60">
        <v>24</v>
      </c>
      <c r="B60">
        <v>2043</v>
      </c>
      <c r="G60" s="95">
        <v>-0.64057787712155057</v>
      </c>
      <c r="H60" s="95">
        <v>-3.0459184021249515</v>
      </c>
      <c r="I60" s="9">
        <f t="shared" si="1"/>
        <v>-3.6864962792465019</v>
      </c>
    </row>
    <row r="61" spans="1:9" ht="15" x14ac:dyDescent="0.35">
      <c r="A61">
        <v>25</v>
      </c>
      <c r="B61">
        <v>2044</v>
      </c>
      <c r="G61" s="95">
        <v>-0.88112926603228781</v>
      </c>
      <c r="H61" s="95">
        <v>-3.9976715418858024</v>
      </c>
      <c r="I61" s="9">
        <f t="shared" si="1"/>
        <v>-4.8788008079180898</v>
      </c>
    </row>
    <row r="62" spans="1:9" ht="15" x14ac:dyDescent="0.35">
      <c r="A62" s="10">
        <v>26</v>
      </c>
      <c r="B62" s="10">
        <v>2045</v>
      </c>
      <c r="G62" s="95">
        <v>-1.1656210414801247</v>
      </c>
      <c r="H62" s="95">
        <v>-4.7762628676116528</v>
      </c>
      <c r="I62" s="13">
        <f t="shared" si="1"/>
        <v>-5.9418839090917777</v>
      </c>
    </row>
    <row r="63" spans="1:9" ht="15" x14ac:dyDescent="0.35">
      <c r="A63">
        <v>27</v>
      </c>
      <c r="B63">
        <v>2046</v>
      </c>
      <c r="G63" s="95">
        <v>-1.4998490543714387</v>
      </c>
      <c r="H63" s="95">
        <v>-5.1014936056855547</v>
      </c>
      <c r="I63" s="9">
        <f t="shared" si="1"/>
        <v>-6.6013426600569929</v>
      </c>
    </row>
    <row r="64" spans="1:9" ht="15" x14ac:dyDescent="0.35">
      <c r="A64">
        <v>28</v>
      </c>
      <c r="B64">
        <v>2047</v>
      </c>
      <c r="G64" s="95">
        <v>-2.0527828991623536</v>
      </c>
      <c r="H64" s="95">
        <v>-5.0926550804488215</v>
      </c>
      <c r="I64" s="9">
        <f t="shared" si="1"/>
        <v>-7.1454379796111755</v>
      </c>
    </row>
    <row r="65" spans="1:9" ht="15" x14ac:dyDescent="0.35">
      <c r="A65">
        <v>29</v>
      </c>
      <c r="B65">
        <v>2048</v>
      </c>
      <c r="G65" s="95">
        <v>-2.7422775901023781</v>
      </c>
      <c r="H65" s="95">
        <v>-5.3034875138790749</v>
      </c>
      <c r="I65" s="9">
        <f t="shared" si="1"/>
        <v>-8.0457651039814522</v>
      </c>
    </row>
    <row r="66" spans="1:9" ht="15" x14ac:dyDescent="0.35">
      <c r="A66">
        <v>30</v>
      </c>
      <c r="B66">
        <v>2049</v>
      </c>
      <c r="G66" s="95">
        <v>-3.3521738009986004</v>
      </c>
      <c r="H66" s="95">
        <v>-6.082456662333489</v>
      </c>
      <c r="I66" s="9">
        <f t="shared" si="1"/>
        <v>-9.4346304633320894</v>
      </c>
    </row>
    <row r="67" spans="1:9" ht="15" x14ac:dyDescent="0.35">
      <c r="A67" s="10">
        <v>31</v>
      </c>
      <c r="B67" s="10">
        <v>2050</v>
      </c>
      <c r="G67" s="95">
        <v>-4.7377767183828299</v>
      </c>
      <c r="H67" s="95">
        <v>-7.0157158003162579</v>
      </c>
      <c r="I67" s="13">
        <f t="shared" si="1"/>
        <v>-11.753492518699087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7ED43-1297-4856-B4DF-244061249147}">
  <dimension ref="A1:L36"/>
  <sheetViews>
    <sheetView workbookViewId="0">
      <selection activeCell="F3" sqref="F3"/>
    </sheetView>
  </sheetViews>
  <sheetFormatPr baseColWidth="10" defaultColWidth="11.44140625" defaultRowHeight="14.4" x14ac:dyDescent="0.3"/>
  <cols>
    <col min="4" max="4" width="13.5546875" bestFit="1" customWidth="1"/>
  </cols>
  <sheetData>
    <row r="1" spans="1:12" x14ac:dyDescent="0.3">
      <c r="B1" t="s">
        <v>142</v>
      </c>
    </row>
    <row r="2" spans="1:12" x14ac:dyDescent="0.3">
      <c r="B2" t="s">
        <v>202</v>
      </c>
      <c r="C2" t="s">
        <v>211</v>
      </c>
      <c r="D2" t="s">
        <v>212</v>
      </c>
      <c r="F2" t="s">
        <v>202</v>
      </c>
      <c r="G2" t="s">
        <v>291</v>
      </c>
      <c r="I2" t="s">
        <v>72</v>
      </c>
      <c r="L2" t="s">
        <v>212</v>
      </c>
    </row>
    <row r="3" spans="1:12" x14ac:dyDescent="0.3">
      <c r="A3" s="15">
        <v>2020</v>
      </c>
      <c r="B3">
        <f>'Swiss Climate Strategy'!AF37*Surfaces!E8</f>
        <v>51540748.606710501</v>
      </c>
      <c r="C3">
        <f>'Swiss Climate Strategy'!AG37*Surfaces!I8</f>
        <v>69923398.803952679</v>
      </c>
      <c r="D3" s="23">
        <f>'Swiss Climate Strategy'!AE37*Surfaces!K8</f>
        <v>7738039581.6857796</v>
      </c>
      <c r="F3">
        <f>'Swiss Climate Strategy'!AN37*Surfaces!D8</f>
        <v>9365000.4214491416</v>
      </c>
      <c r="G3">
        <f>F3</f>
        <v>9365000.4214491416</v>
      </c>
      <c r="I3">
        <f>'Swiss Climate Strategy'!AO37*Surfaces!J8</f>
        <v>13359386.68803175</v>
      </c>
      <c r="J3">
        <f>I3</f>
        <v>13359386.68803175</v>
      </c>
      <c r="L3">
        <f>'Swiss Climate Strategy'!AE37*Surfaces!K8</f>
        <v>7738039581.6857796</v>
      </c>
    </row>
    <row r="4" spans="1:12" x14ac:dyDescent="0.3">
      <c r="A4">
        <v>2021</v>
      </c>
      <c r="B4">
        <f>'Swiss Climate Strategy'!AF38*Surfaces!E9</f>
        <v>65120564.957874224</v>
      </c>
      <c r="C4">
        <f>'Swiss Climate Strategy'!AG38*Surfaces!I9</f>
        <v>90629198.558377102</v>
      </c>
      <c r="D4" s="23">
        <f>'Swiss Climate Strategy'!AE38*Surfaces!K9</f>
        <v>7360117846.4314404</v>
      </c>
      <c r="F4">
        <f>'Swiss Climate Strategy'!AN38*Surfaces!D9</f>
        <v>8734722.6696783118</v>
      </c>
      <c r="G4">
        <f>G3+F4</f>
        <v>18099723.091127455</v>
      </c>
      <c r="I4">
        <f>'Swiss Climate Strategy'!AO38*Surfaces!J9</f>
        <v>13062102.079435218</v>
      </c>
      <c r="J4">
        <f>J3+I4</f>
        <v>26421488.76746697</v>
      </c>
      <c r="L4">
        <f>'Swiss Climate Strategy'!AE38*Surfaces!K9</f>
        <v>7360117846.4314404</v>
      </c>
    </row>
    <row r="5" spans="1:12" x14ac:dyDescent="0.3">
      <c r="A5">
        <v>2022</v>
      </c>
      <c r="B5">
        <f>'Swiss Climate Strategy'!AF39*Surfaces!E10</f>
        <v>76163258.675814778</v>
      </c>
      <c r="C5">
        <f>'Swiss Climate Strategy'!AG39*Surfaces!I10</f>
        <v>108648625.55055296</v>
      </c>
      <c r="D5" s="23">
        <f>'Swiss Climate Strategy'!AE39*Surfaces!K10</f>
        <v>6911389527.6035204</v>
      </c>
      <c r="F5">
        <f>'Swiss Climate Strategy'!AN39*Surfaces!D10</f>
        <v>8125532.4438508283</v>
      </c>
      <c r="G5">
        <f t="shared" ref="G5:G33" si="0">G4+F5</f>
        <v>26225255.534978285</v>
      </c>
      <c r="I5">
        <f>'Swiss Climate Strategy'!AO39*Surfaces!J10</f>
        <v>12703308.308311597</v>
      </c>
      <c r="J5">
        <f t="shared" ref="J5:J33" si="1">J4+I5</f>
        <v>39124797.075778566</v>
      </c>
      <c r="L5">
        <f>'Swiss Climate Strategy'!AE39*Surfaces!K10</f>
        <v>6911389527.6035204</v>
      </c>
    </row>
    <row r="6" spans="1:12" x14ac:dyDescent="0.3">
      <c r="A6">
        <v>2023</v>
      </c>
      <c r="B6">
        <f>'Swiss Climate Strategy'!AF40*Surfaces!E11</f>
        <v>85729149.821966439</v>
      </c>
      <c r="C6">
        <f>'Swiss Climate Strategy'!AG40*Surfaces!I11</f>
        <v>125258136.15962704</v>
      </c>
      <c r="D6" s="23">
        <f>'Swiss Climate Strategy'!AE40*Surfaces!K11</f>
        <v>6505336100.406497</v>
      </c>
      <c r="F6">
        <f>'Swiss Climate Strategy'!AN40*Surfaces!D11</f>
        <v>7547773.6037080688</v>
      </c>
      <c r="G6">
        <f t="shared" si="0"/>
        <v>33773029.138686351</v>
      </c>
      <c r="I6">
        <f>'Swiss Climate Strategy'!AO40*Surfaces!J11</f>
        <v>12306033.170715496</v>
      </c>
      <c r="J6">
        <f t="shared" si="1"/>
        <v>51430830.246494062</v>
      </c>
      <c r="L6">
        <f>'Swiss Climate Strategy'!AE40*Surfaces!K11</f>
        <v>6505336100.406497</v>
      </c>
    </row>
    <row r="7" spans="1:12" x14ac:dyDescent="0.3">
      <c r="A7">
        <v>2024</v>
      </c>
      <c r="B7">
        <f>'Swiss Climate Strategy'!AF41*Surfaces!E12</f>
        <v>93585268.672056526</v>
      </c>
      <c r="C7">
        <f>'Swiss Climate Strategy'!AG41*Surfaces!I12</f>
        <v>139949530.02563882</v>
      </c>
      <c r="D7" s="23">
        <f>'Swiss Climate Strategy'!AE41*Surfaces!K12</f>
        <v>6107241182.3533783</v>
      </c>
      <c r="F7">
        <f>'Swiss Climate Strategy'!AN41*Surfaces!D12</f>
        <v>6994090.6101270039</v>
      </c>
      <c r="G7">
        <f t="shared" si="0"/>
        <v>40767119.748813353</v>
      </c>
      <c r="I7">
        <f>'Swiss Climate Strategy'!AO41*Surfaces!J12</f>
        <v>11865846.779430581</v>
      </c>
      <c r="J7">
        <f t="shared" si="1"/>
        <v>63296677.025924645</v>
      </c>
      <c r="L7">
        <f>'Swiss Climate Strategy'!AE41*Surfaces!K12</f>
        <v>6107241182.3533783</v>
      </c>
    </row>
    <row r="8" spans="1:12" x14ac:dyDescent="0.3">
      <c r="A8">
        <v>2025</v>
      </c>
      <c r="B8">
        <f>'Swiss Climate Strategy'!AF42*Surfaces!E13</f>
        <v>99527941.047995046</v>
      </c>
      <c r="C8">
        <f>'Swiss Climate Strategy'!AG42*Surfaces!I13</f>
        <v>152229831.34987918</v>
      </c>
      <c r="D8" s="23">
        <f>'Swiss Climate Strategy'!AE42*Surfaces!K13</f>
        <v>5701320568.3644791</v>
      </c>
      <c r="F8">
        <f>'Swiss Climate Strategy'!AN42*Surfaces!D13</f>
        <v>6464518.0080022104</v>
      </c>
      <c r="G8">
        <f t="shared" si="0"/>
        <v>47231637.756815568</v>
      </c>
      <c r="I8">
        <f>'Swiss Climate Strategy'!AO42*Surfaces!J13</f>
        <v>11389203.928194867</v>
      </c>
      <c r="J8">
        <f t="shared" si="1"/>
        <v>74685880.954119518</v>
      </c>
      <c r="L8">
        <f>'Swiss Climate Strategy'!AE42*Surfaces!K13</f>
        <v>5701320568.3644791</v>
      </c>
    </row>
    <row r="9" spans="1:12" x14ac:dyDescent="0.3">
      <c r="A9">
        <v>2026</v>
      </c>
      <c r="B9">
        <f>'Swiss Climate Strategy'!AF43*Surfaces!E14</f>
        <v>103568674.07939592</v>
      </c>
      <c r="C9">
        <f>'Swiss Climate Strategy'!AG43*Surfaces!I14</f>
        <v>161917364.43182421</v>
      </c>
      <c r="D9" s="23">
        <f>'Swiss Climate Strategy'!AE43*Surfaces!K14</f>
        <v>5289734722.7914639</v>
      </c>
      <c r="F9">
        <f>'Swiss Climate Strategy'!AN43*Surfaces!D14</f>
        <v>5960915.933014947</v>
      </c>
      <c r="G9">
        <f t="shared" si="0"/>
        <v>53192553.689830512</v>
      </c>
      <c r="I9">
        <f>'Swiss Climate Strategy'!AO43*Surfaces!J14</f>
        <v>10885732.195040386</v>
      </c>
      <c r="J9">
        <f t="shared" si="1"/>
        <v>85571613.149159908</v>
      </c>
      <c r="L9">
        <f>'Swiss Climate Strategy'!AE43*Surfaces!K14</f>
        <v>5289734722.7914639</v>
      </c>
    </row>
    <row r="10" spans="1:12" x14ac:dyDescent="0.3">
      <c r="A10">
        <v>2027</v>
      </c>
      <c r="B10">
        <f>'Swiss Climate Strategy'!AF44*Surfaces!E15</f>
        <v>106158216.17236145</v>
      </c>
      <c r="C10">
        <f>'Swiss Climate Strategy'!AG44*Surfaces!I15</f>
        <v>169536193.43205398</v>
      </c>
      <c r="D10" s="23">
        <f>'Swiss Climate Strategy'!AE44*Surfaces!K15</f>
        <v>4894101302.7971277</v>
      </c>
      <c r="F10">
        <f>'Swiss Climate Strategy'!AN44*Surfaces!D15</f>
        <v>5479638.8491037767</v>
      </c>
      <c r="G10">
        <f t="shared" si="0"/>
        <v>58672192.53893429</v>
      </c>
      <c r="I10">
        <f>'Swiss Climate Strategy'!AO44*Surfaces!J15</f>
        <v>10354963.169004399</v>
      </c>
      <c r="J10">
        <f t="shared" si="1"/>
        <v>95926576.318164304</v>
      </c>
      <c r="L10">
        <f>'Swiss Climate Strategy'!AE44*Surfaces!K15</f>
        <v>4894101302.7971277</v>
      </c>
    </row>
    <row r="11" spans="1:12" x14ac:dyDescent="0.3">
      <c r="A11">
        <v>2028</v>
      </c>
      <c r="B11">
        <f>'Swiss Climate Strategy'!AF45*Surfaces!E16</f>
        <v>108407178.56233142</v>
      </c>
      <c r="C11">
        <f>'Swiss Climate Strategy'!AG45*Surfaces!I16</f>
        <v>176749119.06159058</v>
      </c>
      <c r="D11" s="23">
        <f>'Swiss Climate Strategy'!AE45*Surfaces!K16</f>
        <v>4556179886.8122663</v>
      </c>
      <c r="F11">
        <f>'Swiss Climate Strategy'!AN45*Surfaces!D16</f>
        <v>5022092.0145828836</v>
      </c>
      <c r="G11">
        <f t="shared" si="0"/>
        <v>63694284.553517178</v>
      </c>
      <c r="I11">
        <f>'Swiss Climate Strategy'!AO45*Surfaces!J16</f>
        <v>9805206.9587974828</v>
      </c>
      <c r="J11">
        <f t="shared" si="1"/>
        <v>105731783.27696179</v>
      </c>
      <c r="L11">
        <f>'Swiss Climate Strategy'!AE45*Surfaces!K16</f>
        <v>4556179886.8122663</v>
      </c>
    </row>
    <row r="12" spans="1:12" x14ac:dyDescent="0.3">
      <c r="A12">
        <v>2029</v>
      </c>
      <c r="B12">
        <f>'Swiss Climate Strategy'!AF46*Surfaces!E17</f>
        <v>109698807.23876421</v>
      </c>
      <c r="C12">
        <f>'Swiss Climate Strategy'!AG46*Surfaces!I17</f>
        <v>182494696.17362538</v>
      </c>
      <c r="D12" s="23">
        <f>'Swiss Climate Strategy'!AE46*Surfaces!K17</f>
        <v>4237581950.0069084</v>
      </c>
      <c r="F12">
        <f>'Swiss Climate Strategy'!AN46*Surfaces!D17</f>
        <v>4584516.3676338373</v>
      </c>
      <c r="G12">
        <f t="shared" si="0"/>
        <v>68278800.921151012</v>
      </c>
      <c r="I12">
        <f>'Swiss Climate Strategy'!AO46*Surfaces!J17</f>
        <v>9234573.9527840503</v>
      </c>
      <c r="J12">
        <f t="shared" si="1"/>
        <v>114966357.22974584</v>
      </c>
      <c r="L12">
        <f>'Swiss Climate Strategy'!AE46*Surfaces!K17</f>
        <v>4237581950.0069084</v>
      </c>
    </row>
    <row r="13" spans="1:12" x14ac:dyDescent="0.3">
      <c r="A13">
        <v>2030</v>
      </c>
      <c r="B13">
        <f>'Swiss Climate Strategy'!AF47*Surfaces!E18</f>
        <v>109521799.44698752</v>
      </c>
      <c r="C13">
        <f>'Swiss Climate Strategy'!AG47*Surfaces!I18</f>
        <v>185809558.91017273</v>
      </c>
      <c r="D13" s="23">
        <f>'Swiss Climate Strategy'!AE47*Surfaces!K18</f>
        <v>3915284555.6478567</v>
      </c>
      <c r="F13">
        <f>'Swiss Climate Strategy'!AN47*Surfaces!D18</f>
        <v>4167497.1502600908</v>
      </c>
      <c r="G13">
        <f t="shared" si="0"/>
        <v>72446298.071411103</v>
      </c>
      <c r="I13">
        <f>'Swiss Climate Strategy'!AO47*Surfaces!J18</f>
        <v>8649125.0422887374</v>
      </c>
      <c r="J13">
        <f t="shared" si="1"/>
        <v>123615482.27203457</v>
      </c>
      <c r="L13">
        <f>'Swiss Climate Strategy'!AE47*Surfaces!K18</f>
        <v>3915284555.6478567</v>
      </c>
    </row>
    <row r="14" spans="1:12" x14ac:dyDescent="0.3">
      <c r="A14">
        <v>2031</v>
      </c>
      <c r="B14">
        <f>'Swiss Climate Strategy'!AF48*Surfaces!E19</f>
        <v>109219728.09882604</v>
      </c>
      <c r="C14">
        <f>'Swiss Climate Strategy'!AG48*Surfaces!I19</f>
        <v>188872293.91722125</v>
      </c>
      <c r="D14" s="23">
        <f>'Swiss Climate Strategy'!AE48*Surfaces!K19</f>
        <v>3634422830.0459571</v>
      </c>
      <c r="F14">
        <f>'Swiss Climate Strategy'!AN48*Surfaces!D19</f>
        <v>3774404.7527582548</v>
      </c>
      <c r="G14">
        <f t="shared" si="0"/>
        <v>76220702.824169353</v>
      </c>
      <c r="I14">
        <f>'Swiss Climate Strategy'!AO48*Surfaces!J19</f>
        <v>8060885.7341983318</v>
      </c>
      <c r="J14">
        <f t="shared" si="1"/>
        <v>131676368.0062329</v>
      </c>
      <c r="L14">
        <f>'Swiss Climate Strategy'!AE48*Surfaces!K19</f>
        <v>3634422830.0459571</v>
      </c>
    </row>
    <row r="15" spans="1:12" x14ac:dyDescent="0.3">
      <c r="A15">
        <v>2032</v>
      </c>
      <c r="B15">
        <f>'Swiss Climate Strategy'!AF49*Surfaces!E20</f>
        <v>108156428.19418207</v>
      </c>
      <c r="C15">
        <f>'Swiss Climate Strategy'!AG49*Surfaces!I20</f>
        <v>190550264.58645189</v>
      </c>
      <c r="D15" s="23">
        <f>'Swiss Climate Strategy'!AE49*Surfaces!K20</f>
        <v>3366884743.6299934</v>
      </c>
      <c r="F15">
        <f>'Swiss Climate Strategy'!AN49*Surfaces!D20</f>
        <v>3388973.4187957444</v>
      </c>
      <c r="G15">
        <f t="shared" si="0"/>
        <v>79609676.242965102</v>
      </c>
      <c r="I15">
        <f>'Swiss Climate Strategy'!AO49*Surfaces!J20</f>
        <v>7439455.4354433622</v>
      </c>
      <c r="J15">
        <f t="shared" si="1"/>
        <v>139115823.44167626</v>
      </c>
      <c r="L15">
        <f>'Swiss Climate Strategy'!AE49*Surfaces!K20</f>
        <v>3366884743.6299934</v>
      </c>
    </row>
    <row r="16" spans="1:12" x14ac:dyDescent="0.3">
      <c r="A16">
        <v>2033</v>
      </c>
      <c r="B16">
        <f>'Swiss Climate Strategy'!AF50*Surfaces!E21</f>
        <v>106851037.55727167</v>
      </c>
      <c r="C16">
        <f>'Swiss Climate Strategy'!AG50*Surfaces!I21</f>
        <v>191701533.68972096</v>
      </c>
      <c r="D16" s="23">
        <f>'Swiss Climate Strategy'!AE50*Surfaces!K21</f>
        <v>3125216010.8450813</v>
      </c>
      <c r="F16">
        <f>'Swiss Climate Strategy'!AN50*Surfaces!D21</f>
        <v>3030814.9804609837</v>
      </c>
      <c r="G16">
        <f t="shared" si="0"/>
        <v>82640491.223426089</v>
      </c>
      <c r="I16">
        <f>'Swiss Climate Strategy'!AO50*Surfaces!J21</f>
        <v>6831341.8916711826</v>
      </c>
      <c r="J16">
        <f t="shared" si="1"/>
        <v>145947165.33334744</v>
      </c>
      <c r="L16">
        <f>'Swiss Climate Strategy'!AE50*Surfaces!K21</f>
        <v>3125216010.8450813</v>
      </c>
    </row>
    <row r="17" spans="1:12" x14ac:dyDescent="0.3">
      <c r="A17">
        <v>2034</v>
      </c>
      <c r="B17">
        <f>'Swiss Climate Strategy'!AF51*Surfaces!E22</f>
        <v>105083623.09970641</v>
      </c>
      <c r="C17">
        <f>'Swiss Climate Strategy'!AG51*Surfaces!I22</f>
        <v>191902082.16363645</v>
      </c>
      <c r="D17" s="23">
        <f>'Swiss Climate Strategy'!AE51*Surfaces!K22</f>
        <v>2898755892.4184546</v>
      </c>
      <c r="F17">
        <f>'Swiss Climate Strategy'!AN51*Surfaces!D22</f>
        <v>2697227.0824225578</v>
      </c>
      <c r="G17">
        <f t="shared" si="0"/>
        <v>85337718.305848643</v>
      </c>
      <c r="I17">
        <f>'Swiss Climate Strategy'!AO51*Surfaces!J22</f>
        <v>6235956.5519541446</v>
      </c>
      <c r="J17">
        <f t="shared" si="1"/>
        <v>152183121.88530159</v>
      </c>
      <c r="L17">
        <f>'Swiss Climate Strategy'!AE51*Surfaces!K22</f>
        <v>2898755892.4184546</v>
      </c>
    </row>
    <row r="18" spans="1:12" x14ac:dyDescent="0.3">
      <c r="A18">
        <v>2035</v>
      </c>
      <c r="B18">
        <f>'Swiss Climate Strategy'!AF52*Surfaces!E23</f>
        <v>102969561.78956236</v>
      </c>
      <c r="C18">
        <f>'Swiss Climate Strategy'!AG52*Surfaces!I23</f>
        <v>191323174.10609975</v>
      </c>
      <c r="D18" s="23">
        <f>'Swiss Climate Strategy'!AE52*Surfaces!K23</f>
        <v>2687924441.9702115</v>
      </c>
      <c r="F18">
        <f>'Swiss Climate Strategy'!AN52*Surfaces!D23</f>
        <v>2386691.712537386</v>
      </c>
      <c r="G18">
        <f t="shared" si="0"/>
        <v>87724410.018386036</v>
      </c>
      <c r="I18">
        <f>'Swiss Climate Strategy'!AO52*Surfaces!J23</f>
        <v>5654755.5972174173</v>
      </c>
      <c r="J18">
        <f t="shared" si="1"/>
        <v>157837877.482519</v>
      </c>
      <c r="L18">
        <f>'Swiss Climate Strategy'!AE52*Surfaces!K23</f>
        <v>2687924441.9702115</v>
      </c>
    </row>
    <row r="19" spans="1:12" x14ac:dyDescent="0.3">
      <c r="A19">
        <v>2036</v>
      </c>
      <c r="B19">
        <f>'Swiss Climate Strategy'!AF53*Surfaces!E24</f>
        <v>100018455.89378862</v>
      </c>
      <c r="C19">
        <f>'Swiss Climate Strategy'!AG53*Surfaces!I24</f>
        <v>189006512.20294642</v>
      </c>
      <c r="D19" s="23">
        <f>'Swiss Climate Strategy'!AE53*Surfaces!K24</f>
        <v>2478072935.0942378</v>
      </c>
      <c r="F19">
        <f>'Swiss Climate Strategy'!AN53*Surfaces!D24</f>
        <v>2097632.808700223</v>
      </c>
      <c r="G19">
        <f t="shared" si="0"/>
        <v>89822042.827086255</v>
      </c>
      <c r="I19">
        <f>'Swiss Climate Strategy'!AO53*Surfaces!J24</f>
        <v>5088584.852423951</v>
      </c>
      <c r="J19">
        <f t="shared" si="1"/>
        <v>162926462.33494294</v>
      </c>
      <c r="L19">
        <f>'Swiss Climate Strategy'!AE53*Surfaces!K24</f>
        <v>2478072935.0942378</v>
      </c>
    </row>
    <row r="20" spans="1:12" x14ac:dyDescent="0.3">
      <c r="A20">
        <v>2037</v>
      </c>
      <c r="B20">
        <f>'Swiss Climate Strategy'!AF54*Surfaces!E25</f>
        <v>96657325.455564097</v>
      </c>
      <c r="C20">
        <f>'Swiss Climate Strategy'!AG54*Surfaces!I25</f>
        <v>185695032.46544275</v>
      </c>
      <c r="D20" s="23">
        <f>'Swiss Climate Strategy'!AE54*Surfaces!K25</f>
        <v>2279037965.2858706</v>
      </c>
      <c r="F20">
        <f>'Swiss Climate Strategy'!AN54*Surfaces!D25</f>
        <v>1830121.1924807176</v>
      </c>
      <c r="G20">
        <f t="shared" si="0"/>
        <v>91652164.019566968</v>
      </c>
      <c r="I20">
        <f>'Swiss Climate Strategy'!AO54*Surfaces!J25</f>
        <v>4541909.3309890339</v>
      </c>
      <c r="J20">
        <f t="shared" si="1"/>
        <v>167468371.66593197</v>
      </c>
      <c r="L20">
        <f>'Swiss Climate Strategy'!AE54*Surfaces!K25</f>
        <v>2279037965.2858706</v>
      </c>
    </row>
    <row r="21" spans="1:12" x14ac:dyDescent="0.3">
      <c r="A21">
        <v>2038</v>
      </c>
      <c r="B21">
        <f>'Swiss Climate Strategy'!AF55*Surfaces!E26</f>
        <v>93233229.417944372</v>
      </c>
      <c r="C21">
        <f>'Swiss Climate Strategy'!AG55*Surfaces!I26</f>
        <v>182029940.3566221</v>
      </c>
      <c r="D21" s="23">
        <f>'Swiss Climate Strategy'!AE55*Surfaces!K26</f>
        <v>2097058544.2309005</v>
      </c>
      <c r="F21">
        <f>'Swiss Climate Strategy'!AN55*Surfaces!D26</f>
        <v>1583116.0580513102</v>
      </c>
      <c r="G21">
        <f t="shared" si="0"/>
        <v>93235280.077618271</v>
      </c>
      <c r="I21">
        <f>'Swiss Climate Strategy'!AO55*Surfaces!J26</f>
        <v>4016283.9367863168</v>
      </c>
      <c r="J21">
        <f t="shared" si="1"/>
        <v>171484655.60271829</v>
      </c>
      <c r="L21">
        <f>'Swiss Climate Strategy'!AE55*Surfaces!K26</f>
        <v>2097058544.2309005</v>
      </c>
    </row>
    <row r="22" spans="1:12" x14ac:dyDescent="0.3">
      <c r="A22">
        <v>2039</v>
      </c>
      <c r="B22">
        <f>'Swiss Climate Strategy'!AF56*Surfaces!E27</f>
        <v>89413102.920838222</v>
      </c>
      <c r="C22">
        <f>'Swiss Climate Strategy'!AG56*Surfaces!I27</f>
        <v>177347014.51585272</v>
      </c>
      <c r="D22" s="23">
        <f>'Swiss Climate Strategy'!AE56*Surfaces!K27</f>
        <v>1922665446.5183709</v>
      </c>
      <c r="F22">
        <f>'Swiss Climate Strategy'!AN56*Surfaces!D27</f>
        <v>1354860.917404799</v>
      </c>
      <c r="G22">
        <f t="shared" si="0"/>
        <v>94590140.995023072</v>
      </c>
      <c r="I22">
        <f>'Swiss Climate Strategy'!AO56*Surfaces!J27</f>
        <v>3511079.2665448789</v>
      </c>
      <c r="J22">
        <f t="shared" si="1"/>
        <v>174995734.86926317</v>
      </c>
      <c r="L22">
        <f>'Swiss Climate Strategy'!AE56*Surfaces!K27</f>
        <v>1922665446.5183709</v>
      </c>
    </row>
    <row r="23" spans="1:12" x14ac:dyDescent="0.3">
      <c r="A23">
        <v>2040</v>
      </c>
      <c r="B23">
        <f>'Swiss Climate Strategy'!AF57*Surfaces!E28</f>
        <v>85356502.592152789</v>
      </c>
      <c r="C23">
        <f>'Swiss Climate Strategy'!AG57*Surfaces!I28</f>
        <v>171933279.83362842</v>
      </c>
      <c r="D23" s="23">
        <f>'Swiss Climate Strategy'!AE57*Surfaces!K28</f>
        <v>1758144428.6666133</v>
      </c>
      <c r="F23">
        <f>'Swiss Climate Strategy'!AN57*Surfaces!D28</f>
        <v>1144660.1525900876</v>
      </c>
      <c r="G23">
        <f t="shared" si="0"/>
        <v>95734801.147613153</v>
      </c>
      <c r="I23">
        <f>'Swiss Climate Strategy'!AO57*Surfaces!J28</f>
        <v>3027998.4678768162</v>
      </c>
      <c r="J23">
        <f t="shared" si="1"/>
        <v>178023733.33713999</v>
      </c>
      <c r="L23">
        <f>'Swiss Climate Strategy'!AE57*Surfaces!K28</f>
        <v>1758144428.6666133</v>
      </c>
    </row>
    <row r="24" spans="1:12" x14ac:dyDescent="0.3">
      <c r="A24">
        <v>2041</v>
      </c>
      <c r="B24">
        <f>'Swiss Climate Strategy'!AF58*Surfaces!E29</f>
        <v>80180430.517373249</v>
      </c>
      <c r="C24">
        <f>'Swiss Climate Strategy'!AG58*Surfaces!I29</f>
        <v>163963805.68407965</v>
      </c>
      <c r="D24" s="23">
        <f>'Swiss Climate Strategy'!AE58*Surfaces!K29</f>
        <v>1584814744.3310151</v>
      </c>
      <c r="F24">
        <f>'Swiss Climate Strategy'!AN58*Surfaces!D29</f>
        <v>951553.0159786297</v>
      </c>
      <c r="G24">
        <f t="shared" si="0"/>
        <v>96686354.163591787</v>
      </c>
      <c r="I24">
        <f>'Swiss Climate Strategy'!AO58*Surfaces!J29</f>
        <v>2567795.5274954131</v>
      </c>
      <c r="J24">
        <f t="shared" si="1"/>
        <v>180591528.86463541</v>
      </c>
      <c r="L24">
        <f>'Swiss Climate Strategy'!AE58*Surfaces!K29</f>
        <v>1584814744.3310151</v>
      </c>
    </row>
    <row r="25" spans="1:12" x14ac:dyDescent="0.3">
      <c r="A25">
        <v>2042</v>
      </c>
      <c r="B25">
        <f>'Swiss Climate Strategy'!AF59*Surfaces!E30</f>
        <v>75529030.221507877</v>
      </c>
      <c r="C25">
        <f>'Swiss Climate Strategy'!AG59*Surfaces!I30</f>
        <v>156751163.38540441</v>
      </c>
      <c r="D25" s="23">
        <f>'Swiss Climate Strategy'!AE59*Surfaces!K30</f>
        <v>1434916086.6010716</v>
      </c>
      <c r="F25">
        <f>'Swiss Climate Strategy'!AN59*Surfaces!D30</f>
        <v>776699.51971350017</v>
      </c>
      <c r="G25">
        <f t="shared" si="0"/>
        <v>97463053.683305293</v>
      </c>
      <c r="I25">
        <f>'Swiss Climate Strategy'!AO59*Surfaces!J30</f>
        <v>2136776.4212323497</v>
      </c>
      <c r="J25">
        <f t="shared" si="1"/>
        <v>182728305.28586775</v>
      </c>
      <c r="L25">
        <f>'Swiss Climate Strategy'!AE59*Surfaces!K30</f>
        <v>1434916086.6010716</v>
      </c>
    </row>
    <row r="26" spans="1:12" x14ac:dyDescent="0.3">
      <c r="A26">
        <v>2043</v>
      </c>
      <c r="B26">
        <f>'Swiss Climate Strategy'!AF60*Surfaces!E31</f>
        <v>68818259.653141499</v>
      </c>
      <c r="C26">
        <f>'Swiss Climate Strategy'!AG60*Surfaces!I31</f>
        <v>144905159.65537751</v>
      </c>
      <c r="D26" s="23">
        <f>'Swiss Climate Strategy'!AE60*Surfaces!K31</f>
        <v>1258549856.8013227</v>
      </c>
      <c r="F26">
        <f>'Swiss Climate Strategy'!AN60*Surfaces!D31</f>
        <v>617594.05332357041</v>
      </c>
      <c r="G26">
        <f t="shared" si="0"/>
        <v>98080647.73662886</v>
      </c>
      <c r="I26">
        <f>'Swiss Climate Strategy'!AO60*Surfaces!J31</f>
        <v>1731138.853277331</v>
      </c>
      <c r="J26">
        <f t="shared" si="1"/>
        <v>184459444.13914508</v>
      </c>
      <c r="L26">
        <f>'Swiss Climate Strategy'!AE60*Surfaces!K31</f>
        <v>1258549856.8013227</v>
      </c>
    </row>
    <row r="27" spans="1:12" x14ac:dyDescent="0.3">
      <c r="A27">
        <v>2044</v>
      </c>
      <c r="B27">
        <f>'Swiss Climate Strategy'!AF61*Surfaces!E32</f>
        <v>61877631.008005075</v>
      </c>
      <c r="C27">
        <f>'Swiss Climate Strategy'!AG61*Surfaces!I32</f>
        <v>132150245.06683137</v>
      </c>
      <c r="D27" s="23">
        <f>'Swiss Climate Strategy'!AE61*Surfaces!K32</f>
        <v>1090822994.6439557</v>
      </c>
      <c r="F27">
        <f>'Swiss Climate Strategy'!AN61*Surfaces!D32</f>
        <v>477409.92824263411</v>
      </c>
      <c r="G27">
        <f t="shared" si="0"/>
        <v>98558057.664871499</v>
      </c>
      <c r="I27">
        <f>'Swiss Climate Strategy'!AO61*Surfaces!J32</f>
        <v>1362699.3563532832</v>
      </c>
      <c r="J27">
        <f t="shared" si="1"/>
        <v>185822143.49549836</v>
      </c>
      <c r="L27">
        <f>'Swiss Climate Strategy'!AE61*Surfaces!K32</f>
        <v>1090822994.6439557</v>
      </c>
    </row>
    <row r="28" spans="1:12" x14ac:dyDescent="0.3">
      <c r="A28">
        <v>2045</v>
      </c>
      <c r="B28">
        <f>'Swiss Climate Strategy'!AF62*Surfaces!E33</f>
        <v>54781213.875231855</v>
      </c>
      <c r="C28">
        <f>'Swiss Climate Strategy'!AG62*Surfaces!I33</f>
        <v>118630250.81786096</v>
      </c>
      <c r="D28" s="23">
        <f>'Swiss Climate Strategy'!AE62*Surfaces!K33</f>
        <v>932093792.89297128</v>
      </c>
      <c r="F28">
        <f>'Swiss Climate Strategy'!AN62*Surfaces!D33</f>
        <v>355336.67572061648</v>
      </c>
      <c r="G28">
        <f t="shared" si="0"/>
        <v>98913394.340592116</v>
      </c>
      <c r="I28">
        <f>'Swiss Climate Strategy'!AO62*Surfaces!J33</f>
        <v>1032279.9215326834</v>
      </c>
      <c r="J28">
        <f t="shared" si="1"/>
        <v>186854423.41703105</v>
      </c>
      <c r="L28">
        <f>'Swiss Climate Strategy'!AE62*Surfaces!K33</f>
        <v>932093792.89297128</v>
      </c>
    </row>
    <row r="29" spans="1:12" x14ac:dyDescent="0.3">
      <c r="A29">
        <v>2046</v>
      </c>
      <c r="B29">
        <f>'Swiss Climate Strategy'!AF63*Surfaces!E34</f>
        <v>44414799.63620539</v>
      </c>
      <c r="C29">
        <f>'Swiss Climate Strategy'!AG63*Surfaces!I34</f>
        <v>97499118.976598501</v>
      </c>
      <c r="D29" s="23">
        <f>'Swiss Climate Strategy'!AE63*Surfaces!K34</f>
        <v>730256103.55608356</v>
      </c>
      <c r="F29">
        <f>'Swiss Climate Strategy'!AN63*Surfaces!D34</f>
        <v>250515.29119305199</v>
      </c>
      <c r="G29">
        <f t="shared" si="0"/>
        <v>99163909.631785169</v>
      </c>
      <c r="I29">
        <f>'Swiss Climate Strategy'!AO63*Surfaces!J34</f>
        <v>740322.08291047346</v>
      </c>
      <c r="J29">
        <f t="shared" si="1"/>
        <v>187594745.49994153</v>
      </c>
      <c r="L29">
        <f>'Swiss Climate Strategy'!AE63*Surfaces!K34</f>
        <v>730256103.55608356</v>
      </c>
    </row>
    <row r="30" spans="1:12" x14ac:dyDescent="0.3">
      <c r="A30">
        <v>2047</v>
      </c>
      <c r="B30">
        <f>'Swiss Climate Strategy'!AF64*Surfaces!E35</f>
        <v>35166756.875353985</v>
      </c>
      <c r="C30">
        <f>'Swiss Climate Strategy'!AG64*Surfaces!I35</f>
        <v>78234492.686025113</v>
      </c>
      <c r="D30" s="23">
        <f>'Swiss Climate Strategy'!AE64*Surfaces!K35</f>
        <v>559338107.29866195</v>
      </c>
      <c r="F30">
        <f>'Swiss Climate Strategy'!AN64*Surfaces!D35</f>
        <v>168066.34943090999</v>
      </c>
      <c r="G30">
        <f t="shared" si="0"/>
        <v>99331975.981216073</v>
      </c>
      <c r="I30">
        <f>'Swiss Climate Strategy'!AO64*Surfaces!J35</f>
        <v>504994.69088980625</v>
      </c>
      <c r="J30">
        <f t="shared" si="1"/>
        <v>188099740.19083133</v>
      </c>
      <c r="L30">
        <f>'Swiss Climate Strategy'!AE64*Surfaces!K35</f>
        <v>559338107.29866195</v>
      </c>
    </row>
    <row r="31" spans="1:12" x14ac:dyDescent="0.3">
      <c r="A31">
        <v>2048</v>
      </c>
      <c r="B31">
        <f>'Swiss Climate Strategy'!AF65*Surfaces!E36</f>
        <v>26905878.21775296</v>
      </c>
      <c r="C31">
        <f>'Swiss Climate Strategy'!AG65*Surfaces!I36</f>
        <v>60644827.937726073</v>
      </c>
      <c r="D31" s="23">
        <f>'Swiss Climate Strategy'!AE65*Surfaces!K36</f>
        <v>414405521.32961303</v>
      </c>
      <c r="F31">
        <f>'Swiss Climate Strategy'!AN65*Surfaces!D36</f>
        <v>104647.52482008981</v>
      </c>
      <c r="G31">
        <f t="shared" si="0"/>
        <v>99436623.506036162</v>
      </c>
      <c r="I31">
        <f>'Swiss Climate Strategy'!AO65*Surfaces!J36</f>
        <v>319561.78619425249</v>
      </c>
      <c r="J31">
        <f t="shared" si="1"/>
        <v>188419301.9770256</v>
      </c>
      <c r="L31">
        <f>'Swiss Climate Strategy'!AE65*Surfaces!K36</f>
        <v>414405521.32961303</v>
      </c>
    </row>
    <row r="32" spans="1:12" x14ac:dyDescent="0.3">
      <c r="A32">
        <v>2049</v>
      </c>
      <c r="B32">
        <f>'Swiss Climate Strategy'!AF66*Surfaces!E37</f>
        <v>19808449.012241792</v>
      </c>
      <c r="C32">
        <f>'Swiss Climate Strategy'!AG66*Surfaces!I37</f>
        <v>45224012.923453465</v>
      </c>
      <c r="D32" s="23">
        <f>'Swiss Climate Strategy'!AE66*Surfaces!K37</f>
        <v>295717195.02065438</v>
      </c>
      <c r="F32">
        <f>'Swiss Climate Strategy'!AN66*Surfaces!D37</f>
        <v>57448.209589350743</v>
      </c>
      <c r="G32">
        <f t="shared" si="0"/>
        <v>99494071.71562551</v>
      </c>
      <c r="I32">
        <f>'Swiss Climate Strategy'!AO66*Surfaces!J37</f>
        <v>178209.77462262171</v>
      </c>
      <c r="J32">
        <f t="shared" si="1"/>
        <v>188597511.75164822</v>
      </c>
      <c r="L32">
        <f>'Swiss Climate Strategy'!AE66*Surfaces!K37</f>
        <v>295717195.02065438</v>
      </c>
    </row>
    <row r="33" spans="1:12" x14ac:dyDescent="0.3">
      <c r="A33">
        <v>2050</v>
      </c>
      <c r="B33">
        <f>'Swiss Climate Strategy'!AF67*Surfaces!E38</f>
        <v>14145017.54103365</v>
      </c>
      <c r="C33">
        <f>'Swiss Climate Strategy'!AG67*Surfaces!I38</f>
        <v>32703110.311828069</v>
      </c>
      <c r="D33" s="23">
        <f>'Swiss Climate Strategy'!AE67*Surfaces!K38</f>
        <v>204862011.85471392</v>
      </c>
      <c r="F33">
        <f>'Swiss Climate Strategy'!AN67*Surfaces!D38</f>
        <v>23595.784987554645</v>
      </c>
      <c r="G33">
        <f t="shared" si="0"/>
        <v>99517667.500613064</v>
      </c>
      <c r="I33">
        <f>'Swiss Climate Strategy'!AO67*Surfaces!J38</f>
        <v>74325.250708700158</v>
      </c>
      <c r="J33">
        <f t="shared" si="1"/>
        <v>188671837.00235692</v>
      </c>
      <c r="L33">
        <f>'Swiss Climate Strategy'!AE67*Surfaces!K38</f>
        <v>204862011.85471392</v>
      </c>
    </row>
    <row r="34" spans="1:12" x14ac:dyDescent="0.3">
      <c r="D34" s="23"/>
    </row>
    <row r="36" spans="1:12" x14ac:dyDescent="0.3">
      <c r="B36">
        <f>SUM(B3:D33)/1000000000</f>
        <v>104.91210791453648</v>
      </c>
      <c r="G36">
        <f>(SUM(G3:G33)+SUM(J3:J33)+SUM(L3:L33))/1000000000</f>
        <v>104.56287512559609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FD351-A753-43F9-8541-DAE96994950B}">
  <dimension ref="A1:D34"/>
  <sheetViews>
    <sheetView workbookViewId="0">
      <selection activeCell="A2" sqref="A2:D34"/>
    </sheetView>
  </sheetViews>
  <sheetFormatPr baseColWidth="10" defaultRowHeight="14.4" x14ac:dyDescent="0.3"/>
  <sheetData>
    <row r="1" spans="1:4" x14ac:dyDescent="0.3">
      <c r="A1" t="s">
        <v>213</v>
      </c>
    </row>
    <row r="2" spans="1:4" x14ac:dyDescent="0.3">
      <c r="B2" t="s">
        <v>214</v>
      </c>
      <c r="C2" t="s">
        <v>45</v>
      </c>
      <c r="D2" t="s">
        <v>215</v>
      </c>
    </row>
    <row r="3" spans="1:4" x14ac:dyDescent="0.3">
      <c r="B3" t="s">
        <v>216</v>
      </c>
      <c r="C3" t="s">
        <v>217</v>
      </c>
      <c r="D3" t="s">
        <v>218</v>
      </c>
    </row>
    <row r="4" spans="1:4" x14ac:dyDescent="0.3">
      <c r="A4">
        <v>2020</v>
      </c>
      <c r="B4" s="23">
        <f>'1.5°C'!N37</f>
        <v>3.6642517776420633</v>
      </c>
      <c r="C4" s="28">
        <f>Surfaces!D8+Surfaces!$O$8</f>
        <v>5705896.5562500004</v>
      </c>
      <c r="D4" s="11">
        <f>(B4*1000000000)/C4</f>
        <v>642.18685731839901</v>
      </c>
    </row>
    <row r="5" spans="1:4" x14ac:dyDescent="0.3">
      <c r="A5">
        <v>2021</v>
      </c>
      <c r="B5" s="23">
        <f>'1.5°C'!N38</f>
        <v>3.4128841056958175</v>
      </c>
      <c r="C5" s="28">
        <f>Surfaces!D9+Surfaces!$O$8</f>
        <v>5741443.5395624992</v>
      </c>
      <c r="D5" s="11">
        <f t="shared" ref="D5:D34" si="0">(B5*1000000000)/C5</f>
        <v>594.42962073539456</v>
      </c>
    </row>
    <row r="6" spans="1:4" x14ac:dyDescent="0.3">
      <c r="A6">
        <v>2022</v>
      </c>
      <c r="B6" s="23">
        <f>'1.5°C'!N39</f>
        <v>3.1787602560450847</v>
      </c>
      <c r="C6" s="28">
        <f>Surfaces!D10+Surfaces!$O$8</f>
        <v>5776990.5228749989</v>
      </c>
      <c r="D6" s="11">
        <f t="shared" si="0"/>
        <v>550.24501831156397</v>
      </c>
    </row>
    <row r="7" spans="1:4" x14ac:dyDescent="0.3">
      <c r="A7">
        <v>2023</v>
      </c>
      <c r="B7" s="23">
        <f>'1.5°C'!N40</f>
        <v>2.960697302480392</v>
      </c>
      <c r="C7" s="28">
        <f>Surfaces!D11+Surfaces!$O$8</f>
        <v>5812537.5061874995</v>
      </c>
      <c r="D7" s="11">
        <f t="shared" si="0"/>
        <v>509.3639910845655</v>
      </c>
    </row>
    <row r="8" spans="1:4" x14ac:dyDescent="0.3">
      <c r="A8">
        <v>2024</v>
      </c>
      <c r="B8" s="23">
        <f>'1.5°C'!N41</f>
        <v>2.7575934675302376</v>
      </c>
      <c r="C8" s="28">
        <f>Surfaces!D12+Surfaces!$O$8</f>
        <v>5848084.4894999992</v>
      </c>
      <c r="D8" s="11">
        <f t="shared" si="0"/>
        <v>471.53789800427575</v>
      </c>
    </row>
    <row r="9" spans="1:4" x14ac:dyDescent="0.3">
      <c r="A9">
        <v>2025</v>
      </c>
      <c r="B9" s="23">
        <f>'1.5°C'!N42</f>
        <v>2.5684225556576625</v>
      </c>
      <c r="C9" s="28">
        <f>Surfaces!D13+Surfaces!$O$8</f>
        <v>5883631.4728124989</v>
      </c>
      <c r="D9" s="11">
        <f t="shared" si="0"/>
        <v>436.53695299000475</v>
      </c>
    </row>
    <row r="10" spans="1:4" x14ac:dyDescent="0.3">
      <c r="A10">
        <v>2026</v>
      </c>
      <c r="B10" s="23">
        <f>'1.5°C'!N43</f>
        <v>2.3922287683395473</v>
      </c>
      <c r="C10" s="28">
        <f>Surfaces!D14+Surfaces!$O$8</f>
        <v>5919178.4561249996</v>
      </c>
      <c r="D10" s="11">
        <f t="shared" si="0"/>
        <v>404.14878282038211</v>
      </c>
    </row>
    <row r="11" spans="1:4" x14ac:dyDescent="0.3">
      <c r="A11">
        <v>2027</v>
      </c>
      <c r="B11" s="23">
        <f>'1.5°C'!N44</f>
        <v>2.2281218748314546</v>
      </c>
      <c r="C11" s="28">
        <f>Surfaces!D15+Surfaces!$O$8</f>
        <v>5954725.4394374993</v>
      </c>
      <c r="D11" s="11">
        <f t="shared" si="0"/>
        <v>374.177096407308</v>
      </c>
    </row>
    <row r="12" spans="1:4" x14ac:dyDescent="0.3">
      <c r="A12">
        <v>2028</v>
      </c>
      <c r="B12" s="23">
        <f>'1.5°C'!N45</f>
        <v>2.0752727142180167</v>
      </c>
      <c r="C12" s="28">
        <f>Surfaces!D16+Surfaces!$O$8</f>
        <v>5990272.422749999</v>
      </c>
      <c r="D12" s="11">
        <f t="shared" si="0"/>
        <v>346.44045675393602</v>
      </c>
    </row>
    <row r="13" spans="1:4" x14ac:dyDescent="0.3">
      <c r="A13">
        <v>2029</v>
      </c>
      <c r="B13" s="23">
        <f>'1.5°C'!N46</f>
        <v>1.9329090060226608</v>
      </c>
      <c r="C13" s="28">
        <f>Surfaces!D17+Surfaces!$O$8</f>
        <v>6025819.4060624996</v>
      </c>
      <c r="D13" s="11">
        <f t="shared" si="0"/>
        <v>320.77114758500494</v>
      </c>
    </row>
    <row r="14" spans="1:4" x14ac:dyDescent="0.3">
      <c r="A14">
        <v>2030</v>
      </c>
      <c r="B14" s="23">
        <f>'1.5°C'!N47</f>
        <v>1.8003114482095064</v>
      </c>
      <c r="C14" s="28">
        <f>Surfaces!D18+Surfaces!$O$8</f>
        <v>6061366.3893749993</v>
      </c>
      <c r="D14" s="11">
        <f t="shared" si="0"/>
        <v>297.0141272709206</v>
      </c>
    </row>
    <row r="15" spans="1:4" x14ac:dyDescent="0.3">
      <c r="A15">
        <v>2031</v>
      </c>
      <c r="B15" s="23">
        <f>'1.5°C'!N48</f>
        <v>1.676810082862334</v>
      </c>
      <c r="C15" s="28">
        <f>Surfaces!D19+Surfaces!$O$8</f>
        <v>6096913.372687499</v>
      </c>
      <c r="D15" s="11">
        <f t="shared" si="0"/>
        <v>275.02606324931293</v>
      </c>
    </row>
    <row r="16" spans="1:4" x14ac:dyDescent="0.3">
      <c r="A16">
        <v>2032</v>
      </c>
      <c r="B16" s="23">
        <f>'1.5°C'!N49</f>
        <v>1.5617809111779783</v>
      </c>
      <c r="C16" s="28">
        <f>Surfaces!D20+Surfaces!$O$8</f>
        <v>6132460.3559999997</v>
      </c>
      <c r="D16" s="11">
        <f t="shared" si="0"/>
        <v>254.67444068349039</v>
      </c>
    </row>
    <row r="17" spans="1:4" x14ac:dyDescent="0.3">
      <c r="A17">
        <v>2033</v>
      </c>
      <c r="B17" s="23">
        <f>'1.5°C'!N50</f>
        <v>1.4546427406711688</v>
      </c>
      <c r="C17" s="28">
        <f>Surfaces!D21+Surfaces!$O$8</f>
        <v>6168007.3393124994</v>
      </c>
      <c r="D17" s="11">
        <f t="shared" si="0"/>
        <v>235.83673959008399</v>
      </c>
    </row>
    <row r="18" spans="1:4" x14ac:dyDescent="0.3">
      <c r="A18">
        <v>2034</v>
      </c>
      <c r="B18" s="23">
        <f>'1.5°C'!N51</f>
        <v>1.3548542486611266</v>
      </c>
      <c r="C18" s="28">
        <f>Surfaces!D22+Surfaces!$O$8</f>
        <v>6203554.3226249991</v>
      </c>
      <c r="D18" s="11">
        <f t="shared" si="0"/>
        <v>218.39967512170148</v>
      </c>
    </row>
    <row r="19" spans="1:4" x14ac:dyDescent="0.3">
      <c r="A19">
        <v>2035</v>
      </c>
      <c r="B19" s="23">
        <f>'1.5°C'!N52</f>
        <v>1.2619112472029734</v>
      </c>
      <c r="C19" s="28">
        <f>Surfaces!D23+Surfaces!$O$8</f>
        <v>6239101.3059374997</v>
      </c>
      <c r="D19" s="11">
        <f t="shared" si="0"/>
        <v>202.25849610777493</v>
      </c>
    </row>
    <row r="20" spans="1:4" x14ac:dyDescent="0.3">
      <c r="A20">
        <v>2036</v>
      </c>
      <c r="B20" s="23">
        <f>'1.5°C'!N53</f>
        <v>1.1753441356448495</v>
      </c>
      <c r="C20" s="28">
        <f>Surfaces!D24+Surfaces!$O$8</f>
        <v>6274648.2892499994</v>
      </c>
      <c r="D20" s="11">
        <f t="shared" si="0"/>
        <v>187.31633734093117</v>
      </c>
    </row>
    <row r="21" spans="1:4" x14ac:dyDescent="0.3">
      <c r="A21">
        <v>2037</v>
      </c>
      <c r="B21" s="23">
        <f>'1.5°C'!N54</f>
        <v>1.094715527939613</v>
      </c>
      <c r="C21" s="28">
        <f>Surfaces!D25+Surfaces!$O$8</f>
        <v>6310195.2725624992</v>
      </c>
      <c r="D21" s="11">
        <f t="shared" si="0"/>
        <v>173.48362144980999</v>
      </c>
    </row>
    <row r="22" spans="1:4" x14ac:dyDescent="0.3">
      <c r="A22">
        <v>2038</v>
      </c>
      <c r="B22" s="23">
        <f>'1.5°C'!N55</f>
        <v>1.0196180427229555</v>
      </c>
      <c r="C22" s="28">
        <f>Surfaces!D26+Surfaces!$O$8</f>
        <v>6345742.2558749998</v>
      </c>
      <c r="D22" s="11">
        <f t="shared" si="0"/>
        <v>160.67750652478443</v>
      </c>
    </row>
    <row r="23" spans="1:4" x14ac:dyDescent="0.3">
      <c r="A23">
        <v>2039</v>
      </c>
      <c r="B23" s="23">
        <f>'1.5°C'!N56</f>
        <v>0.94967224499216074</v>
      </c>
      <c r="C23" s="28">
        <f>Surfaces!D27+Surfaces!$O$8</f>
        <v>6381289.2391874995</v>
      </c>
      <c r="D23" s="11">
        <f t="shared" si="0"/>
        <v>148.82137596274796</v>
      </c>
    </row>
    <row r="24" spans="1:4" x14ac:dyDescent="0.3">
      <c r="A24">
        <v>2040</v>
      </c>
      <c r="B24" s="23">
        <f>'1.5°C'!N57</f>
        <v>0.88452472898569856</v>
      </c>
      <c r="C24" s="28">
        <f>Surfaces!D28+Surfaces!$O$8</f>
        <v>6416836.2224999992</v>
      </c>
      <c r="D24" s="11">
        <f t="shared" si="0"/>
        <v>137.844367273112</v>
      </c>
    </row>
    <row r="25" spans="1:4" x14ac:dyDescent="0.3">
      <c r="A25">
        <v>2041</v>
      </c>
      <c r="B25" s="23">
        <f>'1.5°C'!N58</f>
        <v>0.82384633257727968</v>
      </c>
      <c r="C25" s="28">
        <f>Surfaces!D29+Surfaces!$O$8</f>
        <v>6452383.2058124999</v>
      </c>
      <c r="D25" s="11">
        <f t="shared" si="0"/>
        <v>127.68093684131071</v>
      </c>
    </row>
    <row r="26" spans="1:4" x14ac:dyDescent="0.3">
      <c r="A26">
        <v>2042</v>
      </c>
      <c r="B26" s="23">
        <f>'1.5°C'!N59</f>
        <v>0.76733047416247846</v>
      </c>
      <c r="C26" s="28">
        <f>Surfaces!D30+Surfaces!$O$8</f>
        <v>6487930.1891249996</v>
      </c>
      <c r="D26" s="11">
        <f t="shared" si="0"/>
        <v>118.27045788018339</v>
      </c>
    </row>
    <row r="27" spans="1:4" x14ac:dyDescent="0.3">
      <c r="A27">
        <v>2043</v>
      </c>
      <c r="B27" s="23">
        <f>'1.5°C'!N60</f>
        <v>0.71469160363493223</v>
      </c>
      <c r="C27" s="28">
        <f>Surfaces!D31+Surfaces!$O$8</f>
        <v>6523477.1724374993</v>
      </c>
      <c r="D27" s="11">
        <f t="shared" si="0"/>
        <v>109.55684901521431</v>
      </c>
    </row>
    <row r="28" spans="1:4" x14ac:dyDescent="0.3">
      <c r="A28">
        <v>2044</v>
      </c>
      <c r="B28" s="23">
        <f>'1.5°C'!N61</f>
        <v>0.66566375962557611</v>
      </c>
      <c r="C28" s="28">
        <f>Surfaces!D32+Surfaces!$O$8</f>
        <v>6559024.1557499999</v>
      </c>
      <c r="D28" s="11">
        <f t="shared" si="0"/>
        <v>101.48823114822939</v>
      </c>
    </row>
    <row r="29" spans="1:4" x14ac:dyDescent="0.3">
      <c r="A29">
        <v>2045</v>
      </c>
      <c r="B29" s="23">
        <f>'1.5°C'!N62</f>
        <v>0.61999922571526145</v>
      </c>
      <c r="C29" s="28">
        <f>Surfaces!D33+Surfaces!$O$8</f>
        <v>6594571.1390624996</v>
      </c>
      <c r="D29" s="11">
        <f t="shared" si="0"/>
        <v>94.016610427134168</v>
      </c>
    </row>
    <row r="30" spans="1:4" x14ac:dyDescent="0.3">
      <c r="A30">
        <v>2046</v>
      </c>
      <c r="B30" s="23">
        <f>'1.5°C'!N63</f>
        <v>0.57746727883119442</v>
      </c>
      <c r="C30" s="28">
        <f>Surfaces!D34+Surfaces!$O$8</f>
        <v>6630118.1223749993</v>
      </c>
      <c r="D30" s="11">
        <f t="shared" si="0"/>
        <v>87.097585317882348</v>
      </c>
    </row>
    <row r="31" spans="1:4" x14ac:dyDescent="0.3">
      <c r="A31">
        <v>2047</v>
      </c>
      <c r="B31" s="23">
        <f>'1.5°C'!N64</f>
        <v>0.53785302350337472</v>
      </c>
      <c r="C31" s="28">
        <f>Surfaces!D35+Surfaces!$O$8</f>
        <v>6665665.1056875</v>
      </c>
      <c r="D31" s="11">
        <f t="shared" si="0"/>
        <v>80.690075930224864</v>
      </c>
    </row>
    <row r="32" spans="1:4" x14ac:dyDescent="0.3">
      <c r="A32">
        <v>2048</v>
      </c>
      <c r="B32" s="23">
        <f>'1.5°C'!N65</f>
        <v>0.50095630609104314</v>
      </c>
      <c r="C32" s="28">
        <f>Surfaces!D36+Surfaces!$O$8</f>
        <v>6701212.0889999997</v>
      </c>
      <c r="D32" s="11">
        <f t="shared" si="0"/>
        <v>74.756073891969478</v>
      </c>
    </row>
    <row r="33" spans="1:4" x14ac:dyDescent="0.3">
      <c r="A33">
        <v>2049</v>
      </c>
      <c r="B33" s="23">
        <f>'1.5°C'!N66</f>
        <v>0.46659070349319748</v>
      </c>
      <c r="C33" s="28">
        <f>Surfaces!D37+Surfaces!$O$8</f>
        <v>6736759.0723124994</v>
      </c>
      <c r="D33" s="11">
        <f t="shared" si="0"/>
        <v>69.260411198441872</v>
      </c>
    </row>
    <row r="34" spans="1:4" x14ac:dyDescent="0.3">
      <c r="A34">
        <v>2050</v>
      </c>
      <c r="B34" s="23">
        <f>'1.5°C'!N67</f>
        <v>0.43458258123356425</v>
      </c>
      <c r="C34" s="28">
        <f>Surfaces!D38+Surfaces!$O$8</f>
        <v>6772306.055625</v>
      </c>
      <c r="D34" s="11">
        <f t="shared" si="0"/>
        <v>64.170546585472891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4123-AB44-43C1-B311-B7729B7F7AAF}">
  <dimension ref="A1:P80"/>
  <sheetViews>
    <sheetView topLeftCell="A31" zoomScale="70" zoomScaleNormal="70" workbookViewId="0">
      <selection activeCell="B81" sqref="B81"/>
    </sheetView>
  </sheetViews>
  <sheetFormatPr baseColWidth="10" defaultRowHeight="14.4" x14ac:dyDescent="0.3"/>
  <cols>
    <col min="14" max="14" width="49.44140625" customWidth="1"/>
  </cols>
  <sheetData>
    <row r="1" spans="1:16" x14ac:dyDescent="0.3">
      <c r="A1" t="s">
        <v>286</v>
      </c>
    </row>
    <row r="2" spans="1:16" x14ac:dyDescent="0.3">
      <c r="A2" t="s">
        <v>288</v>
      </c>
      <c r="N2" s="1" t="s">
        <v>306</v>
      </c>
    </row>
    <row r="3" spans="1:16" ht="57.6" x14ac:dyDescent="0.3">
      <c r="N3" s="252" t="s">
        <v>307</v>
      </c>
    </row>
    <row r="12" spans="1:16" ht="15" thickBot="1" x14ac:dyDescent="0.35"/>
    <row r="13" spans="1:16" x14ac:dyDescent="0.3">
      <c r="P13" s="222"/>
    </row>
    <row r="53" spans="1:1" x14ac:dyDescent="0.3">
      <c r="A53" t="s">
        <v>289</v>
      </c>
    </row>
    <row r="77" spans="1:2" x14ac:dyDescent="0.3">
      <c r="A77" t="s">
        <v>323</v>
      </c>
    </row>
    <row r="78" spans="1:2" x14ac:dyDescent="0.3">
      <c r="A78" t="s">
        <v>324</v>
      </c>
      <c r="B78" s="25">
        <v>0.1</v>
      </c>
    </row>
    <row r="79" spans="1:2" x14ac:dyDescent="0.3">
      <c r="A79" t="s">
        <v>325</v>
      </c>
      <c r="B79" s="25">
        <v>0.7</v>
      </c>
    </row>
    <row r="80" spans="1:2" x14ac:dyDescent="0.3">
      <c r="A80" t="s">
        <v>326</v>
      </c>
      <c r="B80" s="25">
        <v>0.2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47E08-A46B-461A-BB50-DF3BD0CE5C2A}">
  <sheetPr>
    <tabColor theme="7"/>
  </sheetPr>
  <dimension ref="A1:Z90"/>
  <sheetViews>
    <sheetView topLeftCell="A4" zoomScale="115" zoomScaleNormal="115" workbookViewId="0">
      <selection activeCell="D12" sqref="D12:D14"/>
    </sheetView>
  </sheetViews>
  <sheetFormatPr baseColWidth="10" defaultColWidth="11.44140625" defaultRowHeight="14.4" x14ac:dyDescent="0.3"/>
  <cols>
    <col min="1" max="1" width="14.6640625" customWidth="1"/>
    <col min="2" max="2" width="36.33203125" customWidth="1"/>
    <col min="3" max="3" width="12.44140625" customWidth="1"/>
    <col min="15" max="15" width="30.44140625" hidden="1" customWidth="1"/>
    <col min="16" max="16" width="15.33203125" hidden="1" customWidth="1"/>
    <col min="17" max="26" width="11.44140625" hidden="1" customWidth="1"/>
  </cols>
  <sheetData>
    <row r="1" spans="1:26" ht="79.95" customHeight="1" x14ac:dyDescent="0.3">
      <c r="B1" s="17"/>
      <c r="C1" s="288" t="s">
        <v>0</v>
      </c>
      <c r="D1" s="288"/>
      <c r="E1" s="288"/>
      <c r="F1" s="22"/>
      <c r="H1" s="22"/>
      <c r="I1" s="22"/>
      <c r="J1" s="22"/>
      <c r="K1" s="22"/>
      <c r="L1" s="22"/>
      <c r="M1" s="18"/>
      <c r="O1" s="17"/>
      <c r="P1" s="22"/>
      <c r="Q1" s="202"/>
      <c r="R1" s="22"/>
      <c r="S1" s="22"/>
      <c r="T1" s="22"/>
      <c r="U1" s="22"/>
      <c r="V1" s="22"/>
      <c r="W1" s="22"/>
      <c r="X1" s="22"/>
      <c r="Y1" s="22"/>
      <c r="Z1" s="18"/>
    </row>
    <row r="2" spans="1:26" ht="18" x14ac:dyDescent="0.35">
      <c r="B2" s="66" t="s">
        <v>1</v>
      </c>
      <c r="C2" s="61"/>
      <c r="D2" s="289" t="s">
        <v>2</v>
      </c>
      <c r="E2" s="289"/>
      <c r="F2" s="289"/>
      <c r="M2" s="5"/>
      <c r="O2" s="66" t="s">
        <v>1</v>
      </c>
      <c r="P2" s="61"/>
      <c r="Q2" s="289" t="s">
        <v>3</v>
      </c>
      <c r="R2" s="289"/>
      <c r="Z2" s="5"/>
    </row>
    <row r="3" spans="1:26" x14ac:dyDescent="0.3">
      <c r="B3" s="2"/>
      <c r="C3" t="s">
        <v>4</v>
      </c>
      <c r="D3" s="266" t="s">
        <v>5</v>
      </c>
      <c r="M3" s="5"/>
      <c r="O3" s="2"/>
      <c r="P3" t="s">
        <v>4</v>
      </c>
      <c r="Q3" s="35"/>
      <c r="Z3" s="5"/>
    </row>
    <row r="4" spans="1:26" x14ac:dyDescent="0.3">
      <c r="B4" s="66" t="s">
        <v>6</v>
      </c>
      <c r="C4" s="67" t="s">
        <v>7</v>
      </c>
      <c r="D4" s="62">
        <v>1</v>
      </c>
      <c r="E4" s="62">
        <v>2</v>
      </c>
      <c r="F4" s="62">
        <v>3</v>
      </c>
      <c r="G4" s="62">
        <v>4</v>
      </c>
      <c r="H4" s="62">
        <v>5</v>
      </c>
      <c r="I4" s="62">
        <v>6</v>
      </c>
      <c r="J4" s="62">
        <v>7</v>
      </c>
      <c r="K4" s="62">
        <v>8</v>
      </c>
      <c r="L4" s="62">
        <v>9</v>
      </c>
      <c r="M4" s="68">
        <v>10</v>
      </c>
      <c r="O4" s="66" t="s">
        <v>6</v>
      </c>
      <c r="P4" s="67" t="s">
        <v>7</v>
      </c>
      <c r="Q4" s="62">
        <v>1</v>
      </c>
      <c r="R4" s="62">
        <v>2</v>
      </c>
      <c r="S4" s="62">
        <v>3</v>
      </c>
      <c r="T4" s="62">
        <v>4</v>
      </c>
      <c r="U4" s="62">
        <v>5</v>
      </c>
      <c r="V4" s="62">
        <v>6</v>
      </c>
      <c r="W4" s="62">
        <v>7</v>
      </c>
      <c r="X4" s="62">
        <v>8</v>
      </c>
      <c r="Y4" s="62">
        <v>9</v>
      </c>
      <c r="Z4" s="68">
        <v>10</v>
      </c>
    </row>
    <row r="5" spans="1:26" x14ac:dyDescent="0.3">
      <c r="B5" s="66" t="s">
        <v>8</v>
      </c>
      <c r="C5" s="67"/>
      <c r="D5" s="69" t="s">
        <v>10</v>
      </c>
      <c r="E5" s="69" t="s">
        <v>9</v>
      </c>
      <c r="F5" s="69" t="s">
        <v>9</v>
      </c>
      <c r="G5" s="69" t="s">
        <v>9</v>
      </c>
      <c r="H5" s="69" t="s">
        <v>9</v>
      </c>
      <c r="I5" s="69" t="s">
        <v>9</v>
      </c>
      <c r="J5" s="69" t="s">
        <v>9</v>
      </c>
      <c r="K5" s="69" t="s">
        <v>9</v>
      </c>
      <c r="L5" s="69" t="s">
        <v>9</v>
      </c>
      <c r="M5" s="75" t="s">
        <v>9</v>
      </c>
      <c r="O5" s="66" t="s">
        <v>8</v>
      </c>
      <c r="P5" s="67"/>
      <c r="Q5" s="62" t="str">
        <f>D5</f>
        <v>Résidentiel</v>
      </c>
      <c r="R5" s="62" t="str">
        <f t="shared" ref="R5:T6" si="0">E5</f>
        <v>Bureaux</v>
      </c>
      <c r="S5" s="62" t="str">
        <f t="shared" si="0"/>
        <v>Bureaux</v>
      </c>
      <c r="T5" s="62" t="str">
        <f t="shared" si="0"/>
        <v>Bureaux</v>
      </c>
      <c r="U5" s="62" t="str">
        <f>H5</f>
        <v>Bureaux</v>
      </c>
      <c r="V5" s="62" t="str">
        <f t="shared" ref="V5:Z5" si="1">I5</f>
        <v>Bureaux</v>
      </c>
      <c r="W5" s="62" t="str">
        <f t="shared" si="1"/>
        <v>Bureaux</v>
      </c>
      <c r="X5" s="62" t="str">
        <f t="shared" si="1"/>
        <v>Bureaux</v>
      </c>
      <c r="Y5" s="62" t="str">
        <f t="shared" si="1"/>
        <v>Bureaux</v>
      </c>
      <c r="Z5" s="62" t="str">
        <f t="shared" si="1"/>
        <v>Bureaux</v>
      </c>
    </row>
    <row r="6" spans="1:26" x14ac:dyDescent="0.3">
      <c r="B6" s="66" t="s">
        <v>11</v>
      </c>
      <c r="C6" s="67"/>
      <c r="D6" s="69" t="s">
        <v>12</v>
      </c>
      <c r="E6" s="69" t="s">
        <v>12</v>
      </c>
      <c r="F6" s="69" t="s">
        <v>12</v>
      </c>
      <c r="G6" s="69" t="s">
        <v>12</v>
      </c>
      <c r="H6" s="69" t="s">
        <v>12</v>
      </c>
      <c r="I6" s="69" t="s">
        <v>12</v>
      </c>
      <c r="J6" s="69" t="s">
        <v>12</v>
      </c>
      <c r="K6" s="69" t="s">
        <v>12</v>
      </c>
      <c r="L6" s="69" t="s">
        <v>12</v>
      </c>
      <c r="M6" s="75" t="s">
        <v>12</v>
      </c>
      <c r="O6" s="66" t="s">
        <v>11</v>
      </c>
      <c r="P6" s="67"/>
      <c r="Q6" s="62" t="str">
        <f>D6</f>
        <v>Neuf</v>
      </c>
      <c r="R6" s="62" t="str">
        <f t="shared" si="0"/>
        <v>Neuf</v>
      </c>
      <c r="S6" s="62" t="str">
        <f t="shared" si="0"/>
        <v>Neuf</v>
      </c>
      <c r="T6" s="62" t="str">
        <f t="shared" si="0"/>
        <v>Neuf</v>
      </c>
      <c r="U6" s="62" t="str">
        <f t="shared" ref="U6:U7" si="2">H6</f>
        <v>Neuf</v>
      </c>
      <c r="V6" s="62" t="str">
        <f t="shared" ref="V6:V8" si="3">I6</f>
        <v>Neuf</v>
      </c>
      <c r="W6" s="62" t="str">
        <f t="shared" ref="W6:W8" si="4">J6</f>
        <v>Neuf</v>
      </c>
      <c r="X6" s="62" t="str">
        <f t="shared" ref="X6:X8" si="5">K6</f>
        <v>Neuf</v>
      </c>
      <c r="Y6" s="62" t="str">
        <f t="shared" ref="Y6:Y8" si="6">L6</f>
        <v>Neuf</v>
      </c>
      <c r="Z6" s="62" t="str">
        <f t="shared" ref="Z6:Z8" si="7">M6</f>
        <v>Neuf</v>
      </c>
    </row>
    <row r="7" spans="1:26" ht="15" thickBot="1" x14ac:dyDescent="0.35">
      <c r="B7" s="66" t="s">
        <v>13</v>
      </c>
      <c r="C7" s="67"/>
      <c r="D7" s="69">
        <v>2024</v>
      </c>
      <c r="E7" s="69">
        <v>2026</v>
      </c>
      <c r="F7" s="69">
        <v>2030</v>
      </c>
      <c r="G7" s="69">
        <v>2035</v>
      </c>
      <c r="H7" s="69">
        <v>2038</v>
      </c>
      <c r="I7" s="69">
        <v>2040</v>
      </c>
      <c r="J7" s="69">
        <v>2042</v>
      </c>
      <c r="K7" s="69">
        <v>2044</v>
      </c>
      <c r="L7" s="69">
        <v>2048</v>
      </c>
      <c r="M7" s="69">
        <v>2050</v>
      </c>
      <c r="O7" s="66" t="s">
        <v>14</v>
      </c>
      <c r="P7" s="67"/>
      <c r="Q7" s="62">
        <f t="shared" ref="Q7:Q8" si="8">D7</f>
        <v>2024</v>
      </c>
      <c r="R7" s="62">
        <f t="shared" ref="R7" si="9">E7</f>
        <v>2026</v>
      </c>
      <c r="S7" s="62">
        <f t="shared" ref="S7" si="10">F7</f>
        <v>2030</v>
      </c>
      <c r="T7" s="62">
        <f t="shared" ref="T7" si="11">G7</f>
        <v>2035</v>
      </c>
      <c r="U7" s="62">
        <f t="shared" si="2"/>
        <v>2038</v>
      </c>
      <c r="V7" s="62">
        <f t="shared" si="3"/>
        <v>2040</v>
      </c>
      <c r="W7" s="62">
        <f t="shared" si="4"/>
        <v>2042</v>
      </c>
      <c r="X7" s="62">
        <f t="shared" si="5"/>
        <v>2044</v>
      </c>
      <c r="Y7" s="62">
        <f t="shared" si="6"/>
        <v>2048</v>
      </c>
      <c r="Z7" s="62">
        <f t="shared" si="7"/>
        <v>2050</v>
      </c>
    </row>
    <row r="8" spans="1:26" ht="15" thickBot="1" x14ac:dyDescent="0.35">
      <c r="B8" s="66" t="s">
        <v>285</v>
      </c>
      <c r="C8" s="67" t="s">
        <v>16</v>
      </c>
      <c r="D8" s="76">
        <v>1000</v>
      </c>
      <c r="E8" s="76">
        <v>1000</v>
      </c>
      <c r="F8" s="76">
        <v>1000</v>
      </c>
      <c r="G8" s="76">
        <v>1000</v>
      </c>
      <c r="H8" s="76">
        <v>1000</v>
      </c>
      <c r="I8" s="76">
        <v>1000</v>
      </c>
      <c r="J8" s="76">
        <v>1000</v>
      </c>
      <c r="K8" s="76">
        <v>1000</v>
      </c>
      <c r="L8" s="76">
        <v>1000</v>
      </c>
      <c r="M8" s="77">
        <v>1000</v>
      </c>
      <c r="O8" s="66" t="s">
        <v>15</v>
      </c>
      <c r="P8" s="67" t="s">
        <v>16</v>
      </c>
      <c r="Q8" s="65">
        <f t="shared" si="8"/>
        <v>1000</v>
      </c>
      <c r="R8" s="65">
        <f>F8</f>
        <v>1000</v>
      </c>
      <c r="S8" s="65">
        <f>G8</f>
        <v>1000</v>
      </c>
      <c r="T8" s="65">
        <f>H8</f>
        <v>1000</v>
      </c>
      <c r="U8" s="65">
        <f>H8</f>
        <v>1000</v>
      </c>
      <c r="V8" s="65">
        <f t="shared" si="3"/>
        <v>1000</v>
      </c>
      <c r="W8" s="65">
        <f t="shared" si="4"/>
        <v>1000</v>
      </c>
      <c r="X8" s="65">
        <f t="shared" si="5"/>
        <v>1000</v>
      </c>
      <c r="Y8" s="65">
        <f t="shared" si="6"/>
        <v>1000</v>
      </c>
      <c r="Z8" s="65">
        <f t="shared" si="7"/>
        <v>1000</v>
      </c>
    </row>
    <row r="9" spans="1:26" x14ac:dyDescent="0.3">
      <c r="B9" s="19"/>
      <c r="C9" s="70"/>
      <c r="M9" s="5"/>
      <c r="O9" s="19"/>
      <c r="P9" s="70"/>
      <c r="Z9" s="5"/>
    </row>
    <row r="10" spans="1:26" ht="15" thickBot="1" x14ac:dyDescent="0.35">
      <c r="A10" t="s">
        <v>362</v>
      </c>
      <c r="B10" s="66" t="s">
        <v>17</v>
      </c>
      <c r="C10" s="67"/>
      <c r="D10" s="35" t="s">
        <v>18</v>
      </c>
      <c r="M10" s="5"/>
      <c r="O10" s="66" t="s">
        <v>17</v>
      </c>
      <c r="P10" s="67"/>
      <c r="Q10" s="35" t="s">
        <v>18</v>
      </c>
      <c r="Z10" s="5"/>
    </row>
    <row r="11" spans="1:26" x14ac:dyDescent="0.3">
      <c r="A11" t="s">
        <v>312</v>
      </c>
      <c r="B11" s="233" t="s">
        <v>19</v>
      </c>
      <c r="C11" s="234" t="s">
        <v>20</v>
      </c>
      <c r="D11" s="235">
        <f xml:space="preserve"> IF(D5=$B$41, IF(D6=$E$41, VLOOKUP(D7, 'Swiss Climate Strategy'!$B$39:$Z$117, 20,FALSE), VLOOKUP(D7, 'Swiss Climate Strategy'!$B$39:$Z$117, 23,FALSE)), IF(D6=$E$41, VLOOKUP(D7, 'Swiss Climate Strategy'!$B$39:$Z$117, 20,FALSE), VLOOKUP(D7, 'Swiss Climate Strategy'!$B$39:$Z$117, 23,FALSE)))</f>
        <v>478.96211255367052</v>
      </c>
      <c r="E11" s="235">
        <f xml:space="preserve"> IF(E5=$B$41, IF(E6=$E$41, VLOOKUP(E7, 'Swiss Climate Strategy'!$B$39:$Z$117, 20,FALSE), VLOOKUP(E7, 'Swiss Climate Strategy'!$B$39:$Z$117, 23,FALSE)), IF(E6=$E$41, VLOOKUP(E7, 'Swiss Climate Strategy'!$B$39:$Z$117, 20,FALSE), VLOOKUP(E7, 'Swiss Climate Strategy'!$B$39:$Z$117, 23,FALSE)))</f>
        <v>423.48890835140691</v>
      </c>
      <c r="F11" s="235">
        <f xml:space="preserve"> IF(F5=$B$41, IF(F6=$E$41, VLOOKUP(F7, 'Swiss Climate Strategy'!$B$39:$Z$117, 20,FALSE), VLOOKUP(F7, 'Swiss Climate Strategy'!$B$39:$Z$117, 23,FALSE)), IF(F6=$E$41, VLOOKUP(F7, 'Swiss Climate Strategy'!$B$39:$Z$117, 20,FALSE), VLOOKUP(F7, 'Swiss Climate Strategy'!$B$39:$Z$117, 23,FALSE)))</f>
        <v>374.06854553324115</v>
      </c>
      <c r="G11" s="235">
        <f xml:space="preserve"> IF(G5=$B$41, IF(G6=$E$41, VLOOKUP(G7, 'Swiss Climate Strategy'!$B$39:$Z$117, 20,FALSE), VLOOKUP(G7, 'Swiss Climate Strategy'!$B$39:$Z$117, 23,FALSE)), IF(G6=$E$41, VLOOKUP(G7, 'Swiss Climate Strategy'!$B$39:$Z$117, 20,FALSE), VLOOKUP(G7, 'Swiss Climate Strategy'!$B$39:$Z$117, 23,FALSE)))</f>
        <v>311.04320690378205</v>
      </c>
      <c r="H11" s="235">
        <f xml:space="preserve"> IF(H5=$B$41, IF(H6=$E$41, VLOOKUP(H7, 'Swiss Climate Strategy'!$B$39:$Z$117, 20,FALSE), VLOOKUP(H7, 'Swiss Climate Strategy'!$B$39:$Z$117, 23,FALSE)), IF(H6=$E$41, VLOOKUP(H7, 'Swiss Climate Strategy'!$B$39:$Z$117, 20,FALSE), VLOOKUP(H7, 'Swiss Climate Strategy'!$B$39:$Z$117, 23,FALSE)))</f>
        <v>275.56062827607457</v>
      </c>
      <c r="I11" s="235">
        <f xml:space="preserve"> IF(I5=$B$41, IF(I6=$E$41, VLOOKUP(I7, 'Swiss Climate Strategy'!$B$39:$Z$117, 20,FALSE), VLOOKUP(I7, 'Swiss Climate Strategy'!$B$39:$Z$117, 23,FALSE)), IF(I6=$E$41, VLOOKUP(I7, 'Swiss Climate Strategy'!$B$39:$Z$117, 20,FALSE), VLOOKUP(I7, 'Swiss Climate Strategy'!$B$39:$Z$117, 23,FALSE)))</f>
        <v>252.35602516880044</v>
      </c>
      <c r="J11" s="235">
        <f xml:space="preserve"> IF(J5=$B$41, IF(J6=$E$41, VLOOKUP(J7, 'Swiss Climate Strategy'!$B$39:$Z$117, 20,FALSE), VLOOKUP(J7, 'Swiss Climate Strategy'!$B$39:$Z$117, 23,FALSE)), IF(J6=$E$41, VLOOKUP(J7, 'Swiss Climate Strategy'!$B$39:$Z$117, 20,FALSE), VLOOKUP(J7, 'Swiss Climate Strategy'!$B$39:$Z$117, 23,FALSE)))</f>
        <v>230.79781632642164</v>
      </c>
      <c r="K11" s="235">
        <f xml:space="preserve"> IF(K5=$B$41, IF(K6=$E$41, VLOOKUP(K7, 'Swiss Climate Strategy'!$B$39:$Z$117, 20,FALSE), VLOOKUP(K7, 'Swiss Climate Strategy'!$B$39:$Z$117, 23,FALSE)), IF(K6=$E$41, VLOOKUP(K7, 'Swiss Climate Strategy'!$B$39:$Z$117, 20,FALSE), VLOOKUP(K7, 'Swiss Climate Strategy'!$B$39:$Z$117, 23,FALSE)))</f>
        <v>212.79234281701181</v>
      </c>
      <c r="L11" s="235">
        <f xml:space="preserve"> IF(L5=$B$41, IF(L6=$E$41, VLOOKUP(L7, 'Swiss Climate Strategy'!$B$39:$Z$117, 20,FALSE), VLOOKUP(L7, 'Swiss Climate Strategy'!$B$39:$Z$117, 23,FALSE)), IF(L6=$E$41, VLOOKUP(L7, 'Swiss Climate Strategy'!$B$39:$Z$117, 20,FALSE), VLOOKUP(L7, 'Swiss Climate Strategy'!$B$39:$Z$117, 23,FALSE)))</f>
        <v>157.68796679973201</v>
      </c>
      <c r="M11" s="235">
        <f xml:space="preserve"> IF(M5=$B$41, IF(M6=$E$41, VLOOKUP(M7, 'Swiss Climate Strategy'!$B$39:$Z$117, 20,FALSE), VLOOKUP(M7, 'Swiss Climate Strategy'!$B$39:$Z$117, 23,FALSE)), IF(M6=$E$41, VLOOKUP(M7, 'Swiss Climate Strategy'!$B$39:$Z$117, 20,FALSE), VLOOKUP(M7, 'Swiss Climate Strategy'!$B$39:$Z$117, 23,FALSE)))</f>
        <v>142.03696208901502</v>
      </c>
      <c r="O11" s="66" t="s">
        <v>19</v>
      </c>
      <c r="P11" s="67" t="s">
        <v>20</v>
      </c>
      <c r="Q11" s="71">
        <f xml:space="preserve"> IF(Q5=$B$41, IF(Q6=$E$41, VLOOKUP(Q7,'1.5°C'!$B$39:$U$67, 15,FALSE), VLOOKUP(Q7,'1.5°C'!$B$39:$U$67, 16,FALSE)), IF(Q6=$E$41, VLOOKUP(Q7, '1.5°C'!$B$39:$U$67, 15,FALSE), VLOOKUP(Q7, '1.5°C'!$B$39:$U$67, 16,FALSE)))</f>
        <v>470.26746570113221</v>
      </c>
      <c r="R11" s="71">
        <f xml:space="preserve"> IF(R5=$B$41, IF(R6=$E$41, VLOOKUP(R7,'1.5°C'!$B$39:$U$67, 15,FALSE), VLOOKUP(R7,'1.5°C'!$B$39:$U$67, 16,FALSE)), IF(R6=$E$41, VLOOKUP(R7, '1.5°C'!$B$39:$U$67, 15,FALSE), VLOOKUP(R7, '1.5°C'!$B$39:$U$67, 16,FALSE)))</f>
        <v>402.53718724915331</v>
      </c>
      <c r="S11" s="71">
        <f xml:space="preserve"> IF(S5=$B$41, IF(S6=$E$41, VLOOKUP(S7,'1.5°C'!$B$39:$U$67, 15,FALSE), VLOOKUP(S7,'1.5°C'!$B$39:$U$67, 16,FALSE)), IF(S6=$E$41, VLOOKUP(S7, '1.5°C'!$B$39:$U$67, 15,FALSE), VLOOKUP(S7, '1.5°C'!$B$39:$U$67, 16,FALSE)))</f>
        <v>295.09127432358076</v>
      </c>
      <c r="T11" s="71">
        <f xml:space="preserve"> IF(T5=$B$41, IF(T6=$E$41, VLOOKUP(T7,'1.5°C'!$B$39:$U$67, 15,FALSE), VLOOKUP(T7,'1.5°C'!$B$39:$U$67, 16,FALSE)), IF(T6=$E$41, VLOOKUP(T7, '1.5°C'!$B$39:$U$67, 15,FALSE), VLOOKUP(T7, '1.5°C'!$B$39:$U$67, 16,FALSE)))</f>
        <v>200.3559651182978</v>
      </c>
      <c r="U11" s="71">
        <f xml:space="preserve"> IF(U5=$B$41, IF(U6=$E$41, VLOOKUP(U7,'1.5°C'!$B$39:$U$67, 15,FALSE), VLOOKUP(U7,'1.5°C'!$B$39:$U$67, 16,FALSE)), IF(U6=$E$41, VLOOKUP(U7, '1.5°C'!$B$39:$U$67, 15,FALSE), VLOOKUP(U7, '1.5°C'!$B$39:$U$67, 16,FALSE)))</f>
        <v>158.89731440359441</v>
      </c>
      <c r="V11" s="71">
        <f xml:space="preserve"> IF(V5=$B$41, IF(V6=$E$41, VLOOKUP(V7,'1.5°C'!$B$39:$U$67, 15,FALSE), VLOOKUP(V7,'1.5°C'!$B$39:$U$67, 16,FALSE)), IF(V6=$E$41, VLOOKUP(V7, '1.5°C'!$B$39:$U$67, 15,FALSE), VLOOKUP(V7, '1.5°C'!$B$39:$U$67, 16,FALSE)))</f>
        <v>136.16809468791431</v>
      </c>
      <c r="W11" s="71">
        <f xml:space="preserve"> IF(W5=$B$41, IF(W6=$E$41, VLOOKUP(W7,'1.5°C'!$B$39:$U$67, 15,FALSE), VLOOKUP(W7,'1.5°C'!$B$39:$U$67, 16,FALSE)), IF(W6=$E$41, VLOOKUP(W7, '1.5°C'!$B$39:$U$67, 15,FALSE), VLOOKUP(W7, '1.5°C'!$B$39:$U$67, 16,FALSE)))</f>
        <v>116.7073996902042</v>
      </c>
      <c r="X11" s="71">
        <f xml:space="preserve"> IF(X5=$B$41, IF(X6=$E$41, VLOOKUP(X7,'1.5°C'!$B$39:$U$67, 15,FALSE), VLOOKUP(X7,'1.5°C'!$B$39:$U$67, 16,FALSE)), IF(X6=$E$41, VLOOKUP(X7, '1.5°C'!$B$39:$U$67, 15,FALSE), VLOOKUP(X7, '1.5°C'!$B$39:$U$67, 16,FALSE)))</f>
        <v>100.04240401235302</v>
      </c>
      <c r="Y11" s="71">
        <f xml:space="preserve"> IF(Y5=$B$41, IF(Y6=$E$41, VLOOKUP(Y7,'1.5°C'!$B$39:$U$67, 15,FALSE), VLOOKUP(Y7,'1.5°C'!$B$39:$U$67, 16,FALSE)), IF(Y6=$E$41, VLOOKUP(Y7, '1.5°C'!$B$39:$U$67, 15,FALSE), VLOOKUP(Y7, '1.5°C'!$B$39:$U$67, 16,FALSE)))</f>
        <v>73.542398081385883</v>
      </c>
      <c r="Z11" s="71">
        <f xml:space="preserve"> IF(Z5=$B$41, IF(Z6=$E$41, VLOOKUP(Z7,'1.5°C'!$B$39:$U$67, 15,FALSE), VLOOKUP(Z7,'1.5°C'!$B$39:$U$67, 16,FALSE)), IF(Z6=$E$41, VLOOKUP(Z7, '1.5°C'!$B$39:$U$67, 15,FALSE), VLOOKUP(Z7, '1.5°C'!$B$39:$U$67, 16,FALSE)))</f>
        <v>63.067108826551284</v>
      </c>
    </row>
    <row r="12" spans="1:26" x14ac:dyDescent="0.3">
      <c r="A12" t="s">
        <v>313</v>
      </c>
      <c r="B12" s="66" t="s">
        <v>310</v>
      </c>
      <c r="C12" s="67" t="s">
        <v>20</v>
      </c>
      <c r="D12" s="71">
        <f xml:space="preserve"> IF(D5=$B$41, IF(D6=$E$41, VLOOKUP(D7+20, 'Swiss Climate Strategy'!$B$39:$Z$117, 21,FALSE), VLOOKUP(D7+20, 'Swiss Climate Strategy'!$B$39:$Z$117, 22,FALSE)), IF(D6=$E$41, VLOOKUP(D7+20, 'Swiss Climate Strategy'!$B$39:$Z$117, 21,FALSE), VLOOKUP(D7+20, 'Swiss Climate Strategy'!$B$39:$Z$117, 22,FALSE)))*'Intro_Cycle de Vie'!$B$78</f>
        <v>7.4764877205977136</v>
      </c>
      <c r="E12" s="71">
        <f xml:space="preserve"> IF(E5=$B$41, IF(E6=$E$41, VLOOKUP(E7+20, 'Swiss Climate Strategy'!$B$39:$Z$117, 21,FALSE), VLOOKUP(E7+20, 'Swiss Climate Strategy'!$B$39:$Z$117, 22,FALSE)), IF(E6=$E$41, VLOOKUP(E7+20, 'Swiss Climate Strategy'!$B$39:$Z$117, 21,FALSE), VLOOKUP(E7+20, 'Swiss Climate Strategy'!$B$39:$Z$117, 22,FALSE)))*'Intro_Cycle de Vie'!$B$78</f>
        <v>6.1733431244843988</v>
      </c>
      <c r="F12" s="71">
        <f xml:space="preserve"> IF(F5=$B$41, IF(F6=$E$41, VLOOKUP(F7+20, 'Swiss Climate Strategy'!$B$39:$Z$117, 21,FALSE), VLOOKUP(F7+20, 'Swiss Climate Strategy'!$B$39:$Z$117, 22,FALSE)), IF(F6=$E$41, VLOOKUP(F7+20, 'Swiss Climate Strategy'!$B$39:$Z$117, 21,FALSE), VLOOKUP(F7+20, 'Swiss Climate Strategy'!$B$39:$Z$117, 22,FALSE)))*'Intro_Cycle de Vie'!$B$78</f>
        <v>4.9904878571816091</v>
      </c>
      <c r="G12" s="71">
        <f xml:space="preserve"> IF(G5=$B$41, IF(G6=$E$41, VLOOKUP(G7+20, 'Swiss Climate Strategy'!$B$39:$Z$117, 21,FALSE), VLOOKUP(G7+20, 'Swiss Climate Strategy'!$B$39:$Z$117, 22,FALSE)), IF(G6=$E$41, VLOOKUP(G7+20, 'Swiss Climate Strategy'!$B$39:$Z$117, 21,FALSE), VLOOKUP(G7+20, 'Swiss Climate Strategy'!$B$39:$Z$117, 22,FALSE)))*'Intro_Cycle de Vie'!$B$78</f>
        <v>3.6489079156922339</v>
      </c>
      <c r="H12" s="71">
        <f xml:space="preserve"> IF(H5=$B$41, IF(H6=$E$41, VLOOKUP(H7+20, 'Swiss Climate Strategy'!$B$39:$Z$117, 21,FALSE), VLOOKUP(H7+20, 'Swiss Climate Strategy'!$B$39:$Z$117, 22,FALSE)), IF(H6=$E$41, VLOOKUP(H7+20, 'Swiss Climate Strategy'!$B$39:$Z$117, 21,FALSE), VLOOKUP(H7+20, 'Swiss Climate Strategy'!$B$39:$Z$117, 22,FALSE)))*'Intro_Cycle de Vie'!$B$78</f>
        <v>2.8792520443425631</v>
      </c>
      <c r="I12" s="71">
        <f xml:space="preserve"> IF(I5=$B$41, IF(I6=$E$41, VLOOKUP(I7+20, 'Swiss Climate Strategy'!$B$39:$Z$117, 21,FALSE), VLOOKUP(I7+20, 'Swiss Climate Strategy'!$B$39:$Z$117, 22,FALSE)), IF(I6=$E$41, VLOOKUP(I7+20, 'Swiss Climate Strategy'!$B$39:$Z$117, 21,FALSE), VLOOKUP(I7+20, 'Swiss Climate Strategy'!$B$39:$Z$117, 22,FALSE)))*'Intro_Cycle de Vie'!$B$78</f>
        <v>2.3800559982318181</v>
      </c>
      <c r="J12" s="71">
        <f xml:space="preserve"> IF(J5=$B$41, IF(J6=$E$41, VLOOKUP(J7+20, 'Swiss Climate Strategy'!$B$39:$Z$117, 21,FALSE), VLOOKUP(J7+20, 'Swiss Climate Strategy'!$B$39:$Z$117, 22,FALSE)), IF(J6=$E$41, VLOOKUP(J7+20, 'Swiss Climate Strategy'!$B$39:$Z$117, 21,FALSE), VLOOKUP(J7+20, 'Swiss Climate Strategy'!$B$39:$Z$117, 22,FALSE)))*'Intro_Cycle de Vie'!$B$78</f>
        <v>1.8915685600772871</v>
      </c>
      <c r="K12" s="71">
        <f xml:space="preserve"> IF(K5=$B$41, IF(K6=$E$41, VLOOKUP(K7+20, 'Swiss Climate Strategy'!$B$39:$Z$117, 21,FALSE), VLOOKUP(K7+20, 'Swiss Climate Strategy'!$B$39:$Z$117, 22,FALSE)), IF(K6=$E$41, VLOOKUP(K7+20, 'Swiss Climate Strategy'!$B$39:$Z$117, 21,FALSE), VLOOKUP(K7+20, 'Swiss Climate Strategy'!$B$39:$Z$117, 22,FALSE)))*'Intro_Cycle de Vie'!$B$78</f>
        <v>1.4134488096387816</v>
      </c>
      <c r="L12" s="71">
        <f xml:space="preserve"> IF(L5=$B$41, IF(L6=$E$41, VLOOKUP(L7+20, 'Swiss Climate Strategy'!$B$39:$Z$117, 21,FALSE), VLOOKUP(L7+20, 'Swiss Climate Strategy'!$B$39:$Z$117, 22,FALSE)), IF(L6=$E$41, VLOOKUP(L7+20, 'Swiss Climate Strategy'!$B$39:$Z$117, 21,FALSE), VLOOKUP(L7+20, 'Swiss Climate Strategy'!$B$39:$Z$117, 22,FALSE)))*'Intro_Cycle de Vie'!$B$78</f>
        <v>0.48701954427709854</v>
      </c>
      <c r="M12" s="71">
        <f xml:space="preserve"> IF(M5=$B$41, IF(M6=$E$41, VLOOKUP(M7+20, 'Swiss Climate Strategy'!$B$39:$Z$117, 21,FALSE), VLOOKUP(M7+20, 'Swiss Climate Strategy'!$B$39:$Z$117, 22,FALSE)), IF(M6=$E$41, VLOOKUP(M7+20, 'Swiss Climate Strategy'!$B$39:$Z$117, 21,FALSE), VLOOKUP(M7+20, 'Swiss Climate Strategy'!$B$39:$Z$117, 22,FALSE)))*'Intro_Cycle de Vie'!$B$78</f>
        <v>3.8096856105173611E-2</v>
      </c>
      <c r="N12" s="25"/>
      <c r="O12" s="66"/>
      <c r="P12" s="67"/>
      <c r="Q12" s="71"/>
      <c r="R12" s="71"/>
      <c r="S12" s="71"/>
      <c r="T12" s="71"/>
      <c r="U12" s="71"/>
      <c r="V12" s="71"/>
      <c r="W12" s="71"/>
      <c r="X12" s="71"/>
      <c r="Y12" s="71"/>
      <c r="Z12" s="71"/>
    </row>
    <row r="13" spans="1:26" x14ac:dyDescent="0.3">
      <c r="A13" t="s">
        <v>313</v>
      </c>
      <c r="B13" s="66" t="s">
        <v>297</v>
      </c>
      <c r="C13" s="67" t="s">
        <v>20</v>
      </c>
      <c r="D13" s="71">
        <f xml:space="preserve"> IF(D5=$B$41, IF(D6=$E$41, VLOOKUP(D7+30, 'Swiss Climate Strategy'!$B$39:$Z$117, 21,FALSE), VLOOKUP(D7+30, 'Swiss Climate Strategy'!$B$39:$Z$117, 22,FALSE)), IF(D6=$E$41, VLOOKUP(D7+30, 'Swiss Climate Strategy'!$B$39:$Z$117, 21,FALSE), VLOOKUP(D7+30, 'Swiss Climate Strategy'!$B$39:$Z$117, 22,FALSE)))*'Intro_Cycle de Vie'!$B$79</f>
        <v>27.37847037047219</v>
      </c>
      <c r="E13" s="71">
        <f xml:space="preserve"> IF(E5=$B$41, IF(E6=$E$41, VLOOKUP(E7+30, 'Swiss Climate Strategy'!$B$39:$Z$117, 21,FALSE), VLOOKUP(E7+30, 'Swiss Climate Strategy'!$B$39:$Z$117, 22,FALSE)), IF(E6=$E$41, VLOOKUP(E7+30, 'Swiss Climate Strategy'!$B$39:$Z$117, 21,FALSE), VLOOKUP(E7+30, 'Swiss Climate Strategy'!$B$39:$Z$117, 22,FALSE)))*'Intro_Cycle de Vie'!$B$79</f>
        <v>23.72658912113268</v>
      </c>
      <c r="F13" s="71">
        <f xml:space="preserve"> IF(F5=$B$41, IF(F6=$E$41, VLOOKUP(F7+30, 'Swiss Climate Strategy'!$B$39:$Z$117, 21,FALSE), VLOOKUP(F7+30, 'Swiss Climate Strategy'!$B$39:$Z$117, 22,FALSE)), IF(F6=$E$41, VLOOKUP(F7+30, 'Swiss Climate Strategy'!$B$39:$Z$117, 21,FALSE), VLOOKUP(F7+30, 'Swiss Climate Strategy'!$B$39:$Z$117, 22,FALSE)))*'Intro_Cycle de Vie'!$B$79</f>
        <v>16.660391987622724</v>
      </c>
      <c r="G13" s="71">
        <f xml:space="preserve"> IF(G5=$B$41, IF(G6=$E$41, VLOOKUP(G7+30, 'Swiss Climate Strategy'!$B$39:$Z$117, 21,FALSE), VLOOKUP(G7+30, 'Swiss Climate Strategy'!$B$39:$Z$117, 22,FALSE)), IF(G6=$E$41, VLOOKUP(G7+30, 'Swiss Climate Strategy'!$B$39:$Z$117, 21,FALSE), VLOOKUP(G7+30, 'Swiss Climate Strategy'!$B$39:$Z$117, 22,FALSE)))*'Intro_Cycle de Vie'!$B$79</f>
        <v>8.2472195111804449</v>
      </c>
      <c r="H13" s="71">
        <f xml:space="preserve"> IF(H5=$B$41, IF(H6=$E$41, VLOOKUP(H7+30, 'Swiss Climate Strategy'!$B$39:$Z$117, 21,FALSE), VLOOKUP(H7+30, 'Swiss Climate Strategy'!$B$39:$Z$117, 22,FALSE)), IF(H6=$E$41, VLOOKUP(H7+30, 'Swiss Climate Strategy'!$B$39:$Z$117, 21,FALSE), VLOOKUP(H7+30, 'Swiss Climate Strategy'!$B$39:$Z$117, 22,FALSE)))*'Intro_Cycle de Vie'!$B$79</f>
        <v>3.4091368099396893</v>
      </c>
      <c r="I13" s="71">
        <f xml:space="preserve"> IF(I5=$B$41, IF(I6=$E$41, VLOOKUP(I7+30, 'Swiss Climate Strategy'!$B$39:$Z$117, 21,FALSE), VLOOKUP(I7+30, 'Swiss Climate Strategy'!$B$39:$Z$117, 22,FALSE)), IF(I6=$E$41, VLOOKUP(I7+30, 'Swiss Climate Strategy'!$B$39:$Z$117, 21,FALSE), VLOOKUP(I7+30, 'Swiss Climate Strategy'!$B$39:$Z$117, 22,FALSE)))*'Intro_Cycle de Vie'!$B$79</f>
        <v>0.26667799273621523</v>
      </c>
      <c r="J13" s="71">
        <f xml:space="preserve"> IF(J5=$B$41, IF(J6=$E$41, VLOOKUP(J7+30, 'Swiss Climate Strategy'!$B$39:$Z$117, 21,FALSE), VLOOKUP(J7+30, 'Swiss Climate Strategy'!$B$39:$Z$117, 22,FALSE)), IF(J6=$E$41, VLOOKUP(J7+30, 'Swiss Climate Strategy'!$B$39:$Z$117, 21,FALSE), VLOOKUP(J7+30, 'Swiss Climate Strategy'!$B$39:$Z$117, 22,FALSE)))*'Intro_Cycle de Vie'!$B$79</f>
        <v>0</v>
      </c>
      <c r="K13" s="71">
        <f xml:space="preserve"> IF(K5=$B$41, IF(K6=$E$41, VLOOKUP(K7+30, 'Swiss Climate Strategy'!$B$39:$Z$117, 21,FALSE), VLOOKUP(K7+30, 'Swiss Climate Strategy'!$B$39:$Z$117, 22,FALSE)), IF(K6=$E$41, VLOOKUP(K7+30, 'Swiss Climate Strategy'!$B$39:$Z$117, 21,FALSE), VLOOKUP(K7+30, 'Swiss Climate Strategy'!$B$39:$Z$117, 22,FALSE)))*'Intro_Cycle de Vie'!$B$79</f>
        <v>0</v>
      </c>
      <c r="L13" s="71">
        <f xml:space="preserve"> IF(L5=$B$41, IF(L6=$E$41, VLOOKUP(L7+30, 'Swiss Climate Strategy'!$B$39:$Z$117, 21,FALSE), VLOOKUP(L7+30, 'Swiss Climate Strategy'!$B$39:$Z$117, 22,FALSE)), IF(L6=$E$41, VLOOKUP(L7+30, 'Swiss Climate Strategy'!$B$39:$Z$117, 21,FALSE), VLOOKUP(L7+30, 'Swiss Climate Strategy'!$B$39:$Z$117, 22,FALSE)))*'Intro_Cycle de Vie'!$B$79</f>
        <v>0</v>
      </c>
      <c r="M13" s="71">
        <f xml:space="preserve"> IF(M5=$B$41, IF(M6=$E$41, VLOOKUP(M7+30, 'Swiss Climate Strategy'!$B$39:$Z$117, 21,FALSE), VLOOKUP(M7+30, 'Swiss Climate Strategy'!$B$39:$Z$117, 22,FALSE)), IF(M6=$E$41, VLOOKUP(M7+30, 'Swiss Climate Strategy'!$B$39:$Z$117, 21,FALSE), VLOOKUP(M7+30, 'Swiss Climate Strategy'!$B$39:$Z$117, 22,FALSE)))*'Intro_Cycle de Vie'!$B$79</f>
        <v>0</v>
      </c>
      <c r="N13" s="25"/>
      <c r="O13" s="66"/>
      <c r="P13" s="67"/>
      <c r="Q13" s="71"/>
      <c r="R13" s="71"/>
      <c r="S13" s="71"/>
      <c r="T13" s="71"/>
      <c r="U13" s="71"/>
      <c r="V13" s="71"/>
      <c r="W13" s="71"/>
      <c r="X13" s="71"/>
      <c r="Y13" s="71"/>
      <c r="Z13" s="71"/>
    </row>
    <row r="14" spans="1:26" x14ac:dyDescent="0.3">
      <c r="A14" t="s">
        <v>313</v>
      </c>
      <c r="B14" s="66" t="s">
        <v>311</v>
      </c>
      <c r="C14" s="67" t="s">
        <v>20</v>
      </c>
      <c r="D14" s="71">
        <f xml:space="preserve"> IF(D5=$B$41, IF(D6=$E$41, VLOOKUP(D7+40, 'Swiss Climate Strategy'!$B$39:$Z$117, 21,FALSE), VLOOKUP(D7+40, 'Swiss Climate Strategy'!$B$39:$Z$117, 22,FALSE)), IF(D6=$E$41, VLOOKUP(D7+40, 'Swiss Climate Strategy'!$B$39:$Z$117, 21,FALSE), VLOOKUP(D7+40, 'Swiss Climate Strategy'!$B$39:$Z$117, 22,FALSE)))*'Intro_Cycle de Vie'!$B$80</f>
        <v>2.8268976192775632</v>
      </c>
      <c r="E14" s="71">
        <f xml:space="preserve"> IF(E5=$B$41, IF(E6=$E$41, VLOOKUP(E7+40, 'Swiss Climate Strategy'!$B$39:$Z$117, 21,FALSE), VLOOKUP(E7+40, 'Swiss Climate Strategy'!$B$39:$Z$117, 22,FALSE)), IF(E6=$E$41, VLOOKUP(E7+40, 'Swiss Climate Strategy'!$B$39:$Z$117, 21,FALSE), VLOOKUP(E7+40, 'Swiss Climate Strategy'!$B$39:$Z$117, 22,FALSE)))*'Intro_Cycle de Vie'!$B$80</f>
        <v>1.890740292284363</v>
      </c>
      <c r="F14" s="71">
        <f xml:space="preserve"> IF(F5=$B$41, IF(F6=$E$41, VLOOKUP(F7+40, 'Swiss Climate Strategy'!$B$39:$Z$117, 21,FALSE), VLOOKUP(F7+40, 'Swiss Climate Strategy'!$B$39:$Z$117, 22,FALSE)), IF(F6=$E$41, VLOOKUP(F7+40, 'Swiss Climate Strategy'!$B$39:$Z$117, 21,FALSE), VLOOKUP(F7+40, 'Swiss Climate Strategy'!$B$39:$Z$117, 22,FALSE)))*'Intro_Cycle de Vie'!$B$80</f>
        <v>7.6193712210347223E-2</v>
      </c>
      <c r="G14" s="71">
        <f xml:space="preserve"> IF(G5=$B$41, IF(G6=$E$41, VLOOKUP(G7+40, 'Swiss Climate Strategy'!$B$39:$Z$117, 21,FALSE), VLOOKUP(G7+40, 'Swiss Climate Strategy'!$B$39:$Z$117, 22,FALSE)), IF(G6=$E$41, VLOOKUP(G7+40, 'Swiss Climate Strategy'!$B$39:$Z$117, 21,FALSE), VLOOKUP(G7+40, 'Swiss Climate Strategy'!$B$39:$Z$117, 22,FALSE)))*'Intro_Cycle de Vie'!$B$80</f>
        <v>0</v>
      </c>
      <c r="H14" s="71">
        <f xml:space="preserve"> IF(H5=$B$41, IF(H6=$E$41, VLOOKUP(H7+40, 'Swiss Climate Strategy'!$B$39:$Z$117, 21,FALSE), VLOOKUP(H7+40, 'Swiss Climate Strategy'!$B$39:$Z$117, 22,FALSE)), IF(H6=$E$41, VLOOKUP(H7+40, 'Swiss Climate Strategy'!$B$39:$Z$117, 21,FALSE), VLOOKUP(H7+40, 'Swiss Climate Strategy'!$B$39:$Z$117, 22,FALSE)))*'Intro_Cycle de Vie'!$B$80</f>
        <v>0</v>
      </c>
      <c r="I14" s="71">
        <f xml:space="preserve"> IF(I5=$B$41, IF(I6=$E$41, VLOOKUP(I7+40, 'Swiss Climate Strategy'!$B$39:$Z$117, 21,FALSE), VLOOKUP(I7+40, 'Swiss Climate Strategy'!$B$39:$Z$117, 22,FALSE)), IF(I6=$E$41, VLOOKUP(I7+40, 'Swiss Climate Strategy'!$B$39:$Z$117, 21,FALSE), VLOOKUP(I7+40, 'Swiss Climate Strategy'!$B$39:$Z$117, 22,FALSE)))*'Intro_Cycle de Vie'!$B$80</f>
        <v>0</v>
      </c>
      <c r="J14" s="71">
        <f xml:space="preserve"> IF(J5=$B$41, IF(J6=$E$41, VLOOKUP(J7+40, 'Swiss Climate Strategy'!$B$39:$Z$117, 21,FALSE), VLOOKUP(J7+40, 'Swiss Climate Strategy'!$B$39:$Z$117, 22,FALSE)), IF(J6=$E$41, VLOOKUP(J7+40, 'Swiss Climate Strategy'!$B$39:$Z$117, 21,FALSE), VLOOKUP(J7+40, 'Swiss Climate Strategy'!$B$39:$Z$117, 22,FALSE)))*'Intro_Cycle de Vie'!$B$80</f>
        <v>0</v>
      </c>
      <c r="K14" s="71">
        <f xml:space="preserve"> IF(K5=$B$41, IF(K6=$E$41, VLOOKUP(K7+40, 'Swiss Climate Strategy'!$B$39:$Z$117, 21,FALSE), VLOOKUP(K7+40, 'Swiss Climate Strategy'!$B$39:$Z$117, 22,FALSE)), IF(K6=$E$41, VLOOKUP(K7+40, 'Swiss Climate Strategy'!$B$39:$Z$117, 21,FALSE), VLOOKUP(K7+40, 'Swiss Climate Strategy'!$B$39:$Z$117, 22,FALSE)))*'Intro_Cycle de Vie'!$B$80</f>
        <v>0</v>
      </c>
      <c r="L14" s="71">
        <f xml:space="preserve"> IF(L5=$B$41, IF(L6=$E$41, VLOOKUP(L7+40, 'Swiss Climate Strategy'!$B$39:$Z$117, 21,FALSE), VLOOKUP(L7+40, 'Swiss Climate Strategy'!$B$39:$Z$117, 22,FALSE)), IF(L6=$E$41, VLOOKUP(L7+40, 'Swiss Climate Strategy'!$B$39:$Z$117, 21,FALSE), VLOOKUP(L7+40, 'Swiss Climate Strategy'!$B$39:$Z$117, 22,FALSE)))*'Intro_Cycle de Vie'!$B$80</f>
        <v>0</v>
      </c>
      <c r="M14" s="71">
        <f xml:space="preserve"> IF(M5=$B$41, IF(M6=$E$41, VLOOKUP(M7+40, 'Swiss Climate Strategy'!$B$39:$Z$117, 21,FALSE), VLOOKUP(M7+40, 'Swiss Climate Strategy'!$B$39:$Z$117, 22,FALSE)), IF(M6=$E$41, VLOOKUP(M7+40, 'Swiss Climate Strategy'!$B$39:$Z$117, 21,FALSE), VLOOKUP(M7+40, 'Swiss Climate Strategy'!$B$39:$Z$117, 22,FALSE)))*'Intro_Cycle de Vie'!$B$80</f>
        <v>0</v>
      </c>
      <c r="N14" s="25"/>
      <c r="O14" s="66"/>
      <c r="P14" s="67"/>
      <c r="Q14" s="71"/>
      <c r="R14" s="71"/>
      <c r="S14" s="71"/>
      <c r="T14" s="71"/>
      <c r="U14" s="71"/>
      <c r="V14" s="71"/>
      <c r="W14" s="71"/>
      <c r="X14" s="71"/>
      <c r="Y14" s="71"/>
      <c r="Z14" s="71"/>
    </row>
    <row r="15" spans="1:26" ht="15" thickBot="1" x14ac:dyDescent="0.35">
      <c r="A15" t="s">
        <v>314</v>
      </c>
      <c r="B15" s="236" t="s">
        <v>298</v>
      </c>
      <c r="C15" s="237" t="s">
        <v>20</v>
      </c>
      <c r="D15" s="71">
        <f xml:space="preserve"> IF(D5=$B$41, IF(D6=$E$41, VLOOKUP(D7+60, 'Swiss Climate Strategy'!$B$39:$Z$300,17,FALSE), VLOOKUP(D7+60, 'Swiss Climate Strategy'!$B$39:$Z$300, 19,FALSE)), IF(D7=$E$41, VLOOKUP(D7+60, 'Swiss Climate Strategy'!$B$39:$Z$300, 17,FALSE), VLOOKUP(D7+60, 'Swiss Climate Strategy'!$B$39:$Z$300, 19,FALSE)))</f>
        <v>9.1029946438442551</v>
      </c>
      <c r="E15" s="71">
        <f xml:space="preserve"> IF(E5=$B$41, IF(E6=$E$41, VLOOKUP(E7+60, 'Swiss Climate Strategy'!$B$39:$Z$300,17,FALSE), VLOOKUP(E7+60, 'Swiss Climate Strategy'!$B$39:$Z$300, 19,FALSE)), IF(E7=$E$41, VLOOKUP(E7+60, 'Swiss Climate Strategy'!$B$39:$Z$300, 17,FALSE), VLOOKUP(E7+60, 'Swiss Climate Strategy'!$B$39:$Z$300, 19,FALSE)))</f>
        <v>6.2545388736279444</v>
      </c>
      <c r="F15" s="71">
        <f xml:space="preserve"> IF(F5=$B$41, IF(F6=$E$41, VLOOKUP(F7+60, 'Swiss Climate Strategy'!$B$39:$Z$300,17,FALSE), VLOOKUP(F7+60, 'Swiss Climate Strategy'!$B$39:$Z$300, 19,FALSE)), IF(F7=$E$41, VLOOKUP(F7+60, 'Swiss Climate Strategy'!$B$39:$Z$300, 17,FALSE), VLOOKUP(F7+60, 'Swiss Climate Strategy'!$B$39:$Z$300, 19,FALSE)))</f>
        <v>1.4539548485735365</v>
      </c>
      <c r="G15" s="71">
        <f xml:space="preserve"> IF(G5=$B$41, IF(G6=$E$41, VLOOKUP(G7+60, 'Swiss Climate Strategy'!$B$39:$Z$300,17,FALSE), VLOOKUP(G7+60, 'Swiss Climate Strategy'!$B$39:$Z$300, 19,FALSE)), IF(G7=$E$41, VLOOKUP(G7+60, 'Swiss Climate Strategy'!$B$39:$Z$300, 17,FALSE), VLOOKUP(G7+60, 'Swiss Climate Strategy'!$B$39:$Z$300, 19,FALSE)))</f>
        <v>0</v>
      </c>
      <c r="H15" s="71">
        <f xml:space="preserve"> IF(H5=$B$41, IF(H6=$E$41, VLOOKUP(H7+60, 'Swiss Climate Strategy'!$B$39:$Z$300,17,FALSE), VLOOKUP(H7+60, 'Swiss Climate Strategy'!$B$39:$Z$300, 19,FALSE)), IF(H7=$E$41, VLOOKUP(H7+60, 'Swiss Climate Strategy'!$B$39:$Z$300, 17,FALSE), VLOOKUP(H7+60, 'Swiss Climate Strategy'!$B$39:$Z$300, 19,FALSE)))</f>
        <v>0</v>
      </c>
      <c r="I15" s="71">
        <f xml:space="preserve"> IF(I5=$B$41, IF(I6=$E$41, VLOOKUP(I7+60, 'Swiss Climate Strategy'!$B$39:$Z$300,17,FALSE), VLOOKUP(I7+60, 'Swiss Climate Strategy'!$B$39:$Z$300, 19,FALSE)), IF(I7=$E$41, VLOOKUP(I7+60, 'Swiss Climate Strategy'!$B$39:$Z$300, 17,FALSE), VLOOKUP(I7+60, 'Swiss Climate Strategy'!$B$39:$Z$300, 19,FALSE)))</f>
        <v>0</v>
      </c>
      <c r="J15" s="71">
        <f xml:space="preserve"> IF(J5=$B$41, IF(J6=$E$41, VLOOKUP(J7+60, 'Swiss Climate Strategy'!$B$39:$Z$300,17,FALSE), VLOOKUP(J7+60, 'Swiss Climate Strategy'!$B$39:$Z$300, 19,FALSE)), IF(J7=$E$41, VLOOKUP(J7+60, 'Swiss Climate Strategy'!$B$39:$Z$300, 17,FALSE), VLOOKUP(J7+60, 'Swiss Climate Strategy'!$B$39:$Z$300, 19,FALSE)))</f>
        <v>0</v>
      </c>
      <c r="K15" s="71">
        <f xml:space="preserve"> IF(K5=$B$41, IF(K6=$E$41, VLOOKUP(K7+60, 'Swiss Climate Strategy'!$B$39:$Z$300,17,FALSE), VLOOKUP(K7+60, 'Swiss Climate Strategy'!$B$39:$Z$300, 19,FALSE)), IF(K7=$E$41, VLOOKUP(K7+60, 'Swiss Climate Strategy'!$B$39:$Z$300, 17,FALSE), VLOOKUP(K7+60, 'Swiss Climate Strategy'!$B$39:$Z$300, 19,FALSE)))</f>
        <v>0</v>
      </c>
      <c r="L15" s="71">
        <f xml:space="preserve"> IF(L5=$B$41, IF(L6=$E$41, VLOOKUP(L7+60, 'Swiss Climate Strategy'!$B$39:$Z$300,17,FALSE), VLOOKUP(L7+60, 'Swiss Climate Strategy'!$B$39:$Z$300, 19,FALSE)), IF(L7=$E$41, VLOOKUP(L7+60, 'Swiss Climate Strategy'!$B$39:$Z$300, 17,FALSE), VLOOKUP(L7+60, 'Swiss Climate Strategy'!$B$39:$Z$300, 19,FALSE)))</f>
        <v>0</v>
      </c>
      <c r="M15" s="71">
        <f xml:space="preserve"> IF(M5=$B$41, IF(M6=$E$41, VLOOKUP(M7+60, 'Swiss Climate Strategy'!$B$39:$Z$300,17,FALSE), VLOOKUP(M7+60, 'Swiss Climate Strategy'!$B$39:$Z$300, 19,FALSE)), IF(M7=$E$41, VLOOKUP(M7+60, 'Swiss Climate Strategy'!$B$39:$Z$300, 17,FALSE), VLOOKUP(M7+60, 'Swiss Climate Strategy'!$B$39:$Z$300, 19,FALSE)))</f>
        <v>0</v>
      </c>
      <c r="O15" s="66"/>
      <c r="P15" s="67"/>
      <c r="Q15" s="71"/>
      <c r="R15" s="71"/>
      <c r="S15" s="71"/>
      <c r="T15" s="71"/>
      <c r="U15" s="71"/>
      <c r="V15" s="71"/>
      <c r="W15" s="71"/>
      <c r="X15" s="71"/>
      <c r="Y15" s="71"/>
      <c r="Z15" s="71"/>
    </row>
    <row r="16" spans="1:26" ht="15" thickBot="1" x14ac:dyDescent="0.35">
      <c r="A16" t="s">
        <v>316</v>
      </c>
      <c r="B16" s="238" t="s">
        <v>320</v>
      </c>
      <c r="C16" s="239" t="s">
        <v>20</v>
      </c>
      <c r="D16" s="240">
        <f>D11+D13+D15+D12+D14</f>
        <v>525.74696290786221</v>
      </c>
      <c r="E16" s="240">
        <f t="shared" ref="E16:M16" si="12">E11+E13+E15+E12+E14</f>
        <v>461.53411976293631</v>
      </c>
      <c r="F16" s="240">
        <f t="shared" si="12"/>
        <v>397.24957393882937</v>
      </c>
      <c r="G16" s="240">
        <f t="shared" si="12"/>
        <v>322.93933433065473</v>
      </c>
      <c r="H16" s="240">
        <f t="shared" si="12"/>
        <v>281.8490171303568</v>
      </c>
      <c r="I16" s="240">
        <f t="shared" si="12"/>
        <v>255.00275915976849</v>
      </c>
      <c r="J16" s="240">
        <f t="shared" si="12"/>
        <v>232.68938488649891</v>
      </c>
      <c r="K16" s="240">
        <f t="shared" si="12"/>
        <v>214.20579162665061</v>
      </c>
      <c r="L16" s="240">
        <f t="shared" si="12"/>
        <v>158.17498634400911</v>
      </c>
      <c r="M16" s="240">
        <f t="shared" si="12"/>
        <v>142.07505894512019</v>
      </c>
      <c r="O16" s="66" t="s">
        <v>21</v>
      </c>
      <c r="P16" s="67" t="s">
        <v>20</v>
      </c>
      <c r="Q16" s="204">
        <f xml:space="preserve"> IF(Q5=$B$41, IF(Q6=$E$41, VLOOKUP(Q7, '1.5°C'!$B$39:$U$67, 17,FALSE), VLOOKUP(Q7, '1.5°C'!$B$39:$U$67, 18,FALSE)), IF(Q6=$E$41, VLOOKUP(Q7, '1.5°C'!$B$39:$U$67, 17,FALSE), VLOOKUP(Q7, '1.5°C'!$B$39:$U$67, 18,FALSE)))</f>
        <v>553.25584200133198</v>
      </c>
      <c r="R16" s="204">
        <f xml:space="preserve"> IF(R5=$B$41, IF(R6=$E$41, VLOOKUP(R7, '1.5°C'!$B$39:$U$67, 17,FALSE), VLOOKUP(R7, '1.5°C'!$B$39:$U$67, 18,FALSE)), IF(R6=$E$41, VLOOKUP(R7, '1.5°C'!$B$39:$U$67, 17,FALSE), VLOOKUP(R7, '1.5°C'!$B$39:$U$67, 18,FALSE)))</f>
        <v>473.57316146959215</v>
      </c>
      <c r="S16" s="204">
        <f xml:space="preserve"> IF(S5=$B$41, IF(S6=$E$41, VLOOKUP(S7, '1.5°C'!$B$39:$U$67, 17,FALSE), VLOOKUP(S7, '1.5°C'!$B$39:$U$67, 18,FALSE)), IF(S6=$E$41, VLOOKUP(S7, '1.5°C'!$B$39:$U$67, 17,FALSE), VLOOKUP(S7, '1.5°C'!$B$39:$U$67, 18,FALSE)))</f>
        <v>347.16620508656564</v>
      </c>
      <c r="T16" s="204">
        <f xml:space="preserve"> IF(T5=$B$41, IF(T6=$E$41, VLOOKUP(T7, '1.5°C'!$B$39:$U$67, 17,FALSE), VLOOKUP(T7, '1.5°C'!$B$39:$U$67, 18,FALSE)), IF(T6=$E$41, VLOOKUP(T7, '1.5°C'!$B$39:$U$67, 17,FALSE), VLOOKUP(T7, '1.5°C'!$B$39:$U$67, 18,FALSE)))</f>
        <v>235.71290013917388</v>
      </c>
      <c r="U16" s="204">
        <f xml:space="preserve"> IF(U5=$B$41, IF(U6=$E$41, VLOOKUP(U7, '1.5°C'!$B$39:$U$67, 17,FALSE), VLOOKUP(U7, '1.5°C'!$B$39:$U$67, 18,FALSE)), IF(U6=$E$41, VLOOKUP(U7, '1.5°C'!$B$39:$U$67, 17,FALSE), VLOOKUP(U7, '1.5°C'!$B$39:$U$67, 18,FALSE)))</f>
        <v>186.9380169454052</v>
      </c>
      <c r="V16" s="204">
        <f xml:space="preserve"> IF(V5=$B$41, IF(V6=$E$41, VLOOKUP(V7, '1.5°C'!$B$39:$U$67, 17,FALSE), VLOOKUP(V7, '1.5°C'!$B$39:$U$67, 18,FALSE)), IF(V6=$E$41, VLOOKUP(V7, '1.5°C'!$B$39:$U$67, 17,FALSE), VLOOKUP(V7, '1.5°C'!$B$39:$U$67, 18,FALSE)))</f>
        <v>160.19775845636977</v>
      </c>
      <c r="W16" s="204">
        <f xml:space="preserve"> IF(W5=$B$41, IF(W6=$E$41, VLOOKUP(W7, '1.5°C'!$B$39:$U$67, 17,FALSE), VLOOKUP(W7, '1.5°C'!$B$39:$U$67, 18,FALSE)), IF(W6=$E$41, VLOOKUP(W7, '1.5°C'!$B$39:$U$67, 17,FALSE), VLOOKUP(W7, '1.5°C'!$B$39:$U$67, 18,FALSE)))</f>
        <v>137.30282316494612</v>
      </c>
      <c r="X16" s="204">
        <f xml:space="preserve"> IF(X5=$B$41, IF(X6=$E$41, VLOOKUP(X7, '1.5°C'!$B$39:$U$67, 17,FALSE), VLOOKUP(X7, '1.5°C'!$B$39:$U$67, 18,FALSE)), IF(X6=$E$41, VLOOKUP(X7, '1.5°C'!$B$39:$U$67, 17,FALSE), VLOOKUP(X7, '1.5°C'!$B$39:$U$67, 18,FALSE)))</f>
        <v>117.69694589688591</v>
      </c>
      <c r="Y16" s="204">
        <f xml:space="preserve"> IF(Y5=$B$41, IF(Y6=$E$41, VLOOKUP(Y7, '1.5°C'!$B$39:$U$67, 17,FALSE), VLOOKUP(Y7, '1.5°C'!$B$39:$U$67, 18,FALSE)), IF(Y6=$E$41, VLOOKUP(Y7, '1.5°C'!$B$39:$U$67, 17,FALSE), VLOOKUP(Y7, '1.5°C'!$B$39:$U$67, 18,FALSE)))</f>
        <v>86.520468331042224</v>
      </c>
      <c r="Z16" s="204">
        <f xml:space="preserve"> IF(Z5=$B$41, IF(Z6=$E$41, VLOOKUP(Z7, '1.5°C'!$B$39:$U$67, 17,FALSE), VLOOKUP(Z7, '1.5°C'!$B$39:$U$67, 18,FALSE)), IF(Z6=$E$41, VLOOKUP(Z7, '1.5°C'!$B$39:$U$67, 17,FALSE), VLOOKUP(Z7, '1.5°C'!$B$39:$U$67, 18,FALSE)))</f>
        <v>74.196598619472098</v>
      </c>
    </row>
    <row r="17" spans="1:26" x14ac:dyDescent="0.3">
      <c r="A17" t="s">
        <v>316</v>
      </c>
      <c r="B17" s="66" t="s">
        <v>22</v>
      </c>
      <c r="C17" s="67" t="s">
        <v>23</v>
      </c>
      <c r="D17" s="71">
        <f>D16/60</f>
        <v>8.7624493817977029</v>
      </c>
      <c r="E17" s="71">
        <f t="shared" ref="E17:M17" si="13">E16/60</f>
        <v>7.6922353293822718</v>
      </c>
      <c r="F17" s="71">
        <f t="shared" si="13"/>
        <v>6.6208262323138225</v>
      </c>
      <c r="G17" s="71">
        <f t="shared" si="13"/>
        <v>5.3823222388442451</v>
      </c>
      <c r="H17" s="71">
        <f t="shared" si="13"/>
        <v>4.6974836188392803</v>
      </c>
      <c r="I17" s="71">
        <f t="shared" si="13"/>
        <v>4.2500459859961417</v>
      </c>
      <c r="J17" s="71">
        <f t="shared" si="13"/>
        <v>3.8781564147749821</v>
      </c>
      <c r="K17" s="71">
        <f t="shared" si="13"/>
        <v>3.5700965271108434</v>
      </c>
      <c r="L17" s="71">
        <f t="shared" si="13"/>
        <v>2.6362497724001517</v>
      </c>
      <c r="M17" s="71">
        <f t="shared" si="13"/>
        <v>2.3679176490853364</v>
      </c>
      <c r="O17" s="66" t="s">
        <v>22</v>
      </c>
      <c r="P17" s="67" t="s">
        <v>23</v>
      </c>
      <c r="Q17" s="71">
        <f xml:space="preserve"> IF(Q5=$B$41, IF(Q6=$E$41, VLOOKUP(Q7, '1.5°C'!$B$39:$U$67, 19,FALSE), VLOOKUP(Q7, '1.5°C'!$B$39:$U$67, 20,FALSE)), IF(Q6=$E$41, VLOOKUP(Q7, '1.5°C'!$B$39:$U$67, 19,FALSE), VLOOKUP(Q7, '1.5°C'!$B$39:$U$67, 20,FALSE)))</f>
        <v>9.2209307000221994</v>
      </c>
      <c r="R17" s="71">
        <f xml:space="preserve"> IF(R5=$B$41, IF(R6=$E$41, VLOOKUP(R7, '1.5°C'!$B$39:$U$67, 19,FALSE), VLOOKUP(R7, '1.5°C'!$B$39:$U$67, 20,FALSE)), IF(R6=$E$41, VLOOKUP(R7, '1.5°C'!$B$39:$U$67, 19,FALSE), VLOOKUP(R7, '1.5°C'!$B$39:$U$67, 20,FALSE)))</f>
        <v>7.8928860244932029</v>
      </c>
      <c r="S17" s="71">
        <f xml:space="preserve"> IF(S5=$B$41, IF(S6=$E$41, VLOOKUP(S7, '1.5°C'!$B$39:$U$67, 19,FALSE), VLOOKUP(S7, '1.5°C'!$B$39:$U$67, 20,FALSE)), IF(S6=$E$41, VLOOKUP(S7, '1.5°C'!$B$39:$U$67, 19,FALSE), VLOOKUP(S7, '1.5°C'!$B$39:$U$67, 20,FALSE)))</f>
        <v>5.7861034181094277</v>
      </c>
      <c r="T17" s="71">
        <f xml:space="preserve"> IF(T5=$B$41, IF(T6=$E$41, VLOOKUP(T7, '1.5°C'!$B$39:$U$67, 19,FALSE), VLOOKUP(T7, '1.5°C'!$B$39:$U$67, 20,FALSE)), IF(T6=$E$41, VLOOKUP(T7, '1.5°C'!$B$39:$U$67, 19,FALSE), VLOOKUP(T7, '1.5°C'!$B$39:$U$67, 20,FALSE)))</f>
        <v>3.9285483356528981</v>
      </c>
      <c r="U17" s="71">
        <f xml:space="preserve"> IF(U5=$B$41, IF(U6=$E$41, VLOOKUP(U7, '1.5°C'!$B$39:$U$67, 19,FALSE), VLOOKUP(U7, '1.5°C'!$B$39:$U$67, 20,FALSE)), IF(U6=$E$41, VLOOKUP(U7, '1.5°C'!$B$39:$U$67, 19,FALSE), VLOOKUP(U7, '1.5°C'!$B$39:$U$67, 20,FALSE)))</f>
        <v>3.1156336157567535</v>
      </c>
      <c r="V17" s="71">
        <f xml:space="preserve"> IF(V5=$B$41, IF(V6=$E$41, VLOOKUP(V7, '1.5°C'!$B$39:$U$67, 19,FALSE), VLOOKUP(V7, '1.5°C'!$B$39:$U$67, 20,FALSE)), IF(V6=$E$41, VLOOKUP(V7, '1.5°C'!$B$39:$U$67, 19,FALSE), VLOOKUP(V7, '1.5°C'!$B$39:$U$67, 20,FALSE)))</f>
        <v>2.6699626409394961</v>
      </c>
      <c r="W17" s="71">
        <f xml:space="preserve"> IF(W5=$B$41, IF(W6=$E$41, VLOOKUP(W7, '1.5°C'!$B$39:$U$67, 19,FALSE), VLOOKUP(W7, '1.5°C'!$B$39:$U$67, 20,FALSE)), IF(W6=$E$41, VLOOKUP(W7, '1.5°C'!$B$39:$U$67, 19,FALSE), VLOOKUP(W7, '1.5°C'!$B$39:$U$67, 20,FALSE)))</f>
        <v>2.2883803860824354</v>
      </c>
      <c r="X17" s="71">
        <f xml:space="preserve"> IF(X5=$B$41, IF(X6=$E$41, VLOOKUP(X7, '1.5°C'!$B$39:$U$67, 19,FALSE), VLOOKUP(X7, '1.5°C'!$B$39:$U$67, 20,FALSE)), IF(X6=$E$41, VLOOKUP(X7, '1.5°C'!$B$39:$U$67, 19,FALSE), VLOOKUP(X7, '1.5°C'!$B$39:$U$67, 20,FALSE)))</f>
        <v>1.9616157649480985</v>
      </c>
      <c r="Y17" s="71">
        <f xml:space="preserve"> IF(Y5=$B$41, IF(Y6=$E$41, VLOOKUP(Y7, '1.5°C'!$B$39:$U$67, 19,FALSE), VLOOKUP(Y7, '1.5°C'!$B$39:$U$67, 20,FALSE)), IF(Y6=$E$41, VLOOKUP(Y7, '1.5°C'!$B$39:$U$67, 19,FALSE), VLOOKUP(Y7, '1.5°C'!$B$39:$U$67, 20,FALSE)))</f>
        <v>1.4420078055173704</v>
      </c>
      <c r="Z17" s="71">
        <f xml:space="preserve"> IF(Z5=$B$41, IF(Z6=$E$41, VLOOKUP(Z7, '1.5°C'!$B$39:$U$67, 19,FALSE), VLOOKUP(Z7, '1.5°C'!$B$39:$U$67, 20,FALSE)), IF(Z6=$E$41, VLOOKUP(Z7, '1.5°C'!$B$39:$U$67, 19,FALSE), VLOOKUP(Z7, '1.5°C'!$B$39:$U$67, 20,FALSE)))</f>
        <v>1.2366099769912016</v>
      </c>
    </row>
    <row r="18" spans="1:26" x14ac:dyDescent="0.3">
      <c r="A18" t="s">
        <v>322</v>
      </c>
      <c r="B18" s="66" t="s">
        <v>321</v>
      </c>
      <c r="C18" s="67" t="s">
        <v>25</v>
      </c>
      <c r="D18" s="72">
        <f>D16*D8</f>
        <v>525746.96290786227</v>
      </c>
      <c r="E18" s="72">
        <f t="shared" ref="E18:M18" si="14">E16*E8</f>
        <v>461534.11976293632</v>
      </c>
      <c r="F18" s="72">
        <f t="shared" si="14"/>
        <v>397249.57393882936</v>
      </c>
      <c r="G18" s="72">
        <f t="shared" si="14"/>
        <v>322939.3343306547</v>
      </c>
      <c r="H18" s="72">
        <f t="shared" si="14"/>
        <v>281849.01713035681</v>
      </c>
      <c r="I18" s="72">
        <f t="shared" si="14"/>
        <v>255002.7591597685</v>
      </c>
      <c r="J18" s="72">
        <f t="shared" si="14"/>
        <v>232689.38488649891</v>
      </c>
      <c r="K18" s="72">
        <f t="shared" si="14"/>
        <v>214205.79162665061</v>
      </c>
      <c r="L18" s="72">
        <f t="shared" si="14"/>
        <v>158174.98634400911</v>
      </c>
      <c r="M18" s="72">
        <f t="shared" si="14"/>
        <v>142075.0589451202</v>
      </c>
      <c r="O18" s="66" t="s">
        <v>24</v>
      </c>
      <c r="P18" s="67" t="s">
        <v>25</v>
      </c>
      <c r="Q18" s="71">
        <f t="shared" ref="Q18:Z18" si="15">Q16*Q8</f>
        <v>553255.84200133197</v>
      </c>
      <c r="R18" s="71">
        <f t="shared" si="15"/>
        <v>473573.16146959213</v>
      </c>
      <c r="S18" s="71">
        <f t="shared" si="15"/>
        <v>347166.20508656563</v>
      </c>
      <c r="T18" s="71">
        <f t="shared" si="15"/>
        <v>235712.90013917387</v>
      </c>
      <c r="U18" s="71">
        <f t="shared" si="15"/>
        <v>186938.01694540519</v>
      </c>
      <c r="V18" s="71">
        <f t="shared" si="15"/>
        <v>160197.75845636977</v>
      </c>
      <c r="W18" s="71">
        <f t="shared" si="15"/>
        <v>137302.82316494611</v>
      </c>
      <c r="X18" s="71">
        <f t="shared" si="15"/>
        <v>117696.94589688591</v>
      </c>
      <c r="Y18" s="71">
        <f t="shared" si="15"/>
        <v>86520.468331042226</v>
      </c>
      <c r="Z18" s="71">
        <f t="shared" si="15"/>
        <v>74196.598619472104</v>
      </c>
    </row>
    <row r="19" spans="1:26" x14ac:dyDescent="0.3">
      <c r="B19" s="19"/>
      <c r="C19" s="70"/>
      <c r="M19" s="5"/>
      <c r="O19" s="19"/>
      <c r="P19" s="70"/>
      <c r="Z19" s="5"/>
    </row>
    <row r="20" spans="1:26" x14ac:dyDescent="0.3">
      <c r="A20" t="s">
        <v>315</v>
      </c>
      <c r="B20" s="66" t="s">
        <v>26</v>
      </c>
      <c r="C20" s="67"/>
      <c r="D20" s="35" t="s">
        <v>27</v>
      </c>
      <c r="M20" s="5"/>
      <c r="O20" s="66" t="s">
        <v>26</v>
      </c>
      <c r="P20" s="67"/>
      <c r="Q20" s="35" t="s">
        <v>27</v>
      </c>
      <c r="Z20" s="5"/>
    </row>
    <row r="21" spans="1:26" x14ac:dyDescent="0.3">
      <c r="A21" t="s">
        <v>315</v>
      </c>
      <c r="B21" s="66" t="s">
        <v>296</v>
      </c>
      <c r="C21" s="67" t="s">
        <v>28</v>
      </c>
      <c r="D21" s="230">
        <f xml:space="preserve"> IF(D5=$B$41, IF(D6=$E$41, VLOOKUP(D7, 'Swiss Climate Strategy'!$B$39:$BD$117,42,FALSE), VLOOKUP(D7, 'Swiss Climate Strategy'!$B$39:$BD$117, 43,FALSE)), IF(D6=$E$41, VLOOKUP(D7, 'Swiss Climate Strategy'!$B$39:$BD$117, 51,FALSE), VLOOKUP(D7, 'Swiss Climate Strategy'!$B$39:$BD$117, 52,FALSE)))</f>
        <v>2.5855157380365981</v>
      </c>
      <c r="E21" s="230">
        <f xml:space="preserve"> IF(E5=$B$41, IF(E6=$E$41, VLOOKUP(E7, 'Swiss Climate Strategy'!$B$39:$BD$117,42,FALSE), VLOOKUP(E7, 'Swiss Climate Strategy'!$B$39:$BD$117, 43,FALSE)), IF(E6=$E$41, VLOOKUP(E7, 'Swiss Climate Strategy'!$B$39:$BD$117, 51,FALSE), VLOOKUP(E7, 'Swiss Climate Strategy'!$B$39:$BD$117, 52,FALSE)))</f>
        <v>6.9626722623861621</v>
      </c>
      <c r="F21" s="230">
        <f xml:space="preserve"> IF(F5=$B$41, IF(F6=$E$41, VLOOKUP(F7, 'Swiss Climate Strategy'!$B$39:$BD$117,42,FALSE), VLOOKUP(F7, 'Swiss Climate Strategy'!$B$39:$BD$117, 43,FALSE)), IF(F6=$E$41, VLOOKUP(F7, 'Swiss Climate Strategy'!$B$39:$BD$117, 51,FALSE), VLOOKUP(F7, 'Swiss Climate Strategy'!$B$39:$BD$117, 52,FALSE)))</f>
        <v>5.1850137535102592</v>
      </c>
      <c r="G21" s="230">
        <f xml:space="preserve"> IF(G5=$B$41, IF(G6=$E$41, VLOOKUP(G7, 'Swiss Climate Strategy'!$B$39:$BD$117,42,FALSE), VLOOKUP(G7, 'Swiss Climate Strategy'!$B$39:$BD$117, 43,FALSE)), IF(G6=$E$41, VLOOKUP(G7, 'Swiss Climate Strategy'!$B$39:$BD$117, 51,FALSE), VLOOKUP(G7, 'Swiss Climate Strategy'!$B$39:$BD$117, 52,FALSE)))</f>
        <v>3.5914413199390673</v>
      </c>
      <c r="H21" s="230">
        <f xml:space="preserve"> IF(H5=$B$41, IF(H6=$E$41, VLOOKUP(H7, 'Swiss Climate Strategy'!$B$39:$BD$117,42,FALSE), VLOOKUP(H7, 'Swiss Climate Strategy'!$B$39:$BD$117, 43,FALSE)), IF(H6=$E$41, VLOOKUP(H7, 'Swiss Climate Strategy'!$B$39:$BD$117, 51,FALSE), VLOOKUP(H7, 'Swiss Climate Strategy'!$B$39:$BD$117, 52,FALSE)))</f>
        <v>2.8187471118968008</v>
      </c>
      <c r="I21" s="230">
        <f xml:space="preserve"> IF(I5=$B$41, IF(I6=$E$41, VLOOKUP(I7, 'Swiss Climate Strategy'!$B$39:$BD$117,42,FALSE), VLOOKUP(I7, 'Swiss Climate Strategy'!$B$39:$BD$117, 43,FALSE)), IF(I6=$E$41, VLOOKUP(I7, 'Swiss Climate Strategy'!$B$39:$BD$117, 51,FALSE), VLOOKUP(I7, 'Swiss Climate Strategy'!$B$39:$BD$117, 52,FALSE)))</f>
        <v>2.3732147362230469</v>
      </c>
      <c r="J21" s="230">
        <f xml:space="preserve"> IF(J5=$B$41, IF(J6=$E$41, VLOOKUP(J7, 'Swiss Climate Strategy'!$B$39:$BD$117,42,FALSE), VLOOKUP(J7, 'Swiss Climate Strategy'!$B$39:$BD$117, 43,FALSE)), IF(J6=$E$41, VLOOKUP(J7, 'Swiss Climate Strategy'!$B$39:$BD$117, 51,FALSE), VLOOKUP(J7, 'Swiss Climate Strategy'!$B$39:$BD$117, 52,FALSE)))</f>
        <v>1.9454894525084028</v>
      </c>
      <c r="K21" s="230">
        <f xml:space="preserve"> IF(K5=$B$41, IF(K6=$E$41, VLOOKUP(K7, 'Swiss Climate Strategy'!$B$39:$BD$117,42,FALSE), VLOOKUP(K7, 'Swiss Climate Strategy'!$B$39:$BD$117, 43,FALSE)), IF(K6=$E$41, VLOOKUP(K7, 'Swiss Climate Strategy'!$B$39:$BD$117, 51,FALSE), VLOOKUP(K7, 'Swiss Climate Strategy'!$B$39:$BD$117, 52,FALSE)))</f>
        <v>1.4857888961774444</v>
      </c>
      <c r="L21" s="230">
        <f xml:space="preserve"> IF(L5=$B$41, IF(L6=$E$41, VLOOKUP(L7, 'Swiss Climate Strategy'!$B$39:$BD$117,42,FALSE), VLOOKUP(L7, 'Swiss Climate Strategy'!$B$39:$BD$117, 43,FALSE)), IF(L6=$E$41, VLOOKUP(L7, 'Swiss Climate Strategy'!$B$39:$BD$117, 51,FALSE), VLOOKUP(L7, 'Swiss Climate Strategy'!$B$39:$BD$117, 52,FALSE)))</f>
        <v>0.56998405015544618</v>
      </c>
      <c r="M21" s="230">
        <f xml:space="preserve"> IF(M5=$B$41, IF(M6=$E$41, VLOOKUP(M7, 'Swiss Climate Strategy'!$B$39:$BD$117,42,FALSE), VLOOKUP(M7, 'Swiss Climate Strategy'!$B$39:$BD$117, 43,FALSE)), IF(M6=$E$41, VLOOKUP(M7, 'Swiss Climate Strategy'!$B$39:$BD$117, 51,FALSE), VLOOKUP(M7, 'Swiss Climate Strategy'!$B$39:$BD$117, 52,FALSE)))</f>
        <v>0.28322332478112072</v>
      </c>
      <c r="O21" s="66" t="s">
        <v>29</v>
      </c>
      <c r="P21" s="67" t="s">
        <v>28</v>
      </c>
      <c r="Q21" s="71">
        <f xml:space="preserve"> IF(Q5=$B$41, IF(Q6=$E$41, AVERAGE('1.5°C'!$AA$47:$AA$67), AVERAGE('1.5°C'!$AB$47:$AB$67)), IF(Q6=$E$41, AVERAGE('1.5°C'!$AF$47:$AF$67),AVERAGE('1.5°C'!$AG$47:$AG$67)))</f>
        <v>0.16678491431006554</v>
      </c>
      <c r="R21" s="71">
        <f xml:space="preserve"> IF(R5=$B$41, IF(R6=$E$41, AVERAGE('1.5°C'!$AA$47:$AA$67), AVERAGE('1.5°C'!$AB$47:$AB$67)), IF(R6=$E$41, AVERAGE('1.5°C'!$AF$47:$AF$67),AVERAGE('1.5°C'!$AG$47:$AG$67)))</f>
        <v>0.49996987460526504</v>
      </c>
      <c r="S21" s="71">
        <f xml:space="preserve"> IF(S5=$B$41, IF(S6=$E$41, AVERAGE('1.5°C'!$AA$47:$AA$67), AVERAGE('1.5°C'!$AB$47:$AB$67)), IF(S6=$E$41, AVERAGE('1.5°C'!$AF$47:$AF$67),AVERAGE('1.5°C'!$AG$47:$AG$67)))</f>
        <v>0.49996987460526504</v>
      </c>
      <c r="T21" s="71">
        <f xml:space="preserve"> IF(T5=$B$41, IF(T6=$E$41, AVERAGE('1.5°C'!$AA$47:$AA$67), AVERAGE('1.5°C'!$AB$47:$AB$67)), IF(T6=$E$41, AVERAGE('1.5°C'!$AF$47:$AF$67),AVERAGE('1.5°C'!$AG$47:$AG$67)))</f>
        <v>0.49996987460526504</v>
      </c>
      <c r="U21" s="71">
        <f xml:space="preserve"> IF(U5=$B$41, IF(U6=$E$41, AVERAGE('1.5°C'!$AA$47:$AA$67), AVERAGE('1.5°C'!$AB$47:$AB$67)), IF(U6=$E$41, AVERAGE('1.5°C'!$AF$47:$AF$67),AVERAGE('1.5°C'!$AG$47:$AG$67)))</f>
        <v>0.49996987460526504</v>
      </c>
      <c r="V21" s="71">
        <f xml:space="preserve"> IF(V5=$B$41, IF(V6=$E$41, AVERAGE('1.5°C'!$AA$47:$AA$67), AVERAGE('1.5°C'!$AB$47:$AB$67)), IF(V6=$E$41, AVERAGE('1.5°C'!$AF$47:$AF$67),AVERAGE('1.5°C'!$AG$47:$AG$67)))</f>
        <v>0.49996987460526504</v>
      </c>
      <c r="W21" s="71">
        <f xml:space="preserve"> IF(W5=$B$41, IF(W6=$E$41, AVERAGE('1.5°C'!$AA$47:$AA$67), AVERAGE('1.5°C'!$AB$47:$AB$67)), IF(W6=$E$41, AVERAGE('1.5°C'!$AF$47:$AF$67),AVERAGE('1.5°C'!$AG$47:$AG$67)))</f>
        <v>0.49996987460526504</v>
      </c>
      <c r="X21" s="71">
        <f xml:space="preserve"> IF(X5=$B$41, IF(X6=$E$41, AVERAGE('1.5°C'!$AA$47:$AA$67), AVERAGE('1.5°C'!$AB$47:$AB$67)), IF(X6=$E$41, AVERAGE('1.5°C'!$AF$47:$AF$67),AVERAGE('1.5°C'!$AG$47:$AG$67)))</f>
        <v>0.49996987460526504</v>
      </c>
      <c r="Y21" s="71">
        <f xml:space="preserve"> IF(Y5=$B$41, IF(Y6=$E$41, AVERAGE('1.5°C'!$AA$47:$AA$67), AVERAGE('1.5°C'!$AB$47:$AB$67)), IF(Y6=$E$41, AVERAGE('1.5°C'!$AF$47:$AF$67),AVERAGE('1.5°C'!$AG$47:$AG$67)))</f>
        <v>0.49996987460526504</v>
      </c>
      <c r="Z21" s="203">
        <f xml:space="preserve"> IF(Z5=$B$41, IF(Z6=$E$41, AVERAGE('1.5°C'!$AA$47:$AA$67), AVERAGE('1.5°C'!$AB$47:$AB$67)), IF(Z6=$E$41, AVERAGE('1.5°C'!$AF$47:$AF$67),AVERAGE('1.5°C'!$AG$47:$AG$67)))</f>
        <v>0.49996987460526504</v>
      </c>
    </row>
    <row r="22" spans="1:26" x14ac:dyDescent="0.3">
      <c r="A22" t="s">
        <v>315</v>
      </c>
      <c r="B22" s="66" t="s">
        <v>332</v>
      </c>
      <c r="C22" s="67" t="s">
        <v>28</v>
      </c>
      <c r="D22" s="230">
        <f xml:space="preserve"> IF(D5=$B$41, IF(D6=$E$41, VLOOKUP(D7+20, 'Swiss Climate Strategy'!$B$39:$BD$117, 42,FALSE), VLOOKUP(D7+20, 'Swiss Climate Strategy'!$B$39:$BD$117, 43,FALSE)), IF(D6=$E$41, VLOOKUP(D7+20, 'Swiss Climate Strategy'!$B$39:$BD$117, 51,FALSE), VLOOKUP(D7+20, 'Swiss Climate Strategy'!$B$39:$BD$117, 52,FALSE)))</f>
        <v>0.41469957764721316</v>
      </c>
      <c r="E22" s="230">
        <f xml:space="preserve"> IF(E5=$B$41, IF(E6=$E$41, VLOOKUP(E7+20, 'Swiss Climate Strategy'!$B$39:$BD$117, 42,FALSE), VLOOKUP(E7+20, 'Swiss Climate Strategy'!$B$39:$BD$117, 43,FALSE)), IF(E6=$E$41, VLOOKUP(E7+20, 'Swiss Climate Strategy'!$B$39:$BD$117, 51,FALSE), VLOOKUP(E7+20, 'Swiss Climate Strategy'!$B$39:$BD$117, 52,FALSE)))</f>
        <v>0.99944040982840654</v>
      </c>
      <c r="F22" s="230">
        <f xml:space="preserve"> IF(F5=$B$41, IF(F6=$E$41, VLOOKUP(F7+20, 'Swiss Climate Strategy'!$B$39:$BD$117, 42,FALSE), VLOOKUP(F7+20, 'Swiss Climate Strategy'!$B$39:$BD$117, 43,FALSE)), IF(F6=$E$41, VLOOKUP(F7+20, 'Swiss Climate Strategy'!$B$39:$BD$117, 51,FALSE), VLOOKUP(F7+20, 'Swiss Climate Strategy'!$B$39:$BD$117, 52,FALSE)))</f>
        <v>0.28322332478112072</v>
      </c>
      <c r="G22" s="230">
        <f xml:space="preserve"> IF(G5=$B$41, IF(G6=$E$41, VLOOKUP(G7+20, 'Swiss Climate Strategy'!$B$39:$BD$117, 42,FALSE), VLOOKUP(G7+20, 'Swiss Climate Strategy'!$B$39:$BD$117, 43,FALSE)), IF(G6=$E$41, VLOOKUP(G7+20, 'Swiss Climate Strategy'!$B$39:$BD$117, 51,FALSE), VLOOKUP(G7+20, 'Swiss Climate Strategy'!$B$39:$BD$117, 52,FALSE)))</f>
        <v>0</v>
      </c>
      <c r="H22" s="230">
        <f xml:space="preserve"> IF(H5=$B$41, IF(H6=$E$41, VLOOKUP(H7+20, 'Swiss Climate Strategy'!$B$39:$BD$117, 42,FALSE), VLOOKUP(H7+20, 'Swiss Climate Strategy'!$B$39:$BD$117, 43,FALSE)), IF(H6=$E$41, VLOOKUP(H7+20, 'Swiss Climate Strategy'!$B$39:$BD$117, 51,FALSE), VLOOKUP(H7+20, 'Swiss Climate Strategy'!$B$39:$BD$117, 52,FALSE)))</f>
        <v>0</v>
      </c>
      <c r="I22" s="230">
        <f xml:space="preserve"> IF(I5=$B$41, IF(I6=$E$41, VLOOKUP(I7+20, 'Swiss Climate Strategy'!$B$39:$BD$117, 42,FALSE), VLOOKUP(I7+20, 'Swiss Climate Strategy'!$B$39:$BD$117, 43,FALSE)), IF(I6=$E$41, VLOOKUP(I7+20, 'Swiss Climate Strategy'!$B$39:$BD$117, 51,FALSE), VLOOKUP(I7+20, 'Swiss Climate Strategy'!$B$39:$BD$117, 52,FALSE)))</f>
        <v>0</v>
      </c>
      <c r="J22" s="230">
        <f xml:space="preserve"> IF(J5=$B$41, IF(J6=$E$41, VLOOKUP(J7+20, 'Swiss Climate Strategy'!$B$39:$BD$117, 42,FALSE), VLOOKUP(J7+20, 'Swiss Climate Strategy'!$B$39:$BD$117, 43,FALSE)), IF(J6=$E$41, VLOOKUP(J7+20, 'Swiss Climate Strategy'!$B$39:$BD$117, 51,FALSE), VLOOKUP(J7+20, 'Swiss Climate Strategy'!$B$39:$BD$117, 52,FALSE)))</f>
        <v>0</v>
      </c>
      <c r="K22" s="230">
        <f xml:space="preserve"> IF(K5=$B$41, IF(K6=$E$41, VLOOKUP(K7+20, 'Swiss Climate Strategy'!$B$39:$BD$117, 42,FALSE), VLOOKUP(K7+20, 'Swiss Climate Strategy'!$B$39:$BD$117, 43,FALSE)), IF(K6=$E$41, VLOOKUP(K7+20, 'Swiss Climate Strategy'!$B$39:$BD$117, 51,FALSE), VLOOKUP(K7+20, 'Swiss Climate Strategy'!$B$39:$BD$117, 52,FALSE)))</f>
        <v>0</v>
      </c>
      <c r="L22" s="230">
        <f xml:space="preserve"> IF(L5=$B$41, IF(L6=$E$41, VLOOKUP(L7+20, 'Swiss Climate Strategy'!$B$39:$BD$117, 42,FALSE), VLOOKUP(L7+20, 'Swiss Climate Strategy'!$B$39:$BD$117, 43,FALSE)), IF(L6=$E$41, VLOOKUP(L7+20, 'Swiss Climate Strategy'!$B$39:$BD$117, 51,FALSE), VLOOKUP(L7+20, 'Swiss Climate Strategy'!$B$39:$BD$117, 52,FALSE)))</f>
        <v>0</v>
      </c>
      <c r="M22" s="230">
        <f xml:space="preserve"> IF(M5=$B$41, IF(M6=$E$41, VLOOKUP(M7+20, 'Swiss Climate Strategy'!$B$39:$BD$117, 42,FALSE), VLOOKUP(M7+20, 'Swiss Climate Strategy'!$B$39:$BD$117, 43,FALSE)), IF(M6=$E$41, VLOOKUP(M7+20, 'Swiss Climate Strategy'!$B$39:$BD$117, 51,FALSE), VLOOKUP(M7+20, 'Swiss Climate Strategy'!$B$39:$BD$117, 52,FALSE)))</f>
        <v>0</v>
      </c>
      <c r="O22" s="19"/>
      <c r="P22" s="70"/>
      <c r="Z22" s="5"/>
    </row>
    <row r="23" spans="1:26" x14ac:dyDescent="0.3">
      <c r="A23" t="s">
        <v>315</v>
      </c>
      <c r="B23" s="66" t="s">
        <v>317</v>
      </c>
      <c r="C23" s="67" t="s">
        <v>28</v>
      </c>
      <c r="D23" s="230">
        <f>AVERAGE(D21,D22,0)</f>
        <v>1.0000717718946037</v>
      </c>
      <c r="E23" s="230">
        <f t="shared" ref="E23:M23" si="16">AVERAGE(E21,E22,0)</f>
        <v>2.6540375574048563</v>
      </c>
      <c r="F23" s="230">
        <f t="shared" si="16"/>
        <v>1.8227456927637933</v>
      </c>
      <c r="G23" s="230">
        <f t="shared" si="16"/>
        <v>1.1971471066463557</v>
      </c>
      <c r="H23" s="230">
        <f t="shared" si="16"/>
        <v>0.93958237063226691</v>
      </c>
      <c r="I23" s="230">
        <f t="shared" si="16"/>
        <v>0.79107157874101564</v>
      </c>
      <c r="J23" s="230">
        <f t="shared" si="16"/>
        <v>0.64849648416946759</v>
      </c>
      <c r="K23" s="230">
        <f t="shared" si="16"/>
        <v>0.49526296539248144</v>
      </c>
      <c r="L23" s="230">
        <f t="shared" si="16"/>
        <v>0.18999468338514872</v>
      </c>
      <c r="M23" s="230">
        <f t="shared" si="16"/>
        <v>9.4407774927040236E-2</v>
      </c>
      <c r="O23" s="19"/>
      <c r="P23" s="70"/>
      <c r="Z23" s="5"/>
    </row>
    <row r="24" spans="1:26" x14ac:dyDescent="0.3">
      <c r="B24" s="19"/>
      <c r="C24" s="70"/>
      <c r="M24" s="5"/>
      <c r="O24" s="19"/>
      <c r="P24" s="70"/>
      <c r="Z24" s="5"/>
    </row>
    <row r="25" spans="1:26" x14ac:dyDescent="0.3">
      <c r="B25" s="19"/>
      <c r="C25" s="70"/>
      <c r="D25" s="35" t="s">
        <v>30</v>
      </c>
      <c r="M25" s="5"/>
      <c r="O25" s="19"/>
      <c r="P25" s="70"/>
      <c r="Q25" s="35" t="s">
        <v>30</v>
      </c>
      <c r="Z25" s="5"/>
    </row>
    <row r="26" spans="1:26" x14ac:dyDescent="0.3">
      <c r="B26" s="66" t="s">
        <v>31</v>
      </c>
      <c r="C26" s="67" t="s">
        <v>32</v>
      </c>
      <c r="D26" s="71">
        <f>D27+D28</f>
        <v>3457.4654234636796</v>
      </c>
      <c r="M26" s="5"/>
      <c r="O26" s="66" t="s">
        <v>31</v>
      </c>
      <c r="P26" s="67" t="s">
        <v>32</v>
      </c>
      <c r="Q26" s="71">
        <f>Q27+Q28</f>
        <v>2428.6190155480217</v>
      </c>
      <c r="Z26" s="5"/>
    </row>
    <row r="27" spans="1:26" x14ac:dyDescent="0.3">
      <c r="A27" t="s">
        <v>322</v>
      </c>
      <c r="B27" s="66" t="s">
        <v>33</v>
      </c>
      <c r="C27" s="67" t="s">
        <v>32</v>
      </c>
      <c r="D27" s="71">
        <f>SUM(D18:M18)/1000</f>
        <v>2991.4669890326873</v>
      </c>
      <c r="M27" s="5"/>
      <c r="O27" s="66" t="s">
        <v>33</v>
      </c>
      <c r="P27" s="67" t="s">
        <v>32</v>
      </c>
      <c r="Q27" s="71">
        <f>SUM(Q18:Z18)/1000</f>
        <v>2372.560720110785</v>
      </c>
      <c r="Z27" s="5"/>
    </row>
    <row r="28" spans="1:26" x14ac:dyDescent="0.3">
      <c r="A28" t="s">
        <v>315</v>
      </c>
      <c r="B28" s="66" t="s">
        <v>34</v>
      </c>
      <c r="C28" s="67" t="s">
        <v>32</v>
      </c>
      <c r="D28" s="71">
        <f>SUM('Background graphEXPL_CH'!Y5:Y33)/1000</f>
        <v>465.99843443099246</v>
      </c>
      <c r="M28" s="5"/>
      <c r="O28" s="66" t="s">
        <v>34</v>
      </c>
      <c r="P28" s="67" t="s">
        <v>32</v>
      </c>
      <c r="Q28" s="71">
        <f>SUM('Background graphEXPL_1.5'!Y4:Y32)/1000</f>
        <v>56.058295437236694</v>
      </c>
      <c r="Z28" s="5"/>
    </row>
    <row r="29" spans="1:26" x14ac:dyDescent="0.3">
      <c r="B29" s="2"/>
      <c r="D29" s="23"/>
      <c r="E29" s="25"/>
      <c r="M29" s="5"/>
      <c r="O29" s="2"/>
      <c r="Z29" s="5"/>
    </row>
    <row r="30" spans="1:26" x14ac:dyDescent="0.3">
      <c r="B30" s="2"/>
      <c r="M30" s="5"/>
      <c r="O30" s="2"/>
      <c r="Z30" s="5"/>
    </row>
    <row r="31" spans="1:26" x14ac:dyDescent="0.3">
      <c r="B31" s="2"/>
      <c r="M31" s="5"/>
      <c r="O31" s="2"/>
      <c r="Z31" s="5"/>
    </row>
    <row r="32" spans="1:26" x14ac:dyDescent="0.3">
      <c r="B32" s="2"/>
      <c r="M32" s="5"/>
      <c r="O32" s="2"/>
      <c r="Z32" s="5"/>
    </row>
    <row r="33" spans="2:26" x14ac:dyDescent="0.3">
      <c r="B33" s="2"/>
      <c r="M33" s="5"/>
      <c r="O33" s="2"/>
      <c r="Z33" s="5"/>
    </row>
    <row r="34" spans="2:26" x14ac:dyDescent="0.3">
      <c r="B34" s="2"/>
      <c r="M34" s="5"/>
      <c r="O34" s="2"/>
      <c r="Z34" s="5"/>
    </row>
    <row r="35" spans="2:26" ht="15" customHeight="1" x14ac:dyDescent="0.3">
      <c r="B35" s="2"/>
      <c r="M35" s="5"/>
      <c r="O35" s="2"/>
      <c r="Z35" s="5"/>
    </row>
    <row r="36" spans="2:26" x14ac:dyDescent="0.3">
      <c r="B36" s="2"/>
      <c r="M36" s="5"/>
      <c r="O36" s="2"/>
      <c r="Z36" s="5"/>
    </row>
    <row r="37" spans="2:26" x14ac:dyDescent="0.3">
      <c r="B37" s="2"/>
      <c r="M37" s="5"/>
      <c r="O37" s="2"/>
      <c r="Z37" s="5"/>
    </row>
    <row r="38" spans="2:26" x14ac:dyDescent="0.3">
      <c r="B38" s="2"/>
      <c r="M38" s="5"/>
      <c r="O38" s="2"/>
      <c r="Z38" s="5"/>
    </row>
    <row r="39" spans="2:26" x14ac:dyDescent="0.3">
      <c r="B39" s="73" t="s">
        <v>35</v>
      </c>
      <c r="C39" s="46"/>
      <c r="D39" s="46"/>
      <c r="E39" s="32"/>
      <c r="M39" s="5"/>
      <c r="O39" s="2"/>
      <c r="Z39" s="5"/>
    </row>
    <row r="40" spans="2:26" x14ac:dyDescent="0.3">
      <c r="B40" s="2" t="s">
        <v>8</v>
      </c>
      <c r="D40" t="s">
        <v>1</v>
      </c>
      <c r="E40" s="59" t="s">
        <v>11</v>
      </c>
      <c r="M40" s="5"/>
      <c r="O40" s="2"/>
      <c r="Z40" s="5"/>
    </row>
    <row r="41" spans="2:26" x14ac:dyDescent="0.3">
      <c r="B41" s="2" t="s">
        <v>10</v>
      </c>
      <c r="D41" t="s">
        <v>2</v>
      </c>
      <c r="E41" s="59" t="s">
        <v>12</v>
      </c>
      <c r="M41" s="5"/>
      <c r="O41" s="2"/>
      <c r="Z41" s="5"/>
    </row>
    <row r="42" spans="2:26" x14ac:dyDescent="0.3">
      <c r="B42" s="74" t="s">
        <v>9</v>
      </c>
      <c r="C42" s="48"/>
      <c r="D42" s="48" t="s">
        <v>3</v>
      </c>
      <c r="E42" s="60" t="s">
        <v>36</v>
      </c>
      <c r="M42" s="5"/>
      <c r="O42" s="2"/>
      <c r="Z42" s="5"/>
    </row>
    <row r="43" spans="2:26" x14ac:dyDescent="0.3">
      <c r="B43" s="2"/>
      <c r="M43" s="5"/>
      <c r="O43" s="2"/>
      <c r="Z43" s="5"/>
    </row>
    <row r="44" spans="2:26" x14ac:dyDescent="0.3">
      <c r="B44" s="2"/>
      <c r="M44" s="5"/>
      <c r="O44" s="2"/>
      <c r="Z44" s="5"/>
    </row>
    <row r="45" spans="2:26" x14ac:dyDescent="0.3">
      <c r="B45" s="2"/>
      <c r="M45" s="5"/>
      <c r="O45" s="2"/>
      <c r="Z45" s="5"/>
    </row>
    <row r="46" spans="2:26" x14ac:dyDescent="0.3">
      <c r="B46" s="2"/>
      <c r="M46" s="5"/>
      <c r="O46" s="2"/>
      <c r="Z46" s="5"/>
    </row>
    <row r="47" spans="2:26" x14ac:dyDescent="0.3">
      <c r="B47" s="2"/>
      <c r="M47" s="5"/>
      <c r="O47" s="2"/>
      <c r="Z47" s="5"/>
    </row>
    <row r="48" spans="2:26" x14ac:dyDescent="0.3">
      <c r="B48" s="2"/>
      <c r="M48" s="5"/>
      <c r="O48" s="2"/>
      <c r="Z48" s="5"/>
    </row>
    <row r="49" spans="2:26" x14ac:dyDescent="0.3">
      <c r="B49" s="2"/>
      <c r="M49" s="5"/>
      <c r="O49" s="2"/>
      <c r="Z49" s="5"/>
    </row>
    <row r="50" spans="2:26" x14ac:dyDescent="0.3">
      <c r="B50" s="2"/>
      <c r="M50" s="5"/>
      <c r="O50" s="2"/>
      <c r="Z50" s="5"/>
    </row>
    <row r="51" spans="2:26" x14ac:dyDescent="0.3">
      <c r="B51" s="2"/>
      <c r="M51" s="5"/>
      <c r="O51" s="2"/>
      <c r="Z51" s="5"/>
    </row>
    <row r="52" spans="2:26" x14ac:dyDescent="0.3">
      <c r="B52" s="2"/>
      <c r="M52" s="5"/>
      <c r="O52" s="2"/>
      <c r="Z52" s="5"/>
    </row>
    <row r="53" spans="2:26" x14ac:dyDescent="0.3">
      <c r="B53" s="2"/>
      <c r="M53" s="5"/>
      <c r="O53" s="2"/>
      <c r="Z53" s="5"/>
    </row>
    <row r="54" spans="2:26" x14ac:dyDescent="0.3">
      <c r="B54" s="2"/>
      <c r="M54" s="5"/>
      <c r="O54" s="2"/>
      <c r="Z54" s="5"/>
    </row>
    <row r="55" spans="2:26" x14ac:dyDescent="0.3">
      <c r="B55" s="2"/>
      <c r="M55" s="5"/>
      <c r="O55" s="2"/>
      <c r="Z55" s="5"/>
    </row>
    <row r="56" spans="2:26" x14ac:dyDescent="0.3">
      <c r="B56" s="2"/>
      <c r="M56" s="5"/>
      <c r="O56" s="2"/>
      <c r="Z56" s="5"/>
    </row>
    <row r="57" spans="2:26" x14ac:dyDescent="0.3">
      <c r="B57" s="2"/>
      <c r="M57" s="5"/>
      <c r="O57" s="2"/>
      <c r="Z57" s="5"/>
    </row>
    <row r="58" spans="2:26" ht="15" thickBot="1" x14ac:dyDescent="0.35">
      <c r="B58" s="6"/>
      <c r="C58" s="7"/>
      <c r="D58" s="7"/>
      <c r="E58" s="7"/>
      <c r="F58" s="7"/>
      <c r="G58" s="7"/>
      <c r="H58" s="7"/>
      <c r="I58" s="7"/>
      <c r="J58" s="7"/>
      <c r="K58" s="7"/>
      <c r="L58" s="7"/>
      <c r="M58" s="8"/>
      <c r="O58" s="6"/>
      <c r="P58" s="7"/>
      <c r="Q58" s="7"/>
      <c r="R58" s="7"/>
      <c r="S58" s="7"/>
      <c r="T58" s="7"/>
      <c r="U58" s="7"/>
      <c r="V58" s="7"/>
      <c r="W58" s="7"/>
      <c r="X58" s="7"/>
      <c r="Y58" s="7"/>
      <c r="Z58" s="8"/>
    </row>
    <row r="61" spans="2:26" x14ac:dyDescent="0.3">
      <c r="B61" t="s">
        <v>347</v>
      </c>
    </row>
    <row r="62" spans="2:26" x14ac:dyDescent="0.3">
      <c r="B62" t="s">
        <v>341</v>
      </c>
      <c r="C62">
        <f>9*60</f>
        <v>540</v>
      </c>
    </row>
    <row r="63" spans="2:26" x14ac:dyDescent="0.3">
      <c r="B63" t="s">
        <v>342</v>
      </c>
      <c r="C63">
        <f>4*60</f>
        <v>240</v>
      </c>
    </row>
    <row r="66" spans="2:3" x14ac:dyDescent="0.3">
      <c r="B66" t="s">
        <v>343</v>
      </c>
    </row>
    <row r="67" spans="2:3" x14ac:dyDescent="0.3">
      <c r="B67" t="s">
        <v>341</v>
      </c>
      <c r="C67">
        <f>9*60</f>
        <v>540</v>
      </c>
    </row>
    <row r="68" spans="2:3" x14ac:dyDescent="0.3">
      <c r="B68" t="s">
        <v>342</v>
      </c>
      <c r="C68">
        <f>3*60</f>
        <v>180</v>
      </c>
    </row>
    <row r="71" spans="2:3" x14ac:dyDescent="0.3">
      <c r="B71" t="s">
        <v>345</v>
      </c>
      <c r="C71">
        <f>8*60</f>
        <v>480</v>
      </c>
    </row>
    <row r="72" spans="2:3" x14ac:dyDescent="0.3">
      <c r="B72" t="s">
        <v>344</v>
      </c>
      <c r="C72">
        <f>10*60</f>
        <v>600</v>
      </c>
    </row>
    <row r="73" spans="2:3" x14ac:dyDescent="0.3">
      <c r="B73" t="s">
        <v>346</v>
      </c>
      <c r="C73">
        <f>11*60</f>
        <v>660</v>
      </c>
    </row>
    <row r="90" spans="4:4" x14ac:dyDescent="0.3">
      <c r="D90" s="52"/>
    </row>
  </sheetData>
  <mergeCells count="3">
    <mergeCell ref="Q2:R2"/>
    <mergeCell ref="C1:E1"/>
    <mergeCell ref="D2:F2"/>
  </mergeCells>
  <dataValidations count="2">
    <dataValidation type="list" allowBlank="1" showInputMessage="1" showErrorMessage="1" sqref="D5:M5" xr:uid="{3158767B-B92E-4762-86C9-845187E51533}">
      <formula1>$B$41:$B$42</formula1>
    </dataValidation>
    <dataValidation type="list" allowBlank="1" showInputMessage="1" showErrorMessage="1" sqref="D6:M6" xr:uid="{DF2DD78A-DCCD-4A39-962B-82DE08A8A3B9}">
      <formula1>$E$41:$E$42</formula1>
    </dataValidation>
  </dataValidations>
  <pageMargins left="0.7" right="0.7" top="0.75" bottom="0.75" header="0.3" footer="0.3"/>
  <pageSetup paperSize="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2726B7A-7142-4EBE-9E58-B7986C255D67}">
          <x14:formula1>
            <xm:f>'Swiss Climate Strategy'!$B$39:$B$67</xm:f>
          </x14:formula1>
          <xm:sqref>D7:M7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8F6E-A8DC-482C-86B4-BCB1226FC937}">
  <dimension ref="A1:Y165"/>
  <sheetViews>
    <sheetView workbookViewId="0">
      <selection activeCell="C4" sqref="C4:K82"/>
    </sheetView>
  </sheetViews>
  <sheetFormatPr baseColWidth="10" defaultColWidth="11.44140625" defaultRowHeight="14.4" x14ac:dyDescent="0.3"/>
  <sheetData>
    <row r="1" spans="1:25" x14ac:dyDescent="0.3">
      <c r="B1" s="1" t="s">
        <v>37</v>
      </c>
      <c r="O1" s="1" t="s">
        <v>38</v>
      </c>
    </row>
    <row r="2" spans="1:25" x14ac:dyDescent="0.3">
      <c r="B2">
        <v>1</v>
      </c>
      <c r="C2">
        <v>2</v>
      </c>
      <c r="D2">
        <v>3</v>
      </c>
      <c r="E2">
        <v>4</v>
      </c>
      <c r="F2">
        <v>5</v>
      </c>
      <c r="G2">
        <v>6</v>
      </c>
      <c r="H2">
        <v>7</v>
      </c>
      <c r="I2">
        <v>8</v>
      </c>
      <c r="J2">
        <v>9</v>
      </c>
      <c r="K2">
        <v>10</v>
      </c>
      <c r="L2" t="s">
        <v>39</v>
      </c>
      <c r="O2">
        <v>1</v>
      </c>
      <c r="P2">
        <v>2</v>
      </c>
      <c r="Q2">
        <v>3</v>
      </c>
      <c r="R2">
        <v>4</v>
      </c>
      <c r="S2">
        <v>5</v>
      </c>
      <c r="T2">
        <v>6</v>
      </c>
      <c r="U2">
        <v>7</v>
      </c>
      <c r="V2">
        <v>8</v>
      </c>
      <c r="W2">
        <v>9</v>
      </c>
      <c r="X2">
        <v>10</v>
      </c>
      <c r="Y2" t="s">
        <v>39</v>
      </c>
    </row>
    <row r="3" spans="1:25" x14ac:dyDescent="0.3">
      <c r="A3" t="s">
        <v>40</v>
      </c>
      <c r="B3" t="s">
        <v>41</v>
      </c>
      <c r="N3" t="s">
        <v>40</v>
      </c>
      <c r="O3" t="s">
        <v>41</v>
      </c>
    </row>
    <row r="4" spans="1:25" x14ac:dyDescent="0.3">
      <c r="A4">
        <v>2022</v>
      </c>
      <c r="B4">
        <f>IF($A4-'Outil Cibles'!D$7=30, ('Outil Cibles'!D$16-'Outil Cibles'!D$11)*0.5*'Outil Cibles'!D$8, IF(A4-'Outil Cibles'!D$7=60, ('Outil Cibles'!D$16-'Outil Cibles'!D$11)*0.5*'Outil Cibles'!D$8, 0))</f>
        <v>0</v>
      </c>
      <c r="C4">
        <f>IF($A4-'Outil Cibles'!E$7=30, ('Outil Cibles'!E$16-'Outil Cibles'!E$11)*0.5*'Outil Cibles'!E$8, IF(B4-'Outil Cibles'!E$7=60, ('Outil Cibles'!E$16-'Outil Cibles'!E$11)*0.5*'Outil Cibles'!E$8, 0))</f>
        <v>0</v>
      </c>
      <c r="D4">
        <f>IF($A4-'Outil Cibles'!F$7=30, ('Outil Cibles'!F$16-'Outil Cibles'!F$11)*0.5*'Outil Cibles'!F$8, IF(C4-'Outil Cibles'!F$7=60, ('Outil Cibles'!F$16-'Outil Cibles'!F$11)*0.5*'Outil Cibles'!F$8, 0))</f>
        <v>0</v>
      </c>
      <c r="E4">
        <f>IF($A4-'Outil Cibles'!G$7=30, ('Outil Cibles'!G$16-'Outil Cibles'!G$11)*0.5*'Outil Cibles'!G$8, IF(D4-'Outil Cibles'!G$7=60, ('Outil Cibles'!G$16-'Outil Cibles'!G$11)*0.5*'Outil Cibles'!G$8, 0))</f>
        <v>0</v>
      </c>
      <c r="F4">
        <f>IF($A4-'Outil Cibles'!H$7=30, ('Outil Cibles'!H$16-'Outil Cibles'!H$11)*0.5*'Outil Cibles'!H$8, IF(E4-'Outil Cibles'!H$7=60, ('Outil Cibles'!H$16-'Outil Cibles'!H$11)*0.5*'Outil Cibles'!H$8, 0))</f>
        <v>0</v>
      </c>
      <c r="G4">
        <f>IF($A4-'Outil Cibles'!I$7=30, ('Outil Cibles'!I$16-'Outil Cibles'!I$11)*0.5*'Outil Cibles'!I$8, IF(F4-'Outil Cibles'!I$7=60, ('Outil Cibles'!I$16-'Outil Cibles'!I$11)*0.5*'Outil Cibles'!I$8, 0))</f>
        <v>0</v>
      </c>
      <c r="H4">
        <f>IF($A4-'Outil Cibles'!J$7=30, ('Outil Cibles'!J$16-'Outil Cibles'!J$11)*0.5*'Outil Cibles'!J$8, IF(G4-'Outil Cibles'!J$7=60, ('Outil Cibles'!J$16-'Outil Cibles'!J$11)*0.5*'Outil Cibles'!J$8, 0))</f>
        <v>0</v>
      </c>
      <c r="I4">
        <f>IF($A4-'Outil Cibles'!K$7=30, ('Outil Cibles'!K$16-'Outil Cibles'!K$11)*0.5*'Outil Cibles'!K$8, IF(H4-'Outil Cibles'!K$7=60, ('Outil Cibles'!K$16-'Outil Cibles'!K$11)*0.5*'Outil Cibles'!K$8, 0))</f>
        <v>0</v>
      </c>
      <c r="J4">
        <f>IF($A4-'Outil Cibles'!L$7=30, ('Outil Cibles'!L$16-'Outil Cibles'!L$11)*0.5*'Outil Cibles'!L$8, IF(I4-'Outil Cibles'!L$7=60, ('Outil Cibles'!L$16-'Outil Cibles'!L$11)*0.5*'Outil Cibles'!L$8, 0))</f>
        <v>0</v>
      </c>
      <c r="K4">
        <f>IF($A4-'Outil Cibles'!M$7=30, ('Outil Cibles'!M$16-'Outil Cibles'!M$11)*0.5*'Outil Cibles'!M$8, IF(J4-'Outil Cibles'!M$7=60, ('Outil Cibles'!M$16-'Outil Cibles'!M$11)*0.5*'Outil Cibles'!M$8, 0))</f>
        <v>0</v>
      </c>
      <c r="L4">
        <f>SUM(B4:K4)</f>
        <v>0</v>
      </c>
      <c r="N4">
        <v>2022</v>
      </c>
      <c r="O4">
        <f>IF(N4='Outil Cibles'!$Q$7, 'Outil Cibles'!$Q$18, 0)</f>
        <v>0</v>
      </c>
      <c r="P4">
        <f>IF(N4='Outil Cibles'!$R$7, 'Outil Cibles'!$R$18, 0)</f>
        <v>0</v>
      </c>
      <c r="Q4">
        <f>IF(N4='Outil Cibles'!$S$7, 'Outil Cibles'!$S$18, 0)</f>
        <v>0</v>
      </c>
      <c r="R4">
        <f>IF(N4='Outil Cibles'!$T$7, 'Outil Cibles'!$T$18, 0)</f>
        <v>0</v>
      </c>
      <c r="S4">
        <f>IF(N4='Outil Cibles'!$U$7, 'Outil Cibles'!$U$18, 0)</f>
        <v>0</v>
      </c>
      <c r="T4">
        <f>IF(N4='Outil Cibles'!$V$7, 'Outil Cibles'!$V$18, 0)</f>
        <v>0</v>
      </c>
      <c r="U4">
        <f>IF(N4='Outil Cibles'!$W$7, 'Outil Cibles'!$W$18, 0)</f>
        <v>0</v>
      </c>
      <c r="V4">
        <f>IF(N4='Outil Cibles'!$X$7, 'Outil Cibles'!$X$18, 0)</f>
        <v>0</v>
      </c>
      <c r="W4">
        <f>IF(N4='Outil Cibles'!$Y$7, 'Outil Cibles'!$Y$18, 0)</f>
        <v>0</v>
      </c>
      <c r="X4">
        <f>IF(N4='Outil Cibles'!$Z$7, 'Outil Cibles'!$Z$18, 0)</f>
        <v>0</v>
      </c>
      <c r="Y4">
        <f>SUM(O4:X4)</f>
        <v>0</v>
      </c>
    </row>
    <row r="5" spans="1:25" x14ac:dyDescent="0.3">
      <c r="A5">
        <v>2023</v>
      </c>
      <c r="B5">
        <f>IF(A5-'Outil Cibles'!D$7=30, ('Outil Cibles'!D$16-'Outil Cibles'!D$11)*0.5*'Outil Cibles'!D$8, IF(A5-'Outil Cibles'!D$7=60, ('Outil Cibles'!D$16-'Outil Cibles'!D$11)*0.5*'Outil Cibles'!D$8, 0))</f>
        <v>0</v>
      </c>
      <c r="C5">
        <f>IF($A5-'Outil Cibles'!E$7=30, ('Outil Cibles'!E$16-'Outil Cibles'!E$11)*0.5*'Outil Cibles'!E$8, IF(B5-'Outil Cibles'!E$7=60, ('Outil Cibles'!E$16-'Outil Cibles'!E$11)*0.5*'Outil Cibles'!E$8, 0))</f>
        <v>0</v>
      </c>
      <c r="D5">
        <f>IF($A5-'Outil Cibles'!F$7=30, ('Outil Cibles'!F$16-'Outil Cibles'!F$11)*0.5*'Outil Cibles'!F$8, IF(C5-'Outil Cibles'!F$7=60, ('Outil Cibles'!F$16-'Outil Cibles'!F$11)*0.5*'Outil Cibles'!F$8, 0))</f>
        <v>0</v>
      </c>
      <c r="E5">
        <f>IF($A5-'Outil Cibles'!G$7=30, ('Outil Cibles'!G$16-'Outil Cibles'!G$11)*0.5*'Outil Cibles'!G$8, IF(D5-'Outil Cibles'!G$7=60, ('Outil Cibles'!G$16-'Outil Cibles'!G$11)*0.5*'Outil Cibles'!G$8, 0))</f>
        <v>0</v>
      </c>
      <c r="F5">
        <f>IF($A5-'Outil Cibles'!H$7=30, ('Outil Cibles'!H$16-'Outil Cibles'!H$11)*0.5*'Outil Cibles'!H$8, IF(E5-'Outil Cibles'!H$7=60, ('Outil Cibles'!H$16-'Outil Cibles'!H$11)*0.5*'Outil Cibles'!H$8, 0))</f>
        <v>0</v>
      </c>
      <c r="G5">
        <f>IF($A5-'Outil Cibles'!I$7=30, ('Outil Cibles'!I$16-'Outil Cibles'!I$11)*0.5*'Outil Cibles'!I$8, IF(F5-'Outil Cibles'!I$7=60, ('Outil Cibles'!I$16-'Outil Cibles'!I$11)*0.5*'Outil Cibles'!I$8, 0))</f>
        <v>0</v>
      </c>
      <c r="H5">
        <f>IF($A5-'Outil Cibles'!J$7=30, ('Outil Cibles'!J$16-'Outil Cibles'!J$11)*0.5*'Outil Cibles'!J$8, IF(G5-'Outil Cibles'!J$7=60, ('Outil Cibles'!J$16-'Outil Cibles'!J$11)*0.5*'Outil Cibles'!J$8, 0))</f>
        <v>0</v>
      </c>
      <c r="I5">
        <f>IF($A5-'Outil Cibles'!K$7=30, ('Outil Cibles'!K$16-'Outil Cibles'!K$11)*0.5*'Outil Cibles'!K$8, IF(H5-'Outil Cibles'!K$7=60, ('Outil Cibles'!K$16-'Outil Cibles'!K$11)*0.5*'Outil Cibles'!K$8, 0))</f>
        <v>0</v>
      </c>
      <c r="J5">
        <f>IF($A5-'Outil Cibles'!L$7=30, ('Outil Cibles'!L$16-'Outil Cibles'!L$11)*0.5*'Outil Cibles'!L$8, IF(I5-'Outil Cibles'!L$7=60, ('Outil Cibles'!L$16-'Outil Cibles'!L$11)*0.5*'Outil Cibles'!L$8, 0))</f>
        <v>0</v>
      </c>
      <c r="K5">
        <f>IF($A5-'Outil Cibles'!M$7=30, ('Outil Cibles'!M$16-'Outil Cibles'!M$11)*0.5*'Outil Cibles'!M$8, IF(J5-'Outil Cibles'!M$7=60, ('Outil Cibles'!M$16-'Outil Cibles'!M$11)*0.5*'Outil Cibles'!M$8, 0))</f>
        <v>0</v>
      </c>
      <c r="L5">
        <f t="shared" ref="L5:L68" si="0">SUM(B5:K5)</f>
        <v>0</v>
      </c>
      <c r="N5">
        <v>2023</v>
      </c>
      <c r="O5">
        <f>IF(N5='Outil Cibles'!$Q$7, 'Outil Cibles'!$Q$18, 0)</f>
        <v>0</v>
      </c>
      <c r="P5">
        <f>IF(N5='Outil Cibles'!$R$7, 'Outil Cibles'!$R$18, 0)</f>
        <v>0</v>
      </c>
      <c r="Q5">
        <f>IF(N5='Outil Cibles'!$S$7, 'Outil Cibles'!$S$18, 0)</f>
        <v>0</v>
      </c>
      <c r="R5">
        <f>IF(N5='Outil Cibles'!$T$7, 'Outil Cibles'!$T$18, 0)</f>
        <v>0</v>
      </c>
      <c r="S5">
        <f>IF(N5='Outil Cibles'!$U$7, 'Outil Cibles'!$U$18, 0)</f>
        <v>0</v>
      </c>
      <c r="T5">
        <f>IF(N5='Outil Cibles'!$V$7, 'Outil Cibles'!$V$18, 0)</f>
        <v>0</v>
      </c>
      <c r="U5">
        <f>IF(N5='Outil Cibles'!$W$7, 'Outil Cibles'!$W$18, 0)</f>
        <v>0</v>
      </c>
      <c r="V5">
        <f>IF(N5='Outil Cibles'!$X$7, 'Outil Cibles'!$X$18, 0)</f>
        <v>0</v>
      </c>
      <c r="W5">
        <f>IF(N5='Outil Cibles'!$Y$7, 'Outil Cibles'!$Y$18, 0)</f>
        <v>0</v>
      </c>
      <c r="X5">
        <f>IF(N5='Outil Cibles'!$Z$7, 'Outil Cibles'!$Z$18, 0)</f>
        <v>0</v>
      </c>
      <c r="Y5">
        <f t="shared" ref="Y5:Y68" si="1">SUM(O5:X5)</f>
        <v>0</v>
      </c>
    </row>
    <row r="6" spans="1:25" x14ac:dyDescent="0.3">
      <c r="A6">
        <v>2024</v>
      </c>
      <c r="B6">
        <f>IF(A6-'Outil Cibles'!D$7=30, ('Outil Cibles'!D$16-'Outil Cibles'!D$11)*0.5*'Outil Cibles'!D$8, IF(A6-'Outil Cibles'!D$7=60, ('Outil Cibles'!D$16-'Outil Cibles'!D$11)*0.5*'Outil Cibles'!D$8, 0))</f>
        <v>0</v>
      </c>
      <c r="C6">
        <f>IF($A6-'Outil Cibles'!E$7=30, ('Outil Cibles'!E$16-'Outil Cibles'!E$11)*0.5*'Outil Cibles'!E$8, IF(B6-'Outil Cibles'!E$7=60, ('Outil Cibles'!E$16-'Outil Cibles'!E$11)*0.5*'Outil Cibles'!E$8, 0))</f>
        <v>0</v>
      </c>
      <c r="D6">
        <f>IF($A6-'Outil Cibles'!F$7=30, ('Outil Cibles'!F$16-'Outil Cibles'!F$11)*0.5*'Outil Cibles'!F$8, IF(C6-'Outil Cibles'!F$7=60, ('Outil Cibles'!F$16-'Outil Cibles'!F$11)*0.5*'Outil Cibles'!F$8, 0))</f>
        <v>0</v>
      </c>
      <c r="E6">
        <f>IF($A6-'Outil Cibles'!G$7=30, ('Outil Cibles'!G$16-'Outil Cibles'!G$11)*0.5*'Outil Cibles'!G$8, IF(D6-'Outil Cibles'!G$7=60, ('Outil Cibles'!G$16-'Outil Cibles'!G$11)*0.5*'Outil Cibles'!G$8, 0))</f>
        <v>0</v>
      </c>
      <c r="F6">
        <f>IF($A6-'Outil Cibles'!H$7=30, ('Outil Cibles'!H$16-'Outil Cibles'!H$11)*0.5*'Outil Cibles'!H$8, IF(E6-'Outil Cibles'!H$7=60, ('Outil Cibles'!H$16-'Outil Cibles'!H$11)*0.5*'Outil Cibles'!H$8, 0))</f>
        <v>0</v>
      </c>
      <c r="G6">
        <f>IF($A6-'Outil Cibles'!I$7=30, ('Outil Cibles'!I$16-'Outil Cibles'!I$11)*0.5*'Outil Cibles'!I$8, IF(F6-'Outil Cibles'!I$7=60, ('Outil Cibles'!I$16-'Outil Cibles'!I$11)*0.5*'Outil Cibles'!I$8, 0))</f>
        <v>0</v>
      </c>
      <c r="H6">
        <f>IF($A6-'Outil Cibles'!J$7=30, ('Outil Cibles'!J$16-'Outil Cibles'!J$11)*0.5*'Outil Cibles'!J$8, IF(G6-'Outil Cibles'!J$7=60, ('Outil Cibles'!J$16-'Outil Cibles'!J$11)*0.5*'Outil Cibles'!J$8, 0))</f>
        <v>0</v>
      </c>
      <c r="I6">
        <f>IF($A6-'Outil Cibles'!K$7=30, ('Outil Cibles'!K$16-'Outil Cibles'!K$11)*0.5*'Outil Cibles'!K$8, IF(H6-'Outil Cibles'!K$7=60, ('Outil Cibles'!K$16-'Outil Cibles'!K$11)*0.5*'Outil Cibles'!K$8, 0))</f>
        <v>0</v>
      </c>
      <c r="J6">
        <f>IF($A6-'Outil Cibles'!L$7=30, ('Outil Cibles'!L$16-'Outil Cibles'!L$11)*0.5*'Outil Cibles'!L$8, IF(I6-'Outil Cibles'!L$7=60, ('Outil Cibles'!L$16-'Outil Cibles'!L$11)*0.5*'Outil Cibles'!L$8, 0))</f>
        <v>0</v>
      </c>
      <c r="K6">
        <f>IF($A6-'Outil Cibles'!M$7=30, ('Outil Cibles'!M$16-'Outil Cibles'!M$11)*0.5*'Outil Cibles'!M$8, IF(J6-'Outil Cibles'!M$7=60, ('Outil Cibles'!M$16-'Outil Cibles'!M$11)*0.5*'Outil Cibles'!M$8, 0))</f>
        <v>0</v>
      </c>
      <c r="L6">
        <f t="shared" si="0"/>
        <v>0</v>
      </c>
      <c r="N6">
        <v>2024</v>
      </c>
      <c r="O6">
        <f>IF(N6='Outil Cibles'!$Q$7, 'Outil Cibles'!$Q$18, 0)</f>
        <v>553255.84200133197</v>
      </c>
      <c r="P6">
        <f>IF(N6='Outil Cibles'!$R$7, 'Outil Cibles'!$R$18, 0)</f>
        <v>0</v>
      </c>
      <c r="Q6">
        <f>IF(N6='Outil Cibles'!$S$7, 'Outil Cibles'!$S$18, 0)</f>
        <v>0</v>
      </c>
      <c r="R6">
        <f>IF(N6='Outil Cibles'!$T$7, 'Outil Cibles'!$T$18, 0)</f>
        <v>0</v>
      </c>
      <c r="S6">
        <f>IF(N6='Outil Cibles'!$U$7, 'Outil Cibles'!$U$18, 0)</f>
        <v>0</v>
      </c>
      <c r="T6">
        <f>IF(N6='Outil Cibles'!$V$7, 'Outil Cibles'!$V$18, 0)</f>
        <v>0</v>
      </c>
      <c r="U6">
        <f>IF(N6='Outil Cibles'!$W$7, 'Outil Cibles'!$W$18, 0)</f>
        <v>0</v>
      </c>
      <c r="V6">
        <f>IF(N6='Outil Cibles'!$X$7, 'Outil Cibles'!$X$18, 0)</f>
        <v>0</v>
      </c>
      <c r="W6">
        <f>IF(N6='Outil Cibles'!$Y$7, 'Outil Cibles'!$Y$18, 0)</f>
        <v>0</v>
      </c>
      <c r="X6">
        <f>IF(N6='Outil Cibles'!$Z$7, 'Outil Cibles'!$Z$18, 0)</f>
        <v>0</v>
      </c>
      <c r="Y6">
        <f t="shared" si="1"/>
        <v>553255.84200133197</v>
      </c>
    </row>
    <row r="7" spans="1:25" x14ac:dyDescent="0.3">
      <c r="A7" s="10">
        <v>2025</v>
      </c>
      <c r="B7">
        <f>IF(A7-'Outil Cibles'!D$7=30, ('Outil Cibles'!D$16-'Outil Cibles'!D$11)*0.5*'Outil Cibles'!D$8, IF(A7-'Outil Cibles'!D$7=60, ('Outil Cibles'!D$16-'Outil Cibles'!D$11)*0.5*'Outil Cibles'!D$8, 0))</f>
        <v>0</v>
      </c>
      <c r="C7">
        <f>IF($A7-'Outil Cibles'!E$7=30, ('Outil Cibles'!E$16-'Outil Cibles'!E$11)*0.5*'Outil Cibles'!E$8, IF(B7-'Outil Cibles'!E$7=60, ('Outil Cibles'!E$16-'Outil Cibles'!E$11)*0.5*'Outil Cibles'!E$8, 0))</f>
        <v>0</v>
      </c>
      <c r="D7">
        <f>IF($A7-'Outil Cibles'!F$7=30, ('Outil Cibles'!F$16-'Outil Cibles'!F$11)*0.5*'Outil Cibles'!F$8, IF(C7-'Outil Cibles'!F$7=60, ('Outil Cibles'!F$16-'Outil Cibles'!F$11)*0.5*'Outil Cibles'!F$8, 0))</f>
        <v>0</v>
      </c>
      <c r="E7">
        <f>IF($A7-'Outil Cibles'!G$7=30, ('Outil Cibles'!G$16-'Outil Cibles'!G$11)*0.5*'Outil Cibles'!G$8, IF(D7-'Outil Cibles'!G$7=60, ('Outil Cibles'!G$16-'Outil Cibles'!G$11)*0.5*'Outil Cibles'!G$8, 0))</f>
        <v>0</v>
      </c>
      <c r="F7">
        <f>IF($A7-'Outil Cibles'!H$7=30, ('Outil Cibles'!H$16-'Outil Cibles'!H$11)*0.5*'Outil Cibles'!H$8, IF(E7-'Outil Cibles'!H$7=60, ('Outil Cibles'!H$16-'Outil Cibles'!H$11)*0.5*'Outil Cibles'!H$8, 0))</f>
        <v>0</v>
      </c>
      <c r="G7">
        <f>IF($A7-'Outil Cibles'!I$7=30, ('Outil Cibles'!I$16-'Outil Cibles'!I$11)*0.5*'Outil Cibles'!I$8, IF(F7-'Outil Cibles'!I$7=60, ('Outil Cibles'!I$16-'Outil Cibles'!I$11)*0.5*'Outil Cibles'!I$8, 0))</f>
        <v>0</v>
      </c>
      <c r="H7">
        <f>IF($A7-'Outil Cibles'!J$7=30, ('Outil Cibles'!J$16-'Outil Cibles'!J$11)*0.5*'Outil Cibles'!J$8, IF(G7-'Outil Cibles'!J$7=60, ('Outil Cibles'!J$16-'Outil Cibles'!J$11)*0.5*'Outil Cibles'!J$8, 0))</f>
        <v>0</v>
      </c>
      <c r="I7">
        <f>IF($A7-'Outil Cibles'!K$7=30, ('Outil Cibles'!K$16-'Outil Cibles'!K$11)*0.5*'Outil Cibles'!K$8, IF(H7-'Outil Cibles'!K$7=60, ('Outil Cibles'!K$16-'Outil Cibles'!K$11)*0.5*'Outil Cibles'!K$8, 0))</f>
        <v>0</v>
      </c>
      <c r="J7">
        <f>IF($A7-'Outil Cibles'!L$7=30, ('Outil Cibles'!L$16-'Outil Cibles'!L$11)*0.5*'Outil Cibles'!L$8, IF(I7-'Outil Cibles'!L$7=60, ('Outil Cibles'!L$16-'Outil Cibles'!L$11)*0.5*'Outil Cibles'!L$8, 0))</f>
        <v>0</v>
      </c>
      <c r="K7">
        <f>IF($A7-'Outil Cibles'!M$7=30, ('Outil Cibles'!M$16-'Outil Cibles'!M$11)*0.5*'Outil Cibles'!M$8, IF(J7-'Outil Cibles'!M$7=60, ('Outil Cibles'!M$16-'Outil Cibles'!M$11)*0.5*'Outil Cibles'!M$8, 0))</f>
        <v>0</v>
      </c>
      <c r="L7">
        <f t="shared" si="0"/>
        <v>0</v>
      </c>
      <c r="N7" s="10">
        <v>2025</v>
      </c>
      <c r="O7">
        <f>IF(N7='Outil Cibles'!$Q$7, 'Outil Cibles'!$Q$18, 0)</f>
        <v>0</v>
      </c>
      <c r="P7">
        <f>IF(N7='Outil Cibles'!$R$7, 'Outil Cibles'!$R$18, 0)</f>
        <v>0</v>
      </c>
      <c r="Q7">
        <f>IF(N7='Outil Cibles'!$S$7, 'Outil Cibles'!$S$18, 0)</f>
        <v>0</v>
      </c>
      <c r="R7">
        <f>IF(N7='Outil Cibles'!$T$7, 'Outil Cibles'!$T$18, 0)</f>
        <v>0</v>
      </c>
      <c r="S7">
        <f>IF(N7='Outil Cibles'!$U$7, 'Outil Cibles'!$U$18, 0)</f>
        <v>0</v>
      </c>
      <c r="T7">
        <f>IF(N7='Outil Cibles'!$V$7, 'Outil Cibles'!$V$18, 0)</f>
        <v>0</v>
      </c>
      <c r="U7">
        <f>IF(N7='Outil Cibles'!$W$7, 'Outil Cibles'!$W$18, 0)</f>
        <v>0</v>
      </c>
      <c r="V7">
        <f>IF(N7='Outil Cibles'!$X$7, 'Outil Cibles'!$X$18, 0)</f>
        <v>0</v>
      </c>
      <c r="W7">
        <f>IF(N7='Outil Cibles'!$Y$7, 'Outil Cibles'!$Y$18, 0)</f>
        <v>0</v>
      </c>
      <c r="X7">
        <f>IF(N7='Outil Cibles'!$Z$7, 'Outil Cibles'!$Z$18, 0)</f>
        <v>0</v>
      </c>
      <c r="Y7">
        <f t="shared" si="1"/>
        <v>0</v>
      </c>
    </row>
    <row r="8" spans="1:25" x14ac:dyDescent="0.3">
      <c r="A8">
        <v>2026</v>
      </c>
      <c r="B8">
        <f>IF(A8-'Outil Cibles'!D$7=30, ('Outil Cibles'!D$16-'Outil Cibles'!D$11)*0.5*'Outil Cibles'!D$8, IF(A8-'Outil Cibles'!D$7=60, ('Outil Cibles'!D$16-'Outil Cibles'!D$11)*0.5*'Outil Cibles'!D$8, 0))</f>
        <v>0</v>
      </c>
      <c r="C8">
        <f>IF($A8-'Outil Cibles'!E$7=30, ('Outil Cibles'!E$16-'Outil Cibles'!E$11)*0.5*'Outil Cibles'!E$8, IF(B8-'Outil Cibles'!E$7=60, ('Outil Cibles'!E$16-'Outil Cibles'!E$11)*0.5*'Outil Cibles'!E$8, 0))</f>
        <v>0</v>
      </c>
      <c r="D8">
        <f>IF($A8-'Outil Cibles'!F$7=30, ('Outil Cibles'!F$16-'Outil Cibles'!F$11)*0.5*'Outil Cibles'!F$8, IF(C8-'Outil Cibles'!F$7=60, ('Outil Cibles'!F$16-'Outil Cibles'!F$11)*0.5*'Outil Cibles'!F$8, 0))</f>
        <v>0</v>
      </c>
      <c r="E8">
        <f>IF($A8-'Outil Cibles'!G$7=30, ('Outil Cibles'!G$16-'Outil Cibles'!G$11)*0.5*'Outil Cibles'!G$8, IF(D8-'Outil Cibles'!G$7=60, ('Outil Cibles'!G$16-'Outil Cibles'!G$11)*0.5*'Outil Cibles'!G$8, 0))</f>
        <v>0</v>
      </c>
      <c r="F8">
        <f>IF($A8-'Outil Cibles'!H$7=30, ('Outil Cibles'!H$16-'Outil Cibles'!H$11)*0.5*'Outil Cibles'!H$8, IF(E8-'Outil Cibles'!H$7=60, ('Outil Cibles'!H$16-'Outil Cibles'!H$11)*0.5*'Outil Cibles'!H$8, 0))</f>
        <v>0</v>
      </c>
      <c r="G8">
        <f>IF($A8-'Outil Cibles'!I$7=30, ('Outil Cibles'!I$16-'Outil Cibles'!I$11)*0.5*'Outil Cibles'!I$8, IF(F8-'Outil Cibles'!I$7=60, ('Outil Cibles'!I$16-'Outil Cibles'!I$11)*0.5*'Outil Cibles'!I$8, 0))</f>
        <v>0</v>
      </c>
      <c r="H8">
        <f>IF($A8-'Outil Cibles'!J$7=30, ('Outil Cibles'!J$16-'Outil Cibles'!J$11)*0.5*'Outil Cibles'!J$8, IF(G8-'Outil Cibles'!J$7=60, ('Outil Cibles'!J$16-'Outil Cibles'!J$11)*0.5*'Outil Cibles'!J$8, 0))</f>
        <v>0</v>
      </c>
      <c r="I8">
        <f>IF($A8-'Outil Cibles'!K$7=30, ('Outil Cibles'!K$16-'Outil Cibles'!K$11)*0.5*'Outil Cibles'!K$8, IF(H8-'Outil Cibles'!K$7=60, ('Outil Cibles'!K$16-'Outil Cibles'!K$11)*0.5*'Outil Cibles'!K$8, 0))</f>
        <v>0</v>
      </c>
      <c r="J8">
        <f>IF($A8-'Outil Cibles'!L$7=30, ('Outil Cibles'!L$16-'Outil Cibles'!L$11)*0.5*'Outil Cibles'!L$8, IF(I8-'Outil Cibles'!L$7=60, ('Outil Cibles'!L$16-'Outil Cibles'!L$11)*0.5*'Outil Cibles'!L$8, 0))</f>
        <v>0</v>
      </c>
      <c r="K8">
        <f>IF($A8-'Outil Cibles'!M$7=30, ('Outil Cibles'!M$16-'Outil Cibles'!M$11)*0.5*'Outil Cibles'!M$8, IF(J8-'Outil Cibles'!M$7=60, ('Outil Cibles'!M$16-'Outil Cibles'!M$11)*0.5*'Outil Cibles'!M$8, 0))</f>
        <v>0</v>
      </c>
      <c r="L8">
        <f t="shared" si="0"/>
        <v>0</v>
      </c>
      <c r="N8">
        <v>2026</v>
      </c>
      <c r="O8">
        <f>IF(N8='Outil Cibles'!$Q$7, 'Outil Cibles'!$Q$18, 0)</f>
        <v>0</v>
      </c>
      <c r="P8">
        <f>IF(N8='Outil Cibles'!$R$7, 'Outil Cibles'!$R$18, 0)</f>
        <v>473573.16146959213</v>
      </c>
      <c r="Q8">
        <f>IF(N8='Outil Cibles'!$S$7, 'Outil Cibles'!$S$18, 0)</f>
        <v>0</v>
      </c>
      <c r="R8">
        <f>IF(N8='Outil Cibles'!$T$7, 'Outil Cibles'!$T$18, 0)</f>
        <v>0</v>
      </c>
      <c r="S8">
        <f>IF(N8='Outil Cibles'!$U$7, 'Outil Cibles'!$U$18, 0)</f>
        <v>0</v>
      </c>
      <c r="T8">
        <f>IF(N8='Outil Cibles'!$V$7, 'Outil Cibles'!$V$18, 0)</f>
        <v>0</v>
      </c>
      <c r="U8">
        <f>IF(N8='Outil Cibles'!$W$7, 'Outil Cibles'!$W$18, 0)</f>
        <v>0</v>
      </c>
      <c r="V8">
        <f>IF(N8='Outil Cibles'!$X$7, 'Outil Cibles'!$X$18, 0)</f>
        <v>0</v>
      </c>
      <c r="W8">
        <f>IF(N8='Outil Cibles'!$Y$7, 'Outil Cibles'!$Y$18, 0)</f>
        <v>0</v>
      </c>
      <c r="X8">
        <f>IF(N8='Outil Cibles'!$Z$7, 'Outil Cibles'!$Z$18, 0)</f>
        <v>0</v>
      </c>
      <c r="Y8">
        <f t="shared" si="1"/>
        <v>473573.16146959213</v>
      </c>
    </row>
    <row r="9" spans="1:25" x14ac:dyDescent="0.3">
      <c r="A9">
        <v>2027</v>
      </c>
      <c r="B9">
        <f>IF(A9-'Outil Cibles'!D$7=30, ('Outil Cibles'!D$16-'Outil Cibles'!D$11)*0.5*'Outil Cibles'!D$8, IF(A9-'Outil Cibles'!D$7=60, ('Outil Cibles'!D$16-'Outil Cibles'!D$11)*0.5*'Outil Cibles'!D$8, 0))</f>
        <v>0</v>
      </c>
      <c r="C9">
        <f>IF($A9-'Outil Cibles'!E$7=30, ('Outil Cibles'!E$16-'Outil Cibles'!E$11)*0.5*'Outil Cibles'!E$8, IF(B9-'Outil Cibles'!E$7=60, ('Outil Cibles'!E$16-'Outil Cibles'!E$11)*0.5*'Outil Cibles'!E$8, 0))</f>
        <v>0</v>
      </c>
      <c r="D9">
        <f>IF($A9-'Outil Cibles'!F$7=30, ('Outil Cibles'!F$16-'Outil Cibles'!F$11)*0.5*'Outil Cibles'!F$8, IF(C9-'Outil Cibles'!F$7=60, ('Outil Cibles'!F$16-'Outil Cibles'!F$11)*0.5*'Outil Cibles'!F$8, 0))</f>
        <v>0</v>
      </c>
      <c r="E9">
        <f>IF($A9-'Outil Cibles'!G$7=30, ('Outil Cibles'!G$16-'Outil Cibles'!G$11)*0.5*'Outil Cibles'!G$8, IF(D9-'Outil Cibles'!G$7=60, ('Outil Cibles'!G$16-'Outil Cibles'!G$11)*0.5*'Outil Cibles'!G$8, 0))</f>
        <v>0</v>
      </c>
      <c r="F9">
        <f>IF($A9-'Outil Cibles'!H$7=30, ('Outil Cibles'!H$16-'Outil Cibles'!H$11)*0.5*'Outil Cibles'!H$8, IF(E9-'Outil Cibles'!H$7=60, ('Outil Cibles'!H$16-'Outil Cibles'!H$11)*0.5*'Outil Cibles'!H$8, 0))</f>
        <v>0</v>
      </c>
      <c r="G9">
        <f>IF($A9-'Outil Cibles'!I$7=30, ('Outil Cibles'!I$16-'Outil Cibles'!I$11)*0.5*'Outil Cibles'!I$8, IF(F9-'Outil Cibles'!I$7=60, ('Outil Cibles'!I$16-'Outil Cibles'!I$11)*0.5*'Outil Cibles'!I$8, 0))</f>
        <v>0</v>
      </c>
      <c r="H9">
        <f>IF($A9-'Outil Cibles'!J$7=30, ('Outil Cibles'!J$16-'Outil Cibles'!J$11)*0.5*'Outil Cibles'!J$8, IF(G9-'Outil Cibles'!J$7=60, ('Outil Cibles'!J$16-'Outil Cibles'!J$11)*0.5*'Outil Cibles'!J$8, 0))</f>
        <v>0</v>
      </c>
      <c r="I9">
        <f>IF($A9-'Outil Cibles'!K$7=30, ('Outil Cibles'!K$16-'Outil Cibles'!K$11)*0.5*'Outil Cibles'!K$8, IF(H9-'Outil Cibles'!K$7=60, ('Outil Cibles'!K$16-'Outil Cibles'!K$11)*0.5*'Outil Cibles'!K$8, 0))</f>
        <v>0</v>
      </c>
      <c r="J9">
        <f>IF($A9-'Outil Cibles'!L$7=30, ('Outil Cibles'!L$16-'Outil Cibles'!L$11)*0.5*'Outil Cibles'!L$8, IF(I9-'Outil Cibles'!L$7=60, ('Outil Cibles'!L$16-'Outil Cibles'!L$11)*0.5*'Outil Cibles'!L$8, 0))</f>
        <v>0</v>
      </c>
      <c r="K9">
        <f>IF($A9-'Outil Cibles'!M$7=30, ('Outil Cibles'!M$16-'Outil Cibles'!M$11)*0.5*'Outil Cibles'!M$8, IF(J9-'Outil Cibles'!M$7=60, ('Outil Cibles'!M$16-'Outil Cibles'!M$11)*0.5*'Outil Cibles'!M$8, 0))</f>
        <v>0</v>
      </c>
      <c r="L9">
        <f t="shared" si="0"/>
        <v>0</v>
      </c>
      <c r="N9">
        <v>2027</v>
      </c>
      <c r="O9">
        <f>IF(N9='Outil Cibles'!$Q$7, 'Outil Cibles'!$Q$18, 0)</f>
        <v>0</v>
      </c>
      <c r="P9">
        <f>IF(N9='Outil Cibles'!$R$7, 'Outil Cibles'!$R$18, 0)</f>
        <v>0</v>
      </c>
      <c r="Q9">
        <f>IF(N9='Outil Cibles'!$S$7, 'Outil Cibles'!$S$18, 0)</f>
        <v>0</v>
      </c>
      <c r="R9">
        <f>IF(N9='Outil Cibles'!$T$7, 'Outil Cibles'!$T$18, 0)</f>
        <v>0</v>
      </c>
      <c r="S9">
        <f>IF(N9='Outil Cibles'!$U$7, 'Outil Cibles'!$U$18, 0)</f>
        <v>0</v>
      </c>
      <c r="T9">
        <f>IF(N9='Outil Cibles'!$V$7, 'Outil Cibles'!$V$18, 0)</f>
        <v>0</v>
      </c>
      <c r="U9">
        <f>IF(N9='Outil Cibles'!$W$7, 'Outil Cibles'!$W$18, 0)</f>
        <v>0</v>
      </c>
      <c r="V9">
        <f>IF(N9='Outil Cibles'!$X$7, 'Outil Cibles'!$X$18, 0)</f>
        <v>0</v>
      </c>
      <c r="W9">
        <f>IF(N9='Outil Cibles'!$Y$7, 'Outil Cibles'!$Y$18, 0)</f>
        <v>0</v>
      </c>
      <c r="X9">
        <f>IF(N9='Outil Cibles'!$Z$7, 'Outil Cibles'!$Z$18, 0)</f>
        <v>0</v>
      </c>
      <c r="Y9">
        <f t="shared" si="1"/>
        <v>0</v>
      </c>
    </row>
    <row r="10" spans="1:25" x14ac:dyDescent="0.3">
      <c r="A10">
        <v>2028</v>
      </c>
      <c r="B10">
        <f>IF(A10-'Outil Cibles'!D$7=30, ('Outil Cibles'!D$16-'Outil Cibles'!D$11)*0.5*'Outil Cibles'!D$8, IF(A10-'Outil Cibles'!D$7=60, ('Outil Cibles'!D$16-'Outil Cibles'!D$11)*0.5*'Outil Cibles'!D$8, 0))</f>
        <v>0</v>
      </c>
      <c r="C10">
        <f>IF($A10-'Outil Cibles'!E$7=30, ('Outil Cibles'!E$16-'Outil Cibles'!E$11)*0.5*'Outil Cibles'!E$8, IF(B10-'Outil Cibles'!E$7=60, ('Outil Cibles'!E$16-'Outil Cibles'!E$11)*0.5*'Outil Cibles'!E$8, 0))</f>
        <v>0</v>
      </c>
      <c r="D10">
        <f>IF($A10-'Outil Cibles'!F$7=30, ('Outil Cibles'!F$16-'Outil Cibles'!F$11)*0.5*'Outil Cibles'!F$8, IF(C10-'Outil Cibles'!F$7=60, ('Outil Cibles'!F$16-'Outil Cibles'!F$11)*0.5*'Outil Cibles'!F$8, 0))</f>
        <v>0</v>
      </c>
      <c r="E10">
        <f>IF($A10-'Outil Cibles'!G$7=30, ('Outil Cibles'!G$16-'Outil Cibles'!G$11)*0.5*'Outil Cibles'!G$8, IF(D10-'Outil Cibles'!G$7=60, ('Outil Cibles'!G$16-'Outil Cibles'!G$11)*0.5*'Outil Cibles'!G$8, 0))</f>
        <v>0</v>
      </c>
      <c r="F10">
        <f>IF($A10-'Outil Cibles'!H$7=30, ('Outil Cibles'!H$16-'Outil Cibles'!H$11)*0.5*'Outil Cibles'!H$8, IF(E10-'Outil Cibles'!H$7=60, ('Outil Cibles'!H$16-'Outil Cibles'!H$11)*0.5*'Outil Cibles'!H$8, 0))</f>
        <v>0</v>
      </c>
      <c r="G10">
        <f>IF($A10-'Outil Cibles'!I$7=30, ('Outil Cibles'!I$16-'Outil Cibles'!I$11)*0.5*'Outil Cibles'!I$8, IF(F10-'Outil Cibles'!I$7=60, ('Outil Cibles'!I$16-'Outil Cibles'!I$11)*0.5*'Outil Cibles'!I$8, 0))</f>
        <v>0</v>
      </c>
      <c r="H10">
        <f>IF($A10-'Outil Cibles'!J$7=30, ('Outil Cibles'!J$16-'Outil Cibles'!J$11)*0.5*'Outil Cibles'!J$8, IF(G10-'Outil Cibles'!J$7=60, ('Outil Cibles'!J$16-'Outil Cibles'!J$11)*0.5*'Outil Cibles'!J$8, 0))</f>
        <v>0</v>
      </c>
      <c r="I10">
        <f>IF($A10-'Outil Cibles'!K$7=30, ('Outil Cibles'!K$16-'Outil Cibles'!K$11)*0.5*'Outil Cibles'!K$8, IF(H10-'Outil Cibles'!K$7=60, ('Outil Cibles'!K$16-'Outil Cibles'!K$11)*0.5*'Outil Cibles'!K$8, 0))</f>
        <v>0</v>
      </c>
      <c r="J10">
        <f>IF($A10-'Outil Cibles'!L$7=30, ('Outil Cibles'!L$16-'Outil Cibles'!L$11)*0.5*'Outil Cibles'!L$8, IF(I10-'Outil Cibles'!L$7=60, ('Outil Cibles'!L$16-'Outil Cibles'!L$11)*0.5*'Outil Cibles'!L$8, 0))</f>
        <v>0</v>
      </c>
      <c r="K10">
        <f>IF($A10-'Outil Cibles'!M$7=30, ('Outil Cibles'!M$16-'Outil Cibles'!M$11)*0.5*'Outil Cibles'!M$8, IF(J10-'Outil Cibles'!M$7=60, ('Outil Cibles'!M$16-'Outil Cibles'!M$11)*0.5*'Outil Cibles'!M$8, 0))</f>
        <v>0</v>
      </c>
      <c r="L10">
        <f t="shared" si="0"/>
        <v>0</v>
      </c>
      <c r="N10">
        <v>2028</v>
      </c>
      <c r="O10">
        <f>IF(N10='Outil Cibles'!$Q$7, 'Outil Cibles'!$Q$18, 0)</f>
        <v>0</v>
      </c>
      <c r="P10">
        <f>IF(N10='Outil Cibles'!$R$7, 'Outil Cibles'!$R$18, 0)</f>
        <v>0</v>
      </c>
      <c r="Q10">
        <f>IF(N10='Outil Cibles'!$S$7, 'Outil Cibles'!$S$18, 0)</f>
        <v>0</v>
      </c>
      <c r="R10">
        <f>IF(N10='Outil Cibles'!$T$7, 'Outil Cibles'!$T$18, 0)</f>
        <v>0</v>
      </c>
      <c r="S10">
        <f>IF(N10='Outil Cibles'!$U$7, 'Outil Cibles'!$U$18, 0)</f>
        <v>0</v>
      </c>
      <c r="T10">
        <f>IF(N10='Outil Cibles'!$V$7, 'Outil Cibles'!$V$18, 0)</f>
        <v>0</v>
      </c>
      <c r="U10">
        <f>IF(N10='Outil Cibles'!$W$7, 'Outil Cibles'!$W$18, 0)</f>
        <v>0</v>
      </c>
      <c r="V10">
        <f>IF(N10='Outil Cibles'!$X$7, 'Outil Cibles'!$X$18, 0)</f>
        <v>0</v>
      </c>
      <c r="W10">
        <f>IF(N10='Outil Cibles'!$Y$7, 'Outil Cibles'!$Y$18, 0)</f>
        <v>0</v>
      </c>
      <c r="X10">
        <f>IF(N10='Outil Cibles'!$Z$7, 'Outil Cibles'!$Z$18, 0)</f>
        <v>0</v>
      </c>
      <c r="Y10">
        <f t="shared" si="1"/>
        <v>0</v>
      </c>
    </row>
    <row r="11" spans="1:25" x14ac:dyDescent="0.3">
      <c r="A11">
        <v>2029</v>
      </c>
      <c r="B11">
        <f>IF(A11-'Outil Cibles'!D$7=30, ('Outil Cibles'!D$16-'Outil Cibles'!D$11)*0.5*'Outil Cibles'!D$8, IF(A11-'Outil Cibles'!D$7=60, ('Outil Cibles'!D$16-'Outil Cibles'!D$11)*0.5*'Outil Cibles'!D$8, 0))</f>
        <v>0</v>
      </c>
      <c r="C11">
        <f>IF($A11-'Outil Cibles'!E$7=30, ('Outil Cibles'!E$16-'Outil Cibles'!E$11)*0.5*'Outil Cibles'!E$8, IF(B11-'Outil Cibles'!E$7=60, ('Outil Cibles'!E$16-'Outil Cibles'!E$11)*0.5*'Outil Cibles'!E$8, 0))</f>
        <v>0</v>
      </c>
      <c r="D11">
        <f>IF($A11-'Outil Cibles'!F$7=30, ('Outil Cibles'!F$16-'Outil Cibles'!F$11)*0.5*'Outil Cibles'!F$8, IF(C11-'Outil Cibles'!F$7=60, ('Outil Cibles'!F$16-'Outil Cibles'!F$11)*0.5*'Outil Cibles'!F$8, 0))</f>
        <v>0</v>
      </c>
      <c r="E11">
        <f>IF($A11-'Outil Cibles'!G$7=30, ('Outil Cibles'!G$16-'Outil Cibles'!G$11)*0.5*'Outil Cibles'!G$8, IF(D11-'Outil Cibles'!G$7=60, ('Outil Cibles'!G$16-'Outil Cibles'!G$11)*0.5*'Outil Cibles'!G$8, 0))</f>
        <v>0</v>
      </c>
      <c r="F11">
        <f>IF($A11-'Outil Cibles'!H$7=30, ('Outil Cibles'!H$16-'Outil Cibles'!H$11)*0.5*'Outil Cibles'!H$8, IF(E11-'Outil Cibles'!H$7=60, ('Outil Cibles'!H$16-'Outil Cibles'!H$11)*0.5*'Outil Cibles'!H$8, 0))</f>
        <v>0</v>
      </c>
      <c r="G11">
        <f>IF($A11-'Outil Cibles'!I$7=30, ('Outil Cibles'!I$16-'Outil Cibles'!I$11)*0.5*'Outil Cibles'!I$8, IF(F11-'Outil Cibles'!I$7=60, ('Outil Cibles'!I$16-'Outil Cibles'!I$11)*0.5*'Outil Cibles'!I$8, 0))</f>
        <v>0</v>
      </c>
      <c r="H11">
        <f>IF($A11-'Outil Cibles'!J$7=30, ('Outil Cibles'!J$16-'Outil Cibles'!J$11)*0.5*'Outil Cibles'!J$8, IF(G11-'Outil Cibles'!J$7=60, ('Outil Cibles'!J$16-'Outil Cibles'!J$11)*0.5*'Outil Cibles'!J$8, 0))</f>
        <v>0</v>
      </c>
      <c r="I11">
        <f>IF($A11-'Outil Cibles'!K$7=30, ('Outil Cibles'!K$16-'Outil Cibles'!K$11)*0.5*'Outil Cibles'!K$8, IF(H11-'Outil Cibles'!K$7=60, ('Outil Cibles'!K$16-'Outil Cibles'!K$11)*0.5*'Outil Cibles'!K$8, 0))</f>
        <v>0</v>
      </c>
      <c r="J11">
        <f>IF($A11-'Outil Cibles'!L$7=30, ('Outil Cibles'!L$16-'Outil Cibles'!L$11)*0.5*'Outil Cibles'!L$8, IF(I11-'Outil Cibles'!L$7=60, ('Outil Cibles'!L$16-'Outil Cibles'!L$11)*0.5*'Outil Cibles'!L$8, 0))</f>
        <v>0</v>
      </c>
      <c r="K11">
        <f>IF($A11-'Outil Cibles'!M$7=30, ('Outil Cibles'!M$16-'Outil Cibles'!M$11)*0.5*'Outil Cibles'!M$8, IF(J11-'Outil Cibles'!M$7=60, ('Outil Cibles'!M$16-'Outil Cibles'!M$11)*0.5*'Outil Cibles'!M$8, 0))</f>
        <v>0</v>
      </c>
      <c r="L11">
        <f t="shared" si="0"/>
        <v>0</v>
      </c>
      <c r="N11">
        <v>2029</v>
      </c>
      <c r="O11">
        <f>IF(N11='Outil Cibles'!$Q$7, 'Outil Cibles'!$Q$18, 0)</f>
        <v>0</v>
      </c>
      <c r="P11">
        <f>IF(N11='Outil Cibles'!$R$7, 'Outil Cibles'!$R$18, 0)</f>
        <v>0</v>
      </c>
      <c r="Q11">
        <f>IF(N11='Outil Cibles'!$S$7, 'Outil Cibles'!$S$18, 0)</f>
        <v>0</v>
      </c>
      <c r="R11">
        <f>IF(N11='Outil Cibles'!$T$7, 'Outil Cibles'!$T$18, 0)</f>
        <v>0</v>
      </c>
      <c r="S11">
        <f>IF(N11='Outil Cibles'!$U$7, 'Outil Cibles'!$U$18, 0)</f>
        <v>0</v>
      </c>
      <c r="T11">
        <f>IF(N11='Outil Cibles'!$V$7, 'Outil Cibles'!$V$18, 0)</f>
        <v>0</v>
      </c>
      <c r="U11">
        <f>IF(N11='Outil Cibles'!$W$7, 'Outil Cibles'!$W$18, 0)</f>
        <v>0</v>
      </c>
      <c r="V11">
        <f>IF(N11='Outil Cibles'!$X$7, 'Outil Cibles'!$X$18, 0)</f>
        <v>0</v>
      </c>
      <c r="W11">
        <f>IF(N11='Outil Cibles'!$Y$7, 'Outil Cibles'!$Y$18, 0)</f>
        <v>0</v>
      </c>
      <c r="X11">
        <f>IF(N11='Outil Cibles'!$Z$7, 'Outil Cibles'!$Z$18, 0)</f>
        <v>0</v>
      </c>
      <c r="Y11">
        <f t="shared" si="1"/>
        <v>0</v>
      </c>
    </row>
    <row r="12" spans="1:25" x14ac:dyDescent="0.3">
      <c r="A12" s="10">
        <v>2030</v>
      </c>
      <c r="B12">
        <f>IF(A12-'Outil Cibles'!D$7=30, ('Outil Cibles'!D$16-'Outil Cibles'!D$11)*0.5*'Outil Cibles'!D$8, IF(A12-'Outil Cibles'!D$7=60, ('Outil Cibles'!D$16-'Outil Cibles'!D$11)*0.5*'Outil Cibles'!D$8, 0))</f>
        <v>0</v>
      </c>
      <c r="C12">
        <f>IF($A12-'Outil Cibles'!E$7=30, ('Outil Cibles'!E$16-'Outil Cibles'!E$11)*0.5*'Outil Cibles'!E$8, IF(B12-'Outil Cibles'!E$7=60, ('Outil Cibles'!E$16-'Outil Cibles'!E$11)*0.5*'Outil Cibles'!E$8, 0))</f>
        <v>0</v>
      </c>
      <c r="D12">
        <f>IF($A12-'Outil Cibles'!F$7=30, ('Outil Cibles'!F$16-'Outil Cibles'!F$11)*0.5*'Outil Cibles'!F$8, IF(C12-'Outil Cibles'!F$7=60, ('Outil Cibles'!F$16-'Outil Cibles'!F$11)*0.5*'Outil Cibles'!F$8, 0))</f>
        <v>0</v>
      </c>
      <c r="E12">
        <f>IF($A12-'Outil Cibles'!G$7=30, ('Outil Cibles'!G$16-'Outil Cibles'!G$11)*0.5*'Outil Cibles'!G$8, IF(D12-'Outil Cibles'!G$7=60, ('Outil Cibles'!G$16-'Outil Cibles'!G$11)*0.5*'Outil Cibles'!G$8, 0))</f>
        <v>0</v>
      </c>
      <c r="F12">
        <f>IF($A12-'Outil Cibles'!H$7=30, ('Outil Cibles'!H$16-'Outil Cibles'!H$11)*0.5*'Outil Cibles'!H$8, IF(E12-'Outil Cibles'!H$7=60, ('Outil Cibles'!H$16-'Outil Cibles'!H$11)*0.5*'Outil Cibles'!H$8, 0))</f>
        <v>0</v>
      </c>
      <c r="G12">
        <f>IF($A12-'Outil Cibles'!I$7=30, ('Outil Cibles'!I$16-'Outil Cibles'!I$11)*0.5*'Outil Cibles'!I$8, IF(F12-'Outil Cibles'!I$7=60, ('Outil Cibles'!I$16-'Outil Cibles'!I$11)*0.5*'Outil Cibles'!I$8, 0))</f>
        <v>0</v>
      </c>
      <c r="H12">
        <f>IF($A12-'Outil Cibles'!J$7=30, ('Outil Cibles'!J$16-'Outil Cibles'!J$11)*0.5*'Outil Cibles'!J$8, IF(G12-'Outil Cibles'!J$7=60, ('Outil Cibles'!J$16-'Outil Cibles'!J$11)*0.5*'Outil Cibles'!J$8, 0))</f>
        <v>0</v>
      </c>
      <c r="I12">
        <f>IF($A12-'Outil Cibles'!K$7=30, ('Outil Cibles'!K$16-'Outil Cibles'!K$11)*0.5*'Outil Cibles'!K$8, IF(H12-'Outil Cibles'!K$7=60, ('Outil Cibles'!K$16-'Outil Cibles'!K$11)*0.5*'Outil Cibles'!K$8, 0))</f>
        <v>0</v>
      </c>
      <c r="J12">
        <f>IF($A12-'Outil Cibles'!L$7=30, ('Outil Cibles'!L$16-'Outil Cibles'!L$11)*0.5*'Outil Cibles'!L$8, IF(I12-'Outil Cibles'!L$7=60, ('Outil Cibles'!L$16-'Outil Cibles'!L$11)*0.5*'Outil Cibles'!L$8, 0))</f>
        <v>0</v>
      </c>
      <c r="K12">
        <f>IF($A12-'Outil Cibles'!M$7=30, ('Outil Cibles'!M$16-'Outil Cibles'!M$11)*0.5*'Outil Cibles'!M$8, IF(J12-'Outil Cibles'!M$7=60, ('Outil Cibles'!M$16-'Outil Cibles'!M$11)*0.5*'Outil Cibles'!M$8, 0))</f>
        <v>0</v>
      </c>
      <c r="L12">
        <f t="shared" si="0"/>
        <v>0</v>
      </c>
      <c r="N12" s="10">
        <v>2030</v>
      </c>
      <c r="O12">
        <f>IF(N12='Outil Cibles'!$Q$7, 'Outil Cibles'!$Q$18, 0)</f>
        <v>0</v>
      </c>
      <c r="P12">
        <f>IF(N12='Outil Cibles'!$R$7, 'Outil Cibles'!$R$18, 0)</f>
        <v>0</v>
      </c>
      <c r="Q12">
        <f>IF(N12='Outil Cibles'!$S$7, 'Outil Cibles'!$S$18, 0)</f>
        <v>347166.20508656563</v>
      </c>
      <c r="R12">
        <f>IF(N12='Outil Cibles'!$T$7, 'Outil Cibles'!$T$18, 0)</f>
        <v>0</v>
      </c>
      <c r="S12">
        <f>IF(N12='Outil Cibles'!$U$7, 'Outil Cibles'!$U$18, 0)</f>
        <v>0</v>
      </c>
      <c r="T12">
        <f>IF(N12='Outil Cibles'!$V$7, 'Outil Cibles'!$V$18, 0)</f>
        <v>0</v>
      </c>
      <c r="U12">
        <f>IF(N12='Outil Cibles'!$W$7, 'Outil Cibles'!$W$18, 0)</f>
        <v>0</v>
      </c>
      <c r="V12">
        <f>IF(N12='Outil Cibles'!$X$7, 'Outil Cibles'!$X$18, 0)</f>
        <v>0</v>
      </c>
      <c r="W12">
        <f>IF(N12='Outil Cibles'!$Y$7, 'Outil Cibles'!$Y$18, 0)</f>
        <v>0</v>
      </c>
      <c r="X12">
        <f>IF(N12='Outil Cibles'!$Z$7, 'Outil Cibles'!$Z$18, 0)</f>
        <v>0</v>
      </c>
      <c r="Y12">
        <f t="shared" si="1"/>
        <v>347166.20508656563</v>
      </c>
    </row>
    <row r="13" spans="1:25" x14ac:dyDescent="0.3">
      <c r="A13">
        <v>2031</v>
      </c>
      <c r="B13">
        <f>IF(A13-'Outil Cibles'!D$7=30, ('Outil Cibles'!D$16-'Outil Cibles'!D$11)*0.5*'Outil Cibles'!D$8, IF(A13-'Outil Cibles'!D$7=60, ('Outil Cibles'!D$16-'Outil Cibles'!D$11)*0.5*'Outil Cibles'!D$8, 0))</f>
        <v>0</v>
      </c>
      <c r="C13">
        <f>IF($A13-'Outil Cibles'!E$7=30, ('Outil Cibles'!E$16-'Outil Cibles'!E$11)*0.5*'Outil Cibles'!E$8, IF(B13-'Outil Cibles'!E$7=60, ('Outil Cibles'!E$16-'Outil Cibles'!E$11)*0.5*'Outil Cibles'!E$8, 0))</f>
        <v>0</v>
      </c>
      <c r="D13">
        <f>IF($A13-'Outil Cibles'!F$7=30, ('Outil Cibles'!F$16-'Outil Cibles'!F$11)*0.5*'Outil Cibles'!F$8, IF(C13-'Outil Cibles'!F$7=60, ('Outil Cibles'!F$16-'Outil Cibles'!F$11)*0.5*'Outil Cibles'!F$8, 0))</f>
        <v>0</v>
      </c>
      <c r="E13">
        <f>IF($A13-'Outil Cibles'!G$7=30, ('Outil Cibles'!G$16-'Outil Cibles'!G$11)*0.5*'Outil Cibles'!G$8, IF(D13-'Outil Cibles'!G$7=60, ('Outil Cibles'!G$16-'Outil Cibles'!G$11)*0.5*'Outil Cibles'!G$8, 0))</f>
        <v>0</v>
      </c>
      <c r="F13">
        <f>IF($A13-'Outil Cibles'!H$7=30, ('Outil Cibles'!H$16-'Outil Cibles'!H$11)*0.5*'Outil Cibles'!H$8, IF(E13-'Outil Cibles'!H$7=60, ('Outil Cibles'!H$16-'Outil Cibles'!H$11)*0.5*'Outil Cibles'!H$8, 0))</f>
        <v>0</v>
      </c>
      <c r="G13">
        <f>IF($A13-'Outil Cibles'!I$7=30, ('Outil Cibles'!I$16-'Outil Cibles'!I$11)*0.5*'Outil Cibles'!I$8, IF(F13-'Outil Cibles'!I$7=60, ('Outil Cibles'!I$16-'Outil Cibles'!I$11)*0.5*'Outil Cibles'!I$8, 0))</f>
        <v>0</v>
      </c>
      <c r="H13">
        <f>IF($A13-'Outil Cibles'!J$7=30, ('Outil Cibles'!J$16-'Outil Cibles'!J$11)*0.5*'Outil Cibles'!J$8, IF(G13-'Outil Cibles'!J$7=60, ('Outil Cibles'!J$16-'Outil Cibles'!J$11)*0.5*'Outil Cibles'!J$8, 0))</f>
        <v>0</v>
      </c>
      <c r="I13">
        <f>IF($A13-'Outil Cibles'!K$7=30, ('Outil Cibles'!K$16-'Outil Cibles'!K$11)*0.5*'Outil Cibles'!K$8, IF(H13-'Outil Cibles'!K$7=60, ('Outil Cibles'!K$16-'Outil Cibles'!K$11)*0.5*'Outil Cibles'!K$8, 0))</f>
        <v>0</v>
      </c>
      <c r="J13">
        <f>IF($A13-'Outil Cibles'!L$7=30, ('Outil Cibles'!L$16-'Outil Cibles'!L$11)*0.5*'Outil Cibles'!L$8, IF(I13-'Outil Cibles'!L$7=60, ('Outil Cibles'!L$16-'Outil Cibles'!L$11)*0.5*'Outil Cibles'!L$8, 0))</f>
        <v>0</v>
      </c>
      <c r="K13">
        <f>IF($A13-'Outil Cibles'!M$7=30, ('Outil Cibles'!M$16-'Outil Cibles'!M$11)*0.5*'Outil Cibles'!M$8, IF(J13-'Outil Cibles'!M$7=60, ('Outil Cibles'!M$16-'Outil Cibles'!M$11)*0.5*'Outil Cibles'!M$8, 0))</f>
        <v>0</v>
      </c>
      <c r="L13">
        <f t="shared" si="0"/>
        <v>0</v>
      </c>
      <c r="N13">
        <v>2031</v>
      </c>
      <c r="O13">
        <f>IF(N13='Outil Cibles'!$Q$7, 'Outil Cibles'!$Q$18, 0)</f>
        <v>0</v>
      </c>
      <c r="P13">
        <f>IF(N13='Outil Cibles'!$R$7, 'Outil Cibles'!$R$18, 0)</f>
        <v>0</v>
      </c>
      <c r="Q13">
        <f>IF(N13='Outil Cibles'!$S$7, 'Outil Cibles'!$S$18, 0)</f>
        <v>0</v>
      </c>
      <c r="R13">
        <f>IF(N13='Outil Cibles'!$T$7, 'Outil Cibles'!$T$18, 0)</f>
        <v>0</v>
      </c>
      <c r="S13">
        <f>IF(N13='Outil Cibles'!$U$7, 'Outil Cibles'!$U$18, 0)</f>
        <v>0</v>
      </c>
      <c r="T13">
        <f>IF(N13='Outil Cibles'!$V$7, 'Outil Cibles'!$V$18, 0)</f>
        <v>0</v>
      </c>
      <c r="U13">
        <f>IF(N13='Outil Cibles'!$W$7, 'Outil Cibles'!$W$18, 0)</f>
        <v>0</v>
      </c>
      <c r="V13">
        <f>IF(N13='Outil Cibles'!$X$7, 'Outil Cibles'!$X$18, 0)</f>
        <v>0</v>
      </c>
      <c r="W13">
        <f>IF(N13='Outil Cibles'!$Y$7, 'Outil Cibles'!$Y$18, 0)</f>
        <v>0</v>
      </c>
      <c r="X13">
        <f>IF(N13='Outil Cibles'!$Z$7, 'Outil Cibles'!$Z$18, 0)</f>
        <v>0</v>
      </c>
      <c r="Y13">
        <f t="shared" si="1"/>
        <v>0</v>
      </c>
    </row>
    <row r="14" spans="1:25" x14ac:dyDescent="0.3">
      <c r="A14">
        <v>2032</v>
      </c>
      <c r="B14">
        <f>IF(A14-'Outil Cibles'!D$7=30, ('Outil Cibles'!D$16-'Outil Cibles'!D$11)*0.5*'Outil Cibles'!D$8, IF(A14-'Outil Cibles'!D$7=60, ('Outil Cibles'!D$16-'Outil Cibles'!D$11)*0.5*'Outil Cibles'!D$8, 0))</f>
        <v>0</v>
      </c>
      <c r="C14">
        <f>IF($A14-'Outil Cibles'!E$7=30, ('Outil Cibles'!E$16-'Outil Cibles'!E$11)*0.5*'Outil Cibles'!E$8, IF(B14-'Outil Cibles'!E$7=60, ('Outil Cibles'!E$16-'Outil Cibles'!E$11)*0.5*'Outil Cibles'!E$8, 0))</f>
        <v>0</v>
      </c>
      <c r="D14">
        <f>IF($A14-'Outil Cibles'!F$7=30, ('Outil Cibles'!F$16-'Outil Cibles'!F$11)*0.5*'Outil Cibles'!F$8, IF(C14-'Outil Cibles'!F$7=60, ('Outil Cibles'!F$16-'Outil Cibles'!F$11)*0.5*'Outil Cibles'!F$8, 0))</f>
        <v>0</v>
      </c>
      <c r="E14">
        <f>IF($A14-'Outil Cibles'!G$7=30, ('Outil Cibles'!G$16-'Outil Cibles'!G$11)*0.5*'Outil Cibles'!G$8, IF(D14-'Outil Cibles'!G$7=60, ('Outil Cibles'!G$16-'Outil Cibles'!G$11)*0.5*'Outil Cibles'!G$8, 0))</f>
        <v>0</v>
      </c>
      <c r="F14">
        <f>IF($A14-'Outil Cibles'!H$7=30, ('Outil Cibles'!H$16-'Outil Cibles'!H$11)*0.5*'Outil Cibles'!H$8, IF(E14-'Outil Cibles'!H$7=60, ('Outil Cibles'!H$16-'Outil Cibles'!H$11)*0.5*'Outil Cibles'!H$8, 0))</f>
        <v>0</v>
      </c>
      <c r="G14">
        <f>IF($A14-'Outil Cibles'!I$7=30, ('Outil Cibles'!I$16-'Outil Cibles'!I$11)*0.5*'Outil Cibles'!I$8, IF(F14-'Outil Cibles'!I$7=60, ('Outil Cibles'!I$16-'Outil Cibles'!I$11)*0.5*'Outil Cibles'!I$8, 0))</f>
        <v>0</v>
      </c>
      <c r="H14">
        <f>IF($A14-'Outil Cibles'!J$7=30, ('Outil Cibles'!J$16-'Outil Cibles'!J$11)*0.5*'Outil Cibles'!J$8, IF(G14-'Outil Cibles'!J$7=60, ('Outil Cibles'!J$16-'Outil Cibles'!J$11)*0.5*'Outil Cibles'!J$8, 0))</f>
        <v>0</v>
      </c>
      <c r="I14">
        <f>IF($A14-'Outil Cibles'!K$7=30, ('Outil Cibles'!K$16-'Outil Cibles'!K$11)*0.5*'Outil Cibles'!K$8, IF(H14-'Outil Cibles'!K$7=60, ('Outil Cibles'!K$16-'Outil Cibles'!K$11)*0.5*'Outil Cibles'!K$8, 0))</f>
        <v>0</v>
      </c>
      <c r="J14">
        <f>IF($A14-'Outil Cibles'!L$7=30, ('Outil Cibles'!L$16-'Outil Cibles'!L$11)*0.5*'Outil Cibles'!L$8, IF(I14-'Outil Cibles'!L$7=60, ('Outil Cibles'!L$16-'Outil Cibles'!L$11)*0.5*'Outil Cibles'!L$8, 0))</f>
        <v>0</v>
      </c>
      <c r="K14">
        <f>IF($A14-'Outil Cibles'!M$7=30, ('Outil Cibles'!M$16-'Outil Cibles'!M$11)*0.5*'Outil Cibles'!M$8, IF(J14-'Outil Cibles'!M$7=60, ('Outil Cibles'!M$16-'Outil Cibles'!M$11)*0.5*'Outil Cibles'!M$8, 0))</f>
        <v>0</v>
      </c>
      <c r="L14">
        <f t="shared" si="0"/>
        <v>0</v>
      </c>
      <c r="N14">
        <v>2032</v>
      </c>
      <c r="O14">
        <f>IF(N14='Outil Cibles'!$Q$7, 'Outil Cibles'!$Q$18, 0)</f>
        <v>0</v>
      </c>
      <c r="P14">
        <f>IF(N14='Outil Cibles'!$R$7, 'Outil Cibles'!$R$18, 0)</f>
        <v>0</v>
      </c>
      <c r="Q14">
        <f>IF(N14='Outil Cibles'!$S$7, 'Outil Cibles'!$S$18, 0)</f>
        <v>0</v>
      </c>
      <c r="R14">
        <f>IF(N14='Outil Cibles'!$T$7, 'Outil Cibles'!$T$18, 0)</f>
        <v>0</v>
      </c>
      <c r="S14">
        <f>IF(N14='Outil Cibles'!$U$7, 'Outil Cibles'!$U$18, 0)</f>
        <v>0</v>
      </c>
      <c r="T14">
        <f>IF(N14='Outil Cibles'!$V$7, 'Outil Cibles'!$V$18, 0)</f>
        <v>0</v>
      </c>
      <c r="U14">
        <f>IF(N14='Outil Cibles'!$W$7, 'Outil Cibles'!$W$18, 0)</f>
        <v>0</v>
      </c>
      <c r="V14">
        <f>IF(N14='Outil Cibles'!$X$7, 'Outil Cibles'!$X$18, 0)</f>
        <v>0</v>
      </c>
      <c r="W14">
        <f>IF(N14='Outil Cibles'!$Y$7, 'Outil Cibles'!$Y$18, 0)</f>
        <v>0</v>
      </c>
      <c r="X14">
        <f>IF(N14='Outil Cibles'!$Z$7, 'Outil Cibles'!$Z$18, 0)</f>
        <v>0</v>
      </c>
      <c r="Y14">
        <f t="shared" si="1"/>
        <v>0</v>
      </c>
    </row>
    <row r="15" spans="1:25" x14ac:dyDescent="0.3">
      <c r="A15">
        <v>2033</v>
      </c>
      <c r="B15">
        <f>IF(A15-'Outil Cibles'!D$7=30, ('Outil Cibles'!D$16-'Outil Cibles'!D$11)*0.5*'Outil Cibles'!D$8, IF(A15-'Outil Cibles'!D$7=60, ('Outil Cibles'!D$16-'Outil Cibles'!D$11)*0.5*'Outil Cibles'!D$8, 0))</f>
        <v>0</v>
      </c>
      <c r="C15">
        <f>IF($A15-'Outil Cibles'!E$7=30, ('Outil Cibles'!E$16-'Outil Cibles'!E$11)*0.5*'Outil Cibles'!E$8, IF(B15-'Outil Cibles'!E$7=60, ('Outil Cibles'!E$16-'Outil Cibles'!E$11)*0.5*'Outil Cibles'!E$8, 0))</f>
        <v>0</v>
      </c>
      <c r="D15">
        <f>IF($A15-'Outil Cibles'!F$7=30, ('Outil Cibles'!F$16-'Outil Cibles'!F$11)*0.5*'Outil Cibles'!F$8, IF(C15-'Outil Cibles'!F$7=60, ('Outil Cibles'!F$16-'Outil Cibles'!F$11)*0.5*'Outil Cibles'!F$8, 0))</f>
        <v>0</v>
      </c>
      <c r="E15">
        <f>IF($A15-'Outil Cibles'!G$7=30, ('Outil Cibles'!G$16-'Outil Cibles'!G$11)*0.5*'Outil Cibles'!G$8, IF(D15-'Outil Cibles'!G$7=60, ('Outil Cibles'!G$16-'Outil Cibles'!G$11)*0.5*'Outil Cibles'!G$8, 0))</f>
        <v>0</v>
      </c>
      <c r="F15">
        <f>IF($A15-'Outil Cibles'!H$7=30, ('Outil Cibles'!H$16-'Outil Cibles'!H$11)*0.5*'Outil Cibles'!H$8, IF(E15-'Outil Cibles'!H$7=60, ('Outil Cibles'!H$16-'Outil Cibles'!H$11)*0.5*'Outil Cibles'!H$8, 0))</f>
        <v>0</v>
      </c>
      <c r="G15">
        <f>IF($A15-'Outil Cibles'!I$7=30, ('Outil Cibles'!I$16-'Outil Cibles'!I$11)*0.5*'Outil Cibles'!I$8, IF(F15-'Outil Cibles'!I$7=60, ('Outil Cibles'!I$16-'Outil Cibles'!I$11)*0.5*'Outil Cibles'!I$8, 0))</f>
        <v>0</v>
      </c>
      <c r="H15">
        <f>IF($A15-'Outil Cibles'!J$7=30, ('Outil Cibles'!J$16-'Outil Cibles'!J$11)*0.5*'Outil Cibles'!J$8, IF(G15-'Outil Cibles'!J$7=60, ('Outil Cibles'!J$16-'Outil Cibles'!J$11)*0.5*'Outil Cibles'!J$8, 0))</f>
        <v>0</v>
      </c>
      <c r="I15">
        <f>IF($A15-'Outil Cibles'!K$7=30, ('Outil Cibles'!K$16-'Outil Cibles'!K$11)*0.5*'Outil Cibles'!K$8, IF(H15-'Outil Cibles'!K$7=60, ('Outil Cibles'!K$16-'Outil Cibles'!K$11)*0.5*'Outil Cibles'!K$8, 0))</f>
        <v>0</v>
      </c>
      <c r="J15">
        <f>IF($A15-'Outil Cibles'!L$7=30, ('Outil Cibles'!L$16-'Outil Cibles'!L$11)*0.5*'Outil Cibles'!L$8, IF(I15-'Outil Cibles'!L$7=60, ('Outil Cibles'!L$16-'Outil Cibles'!L$11)*0.5*'Outil Cibles'!L$8, 0))</f>
        <v>0</v>
      </c>
      <c r="K15">
        <f>IF($A15-'Outil Cibles'!M$7=30, ('Outil Cibles'!M$16-'Outil Cibles'!M$11)*0.5*'Outil Cibles'!M$8, IF(J15-'Outil Cibles'!M$7=60, ('Outil Cibles'!M$16-'Outil Cibles'!M$11)*0.5*'Outil Cibles'!M$8, 0))</f>
        <v>0</v>
      </c>
      <c r="L15">
        <f t="shared" si="0"/>
        <v>0</v>
      </c>
      <c r="N15">
        <v>2033</v>
      </c>
      <c r="O15">
        <f>IF(N15='Outil Cibles'!$Q$7, 'Outil Cibles'!$Q$18, 0)</f>
        <v>0</v>
      </c>
      <c r="P15">
        <f>IF(N15='Outil Cibles'!$R$7, 'Outil Cibles'!$R$18, 0)</f>
        <v>0</v>
      </c>
      <c r="Q15">
        <f>IF(N15='Outil Cibles'!$S$7, 'Outil Cibles'!$S$18, 0)</f>
        <v>0</v>
      </c>
      <c r="R15">
        <f>IF(N15='Outil Cibles'!$T$7, 'Outil Cibles'!$T$18, 0)</f>
        <v>0</v>
      </c>
      <c r="S15">
        <f>IF(N15='Outil Cibles'!$U$7, 'Outil Cibles'!$U$18, 0)</f>
        <v>0</v>
      </c>
      <c r="T15">
        <f>IF(N15='Outil Cibles'!$V$7, 'Outil Cibles'!$V$18, 0)</f>
        <v>0</v>
      </c>
      <c r="U15">
        <f>IF(N15='Outil Cibles'!$W$7, 'Outil Cibles'!$W$18, 0)</f>
        <v>0</v>
      </c>
      <c r="V15">
        <f>IF(N15='Outil Cibles'!$X$7, 'Outil Cibles'!$X$18, 0)</f>
        <v>0</v>
      </c>
      <c r="W15">
        <f>IF(N15='Outil Cibles'!$Y$7, 'Outil Cibles'!$Y$18, 0)</f>
        <v>0</v>
      </c>
      <c r="X15">
        <f>IF(N15='Outil Cibles'!$Z$7, 'Outil Cibles'!$Z$18, 0)</f>
        <v>0</v>
      </c>
      <c r="Y15">
        <f t="shared" si="1"/>
        <v>0</v>
      </c>
    </row>
    <row r="16" spans="1:25" x14ac:dyDescent="0.3">
      <c r="A16">
        <v>2034</v>
      </c>
      <c r="B16">
        <f>IF(A16-'Outil Cibles'!D$7=30, ('Outil Cibles'!D$16-'Outil Cibles'!D$11)*0.5*'Outil Cibles'!D$8, IF(A16-'Outil Cibles'!D$7=60, ('Outil Cibles'!D$16-'Outil Cibles'!D$11)*0.5*'Outil Cibles'!D$8, 0))</f>
        <v>0</v>
      </c>
      <c r="C16">
        <f>IF($A16-'Outil Cibles'!E$7=30, ('Outil Cibles'!E$16-'Outil Cibles'!E$11)*0.5*'Outil Cibles'!E$8, IF(B16-'Outil Cibles'!E$7=60, ('Outil Cibles'!E$16-'Outil Cibles'!E$11)*0.5*'Outil Cibles'!E$8, 0))</f>
        <v>0</v>
      </c>
      <c r="D16">
        <f>IF($A16-'Outil Cibles'!F$7=30, ('Outil Cibles'!F$16-'Outil Cibles'!F$11)*0.5*'Outil Cibles'!F$8, IF(C16-'Outil Cibles'!F$7=60, ('Outil Cibles'!F$16-'Outil Cibles'!F$11)*0.5*'Outil Cibles'!F$8, 0))</f>
        <v>0</v>
      </c>
      <c r="E16">
        <f>IF($A16-'Outil Cibles'!G$7=30, ('Outil Cibles'!G$16-'Outil Cibles'!G$11)*0.5*'Outil Cibles'!G$8, IF(D16-'Outil Cibles'!G$7=60, ('Outil Cibles'!G$16-'Outil Cibles'!G$11)*0.5*'Outil Cibles'!G$8, 0))</f>
        <v>0</v>
      </c>
      <c r="F16">
        <f>IF($A16-'Outil Cibles'!H$7=30, ('Outil Cibles'!H$16-'Outil Cibles'!H$11)*0.5*'Outil Cibles'!H$8, IF(E16-'Outil Cibles'!H$7=60, ('Outil Cibles'!H$16-'Outil Cibles'!H$11)*0.5*'Outil Cibles'!H$8, 0))</f>
        <v>0</v>
      </c>
      <c r="G16">
        <f>IF($A16-'Outil Cibles'!I$7=30, ('Outil Cibles'!I$16-'Outil Cibles'!I$11)*0.5*'Outil Cibles'!I$8, IF(F16-'Outil Cibles'!I$7=60, ('Outil Cibles'!I$16-'Outil Cibles'!I$11)*0.5*'Outil Cibles'!I$8, 0))</f>
        <v>0</v>
      </c>
      <c r="H16">
        <f>IF($A16-'Outil Cibles'!J$7=30, ('Outil Cibles'!J$16-'Outil Cibles'!J$11)*0.5*'Outil Cibles'!J$8, IF(G16-'Outil Cibles'!J$7=60, ('Outil Cibles'!J$16-'Outil Cibles'!J$11)*0.5*'Outil Cibles'!J$8, 0))</f>
        <v>0</v>
      </c>
      <c r="I16">
        <f>IF($A16-'Outil Cibles'!K$7=30, ('Outil Cibles'!K$16-'Outil Cibles'!K$11)*0.5*'Outil Cibles'!K$8, IF(H16-'Outil Cibles'!K$7=60, ('Outil Cibles'!K$16-'Outil Cibles'!K$11)*0.5*'Outil Cibles'!K$8, 0))</f>
        <v>0</v>
      </c>
      <c r="J16">
        <f>IF($A16-'Outil Cibles'!L$7=30, ('Outil Cibles'!L$16-'Outil Cibles'!L$11)*0.5*'Outil Cibles'!L$8, IF(I16-'Outil Cibles'!L$7=60, ('Outil Cibles'!L$16-'Outil Cibles'!L$11)*0.5*'Outil Cibles'!L$8, 0))</f>
        <v>0</v>
      </c>
      <c r="K16">
        <f>IF($A16-'Outil Cibles'!M$7=30, ('Outil Cibles'!M$16-'Outil Cibles'!M$11)*0.5*'Outil Cibles'!M$8, IF(J16-'Outil Cibles'!M$7=60, ('Outil Cibles'!M$16-'Outil Cibles'!M$11)*0.5*'Outil Cibles'!M$8, 0))</f>
        <v>0</v>
      </c>
      <c r="L16">
        <f t="shared" si="0"/>
        <v>0</v>
      </c>
      <c r="N16">
        <v>2034</v>
      </c>
      <c r="O16">
        <f>IF(N16='Outil Cibles'!$Q$7, 'Outil Cibles'!$Q$18, 0)</f>
        <v>0</v>
      </c>
      <c r="P16">
        <f>IF(N16='Outil Cibles'!$R$7, 'Outil Cibles'!$R$18, 0)</f>
        <v>0</v>
      </c>
      <c r="Q16">
        <f>IF(N16='Outil Cibles'!$S$7, 'Outil Cibles'!$S$18, 0)</f>
        <v>0</v>
      </c>
      <c r="R16">
        <f>IF(N16='Outil Cibles'!$T$7, 'Outil Cibles'!$T$18, 0)</f>
        <v>0</v>
      </c>
      <c r="S16">
        <f>IF(N16='Outil Cibles'!$U$7, 'Outil Cibles'!$U$18, 0)</f>
        <v>0</v>
      </c>
      <c r="T16">
        <f>IF(N16='Outil Cibles'!$V$7, 'Outil Cibles'!$V$18, 0)</f>
        <v>0</v>
      </c>
      <c r="U16">
        <f>IF(N16='Outil Cibles'!$W$7, 'Outil Cibles'!$W$18, 0)</f>
        <v>0</v>
      </c>
      <c r="V16">
        <f>IF(N16='Outil Cibles'!$X$7, 'Outil Cibles'!$X$18, 0)</f>
        <v>0</v>
      </c>
      <c r="W16">
        <f>IF(N16='Outil Cibles'!$Y$7, 'Outil Cibles'!$Y$18, 0)</f>
        <v>0</v>
      </c>
      <c r="X16">
        <f>IF(N16='Outil Cibles'!$Z$7, 'Outil Cibles'!$Z$18, 0)</f>
        <v>0</v>
      </c>
      <c r="Y16">
        <f t="shared" si="1"/>
        <v>0</v>
      </c>
    </row>
    <row r="17" spans="1:25" x14ac:dyDescent="0.3">
      <c r="A17" s="10">
        <v>2035</v>
      </c>
      <c r="B17">
        <f>IF(A17-'Outil Cibles'!D$7=30, ('Outil Cibles'!D$16-'Outil Cibles'!D$11)*0.5*'Outil Cibles'!D$8, IF(A17-'Outil Cibles'!D$7=60, ('Outil Cibles'!D$16-'Outil Cibles'!D$11)*0.5*'Outil Cibles'!D$8, 0))</f>
        <v>0</v>
      </c>
      <c r="C17">
        <f>IF($A17-'Outil Cibles'!E$7=30, ('Outil Cibles'!E$16-'Outil Cibles'!E$11)*0.5*'Outil Cibles'!E$8, IF(B17-'Outil Cibles'!E$7=60, ('Outil Cibles'!E$16-'Outil Cibles'!E$11)*0.5*'Outil Cibles'!E$8, 0))</f>
        <v>0</v>
      </c>
      <c r="D17">
        <f>IF($A17-'Outil Cibles'!F$7=30, ('Outil Cibles'!F$16-'Outil Cibles'!F$11)*0.5*'Outil Cibles'!F$8, IF(C17-'Outil Cibles'!F$7=60, ('Outil Cibles'!F$16-'Outil Cibles'!F$11)*0.5*'Outil Cibles'!F$8, 0))</f>
        <v>0</v>
      </c>
      <c r="E17">
        <f>IF($A17-'Outil Cibles'!G$7=30, ('Outil Cibles'!G$16-'Outil Cibles'!G$11)*0.5*'Outil Cibles'!G$8, IF(D17-'Outil Cibles'!G$7=60, ('Outil Cibles'!G$16-'Outil Cibles'!G$11)*0.5*'Outil Cibles'!G$8, 0))</f>
        <v>0</v>
      </c>
      <c r="F17">
        <f>IF($A17-'Outil Cibles'!H$7=30, ('Outil Cibles'!H$16-'Outil Cibles'!H$11)*0.5*'Outil Cibles'!H$8, IF(E17-'Outil Cibles'!H$7=60, ('Outil Cibles'!H$16-'Outil Cibles'!H$11)*0.5*'Outil Cibles'!H$8, 0))</f>
        <v>0</v>
      </c>
      <c r="G17">
        <f>IF($A17-'Outil Cibles'!I$7=30, ('Outil Cibles'!I$16-'Outil Cibles'!I$11)*0.5*'Outil Cibles'!I$8, IF(F17-'Outil Cibles'!I$7=60, ('Outil Cibles'!I$16-'Outil Cibles'!I$11)*0.5*'Outil Cibles'!I$8, 0))</f>
        <v>0</v>
      </c>
      <c r="H17">
        <f>IF($A17-'Outil Cibles'!J$7=30, ('Outil Cibles'!J$16-'Outil Cibles'!J$11)*0.5*'Outil Cibles'!J$8, IF(G17-'Outil Cibles'!J$7=60, ('Outil Cibles'!J$16-'Outil Cibles'!J$11)*0.5*'Outil Cibles'!J$8, 0))</f>
        <v>0</v>
      </c>
      <c r="I17">
        <f>IF($A17-'Outil Cibles'!K$7=30, ('Outil Cibles'!K$16-'Outil Cibles'!K$11)*0.5*'Outil Cibles'!K$8, IF(H17-'Outil Cibles'!K$7=60, ('Outil Cibles'!K$16-'Outil Cibles'!K$11)*0.5*'Outil Cibles'!K$8, 0))</f>
        <v>0</v>
      </c>
      <c r="J17">
        <f>IF($A17-'Outil Cibles'!L$7=30, ('Outil Cibles'!L$16-'Outil Cibles'!L$11)*0.5*'Outil Cibles'!L$8, IF(I17-'Outil Cibles'!L$7=60, ('Outil Cibles'!L$16-'Outil Cibles'!L$11)*0.5*'Outil Cibles'!L$8, 0))</f>
        <v>0</v>
      </c>
      <c r="K17">
        <f>IF($A17-'Outil Cibles'!M$7=30, ('Outil Cibles'!M$16-'Outil Cibles'!M$11)*0.5*'Outil Cibles'!M$8, IF(J17-'Outil Cibles'!M$7=60, ('Outil Cibles'!M$16-'Outil Cibles'!M$11)*0.5*'Outil Cibles'!M$8, 0))</f>
        <v>0</v>
      </c>
      <c r="L17">
        <f t="shared" si="0"/>
        <v>0</v>
      </c>
      <c r="N17" s="10">
        <v>2035</v>
      </c>
      <c r="O17">
        <f>IF(N17='Outil Cibles'!$Q$7, 'Outil Cibles'!$Q$18, 0)</f>
        <v>0</v>
      </c>
      <c r="P17">
        <f>IF(N17='Outil Cibles'!$R$7, 'Outil Cibles'!$R$18, 0)</f>
        <v>0</v>
      </c>
      <c r="Q17">
        <f>IF(N17='Outil Cibles'!$S$7, 'Outil Cibles'!$S$18, 0)</f>
        <v>0</v>
      </c>
      <c r="R17">
        <f>IF(N17='Outil Cibles'!$T$7, 'Outil Cibles'!$T$18, 0)</f>
        <v>235712.90013917387</v>
      </c>
      <c r="S17">
        <f>IF(N17='Outil Cibles'!$U$7, 'Outil Cibles'!$U$18, 0)</f>
        <v>0</v>
      </c>
      <c r="T17">
        <f>IF(N17='Outil Cibles'!$V$7, 'Outil Cibles'!$V$18, 0)</f>
        <v>0</v>
      </c>
      <c r="U17">
        <f>IF(N17='Outil Cibles'!$W$7, 'Outil Cibles'!$W$18, 0)</f>
        <v>0</v>
      </c>
      <c r="V17">
        <f>IF(N17='Outil Cibles'!$X$7, 'Outil Cibles'!$X$18, 0)</f>
        <v>0</v>
      </c>
      <c r="W17">
        <f>IF(N17='Outil Cibles'!$Y$7, 'Outil Cibles'!$Y$18, 0)</f>
        <v>0</v>
      </c>
      <c r="X17">
        <f>IF(N17='Outil Cibles'!$Z$7, 'Outil Cibles'!$Z$18, 0)</f>
        <v>0</v>
      </c>
      <c r="Y17">
        <f t="shared" si="1"/>
        <v>235712.90013917387</v>
      </c>
    </row>
    <row r="18" spans="1:25" x14ac:dyDescent="0.3">
      <c r="A18">
        <v>2036</v>
      </c>
      <c r="B18">
        <f>IF(A18-'Outil Cibles'!D$7=30, ('Outil Cibles'!D$16-'Outil Cibles'!D$11)*0.5*'Outil Cibles'!D$8, IF(A18-'Outil Cibles'!D$7=60, ('Outil Cibles'!D$16-'Outil Cibles'!D$11)*0.5*'Outil Cibles'!D$8, 0))</f>
        <v>0</v>
      </c>
      <c r="C18">
        <f>IF($A18-'Outil Cibles'!E$7=30, ('Outil Cibles'!E$16-'Outil Cibles'!E$11)*0.5*'Outil Cibles'!E$8, IF(B18-'Outil Cibles'!E$7=60, ('Outil Cibles'!E$16-'Outil Cibles'!E$11)*0.5*'Outil Cibles'!E$8, 0))</f>
        <v>0</v>
      </c>
      <c r="D18">
        <f>IF($A18-'Outil Cibles'!F$7=30, ('Outil Cibles'!F$16-'Outil Cibles'!F$11)*0.5*'Outil Cibles'!F$8, IF(C18-'Outil Cibles'!F$7=60, ('Outil Cibles'!F$16-'Outil Cibles'!F$11)*0.5*'Outil Cibles'!F$8, 0))</f>
        <v>0</v>
      </c>
      <c r="E18">
        <f>IF($A18-'Outil Cibles'!G$7=30, ('Outil Cibles'!G$16-'Outil Cibles'!G$11)*0.5*'Outil Cibles'!G$8, IF(D18-'Outil Cibles'!G$7=60, ('Outil Cibles'!G$16-'Outil Cibles'!G$11)*0.5*'Outil Cibles'!G$8, 0))</f>
        <v>0</v>
      </c>
      <c r="F18">
        <f>IF($A18-'Outil Cibles'!H$7=30, ('Outil Cibles'!H$16-'Outil Cibles'!H$11)*0.5*'Outil Cibles'!H$8, IF(E18-'Outil Cibles'!H$7=60, ('Outil Cibles'!H$16-'Outil Cibles'!H$11)*0.5*'Outil Cibles'!H$8, 0))</f>
        <v>0</v>
      </c>
      <c r="G18">
        <f>IF($A18-'Outil Cibles'!I$7=30, ('Outil Cibles'!I$16-'Outil Cibles'!I$11)*0.5*'Outil Cibles'!I$8, IF(F18-'Outil Cibles'!I$7=60, ('Outil Cibles'!I$16-'Outil Cibles'!I$11)*0.5*'Outil Cibles'!I$8, 0))</f>
        <v>0</v>
      </c>
      <c r="H18">
        <f>IF($A18-'Outil Cibles'!J$7=30, ('Outil Cibles'!J$16-'Outil Cibles'!J$11)*0.5*'Outil Cibles'!J$8, IF(G18-'Outil Cibles'!J$7=60, ('Outil Cibles'!J$16-'Outil Cibles'!J$11)*0.5*'Outil Cibles'!J$8, 0))</f>
        <v>0</v>
      </c>
      <c r="I18">
        <f>IF($A18-'Outil Cibles'!K$7=30, ('Outil Cibles'!K$16-'Outil Cibles'!K$11)*0.5*'Outil Cibles'!K$8, IF(H18-'Outil Cibles'!K$7=60, ('Outil Cibles'!K$16-'Outil Cibles'!K$11)*0.5*'Outil Cibles'!K$8, 0))</f>
        <v>0</v>
      </c>
      <c r="J18">
        <f>IF($A18-'Outil Cibles'!L$7=30, ('Outil Cibles'!L$16-'Outil Cibles'!L$11)*0.5*'Outil Cibles'!L$8, IF(I18-'Outil Cibles'!L$7=60, ('Outil Cibles'!L$16-'Outil Cibles'!L$11)*0.5*'Outil Cibles'!L$8, 0))</f>
        <v>0</v>
      </c>
      <c r="K18">
        <f>IF($A18-'Outil Cibles'!M$7=30, ('Outil Cibles'!M$16-'Outil Cibles'!M$11)*0.5*'Outil Cibles'!M$8, IF(J18-'Outil Cibles'!M$7=60, ('Outil Cibles'!M$16-'Outil Cibles'!M$11)*0.5*'Outil Cibles'!M$8, 0))</f>
        <v>0</v>
      </c>
      <c r="L18">
        <f t="shared" si="0"/>
        <v>0</v>
      </c>
      <c r="N18">
        <v>2036</v>
      </c>
      <c r="O18">
        <f>IF(N18='Outil Cibles'!$Q$7, 'Outil Cibles'!$Q$18, 0)</f>
        <v>0</v>
      </c>
      <c r="P18">
        <f>IF(N18='Outil Cibles'!$R$7, 'Outil Cibles'!$R$18, 0)</f>
        <v>0</v>
      </c>
      <c r="Q18">
        <f>IF(N18='Outil Cibles'!$S$7, 'Outil Cibles'!$S$18, 0)</f>
        <v>0</v>
      </c>
      <c r="R18">
        <f>IF(N18='Outil Cibles'!$T$7, 'Outil Cibles'!$T$18, 0)</f>
        <v>0</v>
      </c>
      <c r="S18">
        <f>IF(N18='Outil Cibles'!$U$7, 'Outil Cibles'!$U$18, 0)</f>
        <v>0</v>
      </c>
      <c r="T18">
        <f>IF(N18='Outil Cibles'!$V$7, 'Outil Cibles'!$V$18, 0)</f>
        <v>0</v>
      </c>
      <c r="U18">
        <f>IF(N18='Outil Cibles'!$W$7, 'Outil Cibles'!$W$18, 0)</f>
        <v>0</v>
      </c>
      <c r="V18">
        <f>IF(N18='Outil Cibles'!$X$7, 'Outil Cibles'!$X$18, 0)</f>
        <v>0</v>
      </c>
      <c r="W18">
        <f>IF(N18='Outil Cibles'!$Y$7, 'Outil Cibles'!$Y$18, 0)</f>
        <v>0</v>
      </c>
      <c r="X18">
        <f>IF(N18='Outil Cibles'!$Z$7, 'Outil Cibles'!$Z$18, 0)</f>
        <v>0</v>
      </c>
      <c r="Y18">
        <f t="shared" si="1"/>
        <v>0</v>
      </c>
    </row>
    <row r="19" spans="1:25" x14ac:dyDescent="0.3">
      <c r="A19">
        <v>2037</v>
      </c>
      <c r="B19">
        <f>IF(A19-'Outil Cibles'!D$7=30, ('Outil Cibles'!D$16-'Outil Cibles'!D$11)*0.5*'Outil Cibles'!D$8, IF(A19-'Outil Cibles'!D$7=60, ('Outil Cibles'!D$16-'Outil Cibles'!D$11)*0.5*'Outil Cibles'!D$8, 0))</f>
        <v>0</v>
      </c>
      <c r="C19">
        <f>IF($A19-'Outil Cibles'!E$7=30, ('Outil Cibles'!E$16-'Outil Cibles'!E$11)*0.5*'Outil Cibles'!E$8, IF(B19-'Outil Cibles'!E$7=60, ('Outil Cibles'!E$16-'Outil Cibles'!E$11)*0.5*'Outil Cibles'!E$8, 0))</f>
        <v>0</v>
      </c>
      <c r="D19">
        <f>IF($A19-'Outil Cibles'!F$7=30, ('Outil Cibles'!F$16-'Outil Cibles'!F$11)*0.5*'Outil Cibles'!F$8, IF(C19-'Outil Cibles'!F$7=60, ('Outil Cibles'!F$16-'Outil Cibles'!F$11)*0.5*'Outil Cibles'!F$8, 0))</f>
        <v>0</v>
      </c>
      <c r="E19">
        <f>IF($A19-'Outil Cibles'!G$7=30, ('Outil Cibles'!G$16-'Outil Cibles'!G$11)*0.5*'Outil Cibles'!G$8, IF(D19-'Outil Cibles'!G$7=60, ('Outil Cibles'!G$16-'Outil Cibles'!G$11)*0.5*'Outil Cibles'!G$8, 0))</f>
        <v>0</v>
      </c>
      <c r="F19">
        <f>IF($A19-'Outil Cibles'!H$7=30, ('Outil Cibles'!H$16-'Outil Cibles'!H$11)*0.5*'Outil Cibles'!H$8, IF(E19-'Outil Cibles'!H$7=60, ('Outil Cibles'!H$16-'Outil Cibles'!H$11)*0.5*'Outil Cibles'!H$8, 0))</f>
        <v>0</v>
      </c>
      <c r="G19">
        <f>IF($A19-'Outil Cibles'!I$7=30, ('Outil Cibles'!I$16-'Outil Cibles'!I$11)*0.5*'Outil Cibles'!I$8, IF(F19-'Outil Cibles'!I$7=60, ('Outil Cibles'!I$16-'Outil Cibles'!I$11)*0.5*'Outil Cibles'!I$8, 0))</f>
        <v>0</v>
      </c>
      <c r="H19">
        <f>IF($A19-'Outil Cibles'!J$7=30, ('Outil Cibles'!J$16-'Outil Cibles'!J$11)*0.5*'Outil Cibles'!J$8, IF(G19-'Outil Cibles'!J$7=60, ('Outil Cibles'!J$16-'Outil Cibles'!J$11)*0.5*'Outil Cibles'!J$8, 0))</f>
        <v>0</v>
      </c>
      <c r="I19">
        <f>IF($A19-'Outil Cibles'!K$7=30, ('Outil Cibles'!K$16-'Outil Cibles'!K$11)*0.5*'Outil Cibles'!K$8, IF(H19-'Outil Cibles'!K$7=60, ('Outil Cibles'!K$16-'Outil Cibles'!K$11)*0.5*'Outil Cibles'!K$8, 0))</f>
        <v>0</v>
      </c>
      <c r="J19">
        <f>IF($A19-'Outil Cibles'!L$7=30, ('Outil Cibles'!L$16-'Outil Cibles'!L$11)*0.5*'Outil Cibles'!L$8, IF(I19-'Outil Cibles'!L$7=60, ('Outil Cibles'!L$16-'Outil Cibles'!L$11)*0.5*'Outil Cibles'!L$8, 0))</f>
        <v>0</v>
      </c>
      <c r="K19">
        <f>IF($A19-'Outil Cibles'!M$7=30, ('Outil Cibles'!M$16-'Outil Cibles'!M$11)*0.5*'Outil Cibles'!M$8, IF(J19-'Outil Cibles'!M$7=60, ('Outil Cibles'!M$16-'Outil Cibles'!M$11)*0.5*'Outil Cibles'!M$8, 0))</f>
        <v>0</v>
      </c>
      <c r="L19">
        <f t="shared" si="0"/>
        <v>0</v>
      </c>
      <c r="N19">
        <v>2037</v>
      </c>
      <c r="O19">
        <f>IF(N19='Outil Cibles'!$Q$7, 'Outil Cibles'!$Q$18, 0)</f>
        <v>0</v>
      </c>
      <c r="P19">
        <f>IF(N19='Outil Cibles'!$R$7, 'Outil Cibles'!$R$18, 0)</f>
        <v>0</v>
      </c>
      <c r="Q19">
        <f>IF(N19='Outil Cibles'!$S$7, 'Outil Cibles'!$S$18, 0)</f>
        <v>0</v>
      </c>
      <c r="R19">
        <f>IF(N19='Outil Cibles'!$T$7, 'Outil Cibles'!$T$18, 0)</f>
        <v>0</v>
      </c>
      <c r="S19">
        <f>IF(N19='Outil Cibles'!$U$7, 'Outil Cibles'!$U$18, 0)</f>
        <v>0</v>
      </c>
      <c r="T19">
        <f>IF(N19='Outil Cibles'!$V$7, 'Outil Cibles'!$V$18, 0)</f>
        <v>0</v>
      </c>
      <c r="U19">
        <f>IF(N19='Outil Cibles'!$W$7, 'Outil Cibles'!$W$18, 0)</f>
        <v>0</v>
      </c>
      <c r="V19">
        <f>IF(N19='Outil Cibles'!$X$7, 'Outil Cibles'!$X$18, 0)</f>
        <v>0</v>
      </c>
      <c r="W19">
        <f>IF(N19='Outil Cibles'!$Y$7, 'Outil Cibles'!$Y$18, 0)</f>
        <v>0</v>
      </c>
      <c r="X19">
        <f>IF(N19='Outil Cibles'!$Z$7, 'Outil Cibles'!$Z$18, 0)</f>
        <v>0</v>
      </c>
      <c r="Y19">
        <f t="shared" si="1"/>
        <v>0</v>
      </c>
    </row>
    <row r="20" spans="1:25" x14ac:dyDescent="0.3">
      <c r="A20">
        <v>2038</v>
      </c>
      <c r="B20">
        <f>IF(A20-'Outil Cibles'!D$7=30, ('Outil Cibles'!D$16-'Outil Cibles'!D$11)*0.5*'Outil Cibles'!D$8, IF(A20-'Outil Cibles'!D$7=60, ('Outil Cibles'!D$16-'Outil Cibles'!D$11)*0.5*'Outil Cibles'!D$8, 0))</f>
        <v>0</v>
      </c>
      <c r="C20">
        <f>IF($A20-'Outil Cibles'!E$7=30, ('Outil Cibles'!E$16-'Outil Cibles'!E$11)*0.5*'Outil Cibles'!E$8, IF(B20-'Outil Cibles'!E$7=60, ('Outil Cibles'!E$16-'Outil Cibles'!E$11)*0.5*'Outil Cibles'!E$8, 0))</f>
        <v>0</v>
      </c>
      <c r="D20">
        <f>IF($A20-'Outil Cibles'!F$7=30, ('Outil Cibles'!F$16-'Outil Cibles'!F$11)*0.5*'Outil Cibles'!F$8, IF(C20-'Outil Cibles'!F$7=60, ('Outil Cibles'!F$16-'Outil Cibles'!F$11)*0.5*'Outil Cibles'!F$8, 0))</f>
        <v>0</v>
      </c>
      <c r="E20">
        <f>IF($A20-'Outil Cibles'!G$7=30, ('Outil Cibles'!G$16-'Outil Cibles'!G$11)*0.5*'Outil Cibles'!G$8, IF(D20-'Outil Cibles'!G$7=60, ('Outil Cibles'!G$16-'Outil Cibles'!G$11)*0.5*'Outil Cibles'!G$8, 0))</f>
        <v>0</v>
      </c>
      <c r="F20">
        <f>IF($A20-'Outil Cibles'!H$7=30, ('Outil Cibles'!H$16-'Outil Cibles'!H$11)*0.5*'Outil Cibles'!H$8, IF(E20-'Outil Cibles'!H$7=60, ('Outil Cibles'!H$16-'Outil Cibles'!H$11)*0.5*'Outil Cibles'!H$8, 0))</f>
        <v>0</v>
      </c>
      <c r="G20">
        <f>IF($A20-'Outil Cibles'!I$7=30, ('Outil Cibles'!I$16-'Outil Cibles'!I$11)*0.5*'Outil Cibles'!I$8, IF(F20-'Outil Cibles'!I$7=60, ('Outil Cibles'!I$16-'Outil Cibles'!I$11)*0.5*'Outil Cibles'!I$8, 0))</f>
        <v>0</v>
      </c>
      <c r="H20">
        <f>IF($A20-'Outil Cibles'!J$7=30, ('Outil Cibles'!J$16-'Outil Cibles'!J$11)*0.5*'Outil Cibles'!J$8, IF(G20-'Outil Cibles'!J$7=60, ('Outil Cibles'!J$16-'Outil Cibles'!J$11)*0.5*'Outil Cibles'!J$8, 0))</f>
        <v>0</v>
      </c>
      <c r="I20">
        <f>IF($A20-'Outil Cibles'!K$7=30, ('Outil Cibles'!K$16-'Outil Cibles'!K$11)*0.5*'Outil Cibles'!K$8, IF(H20-'Outil Cibles'!K$7=60, ('Outil Cibles'!K$16-'Outil Cibles'!K$11)*0.5*'Outil Cibles'!K$8, 0))</f>
        <v>0</v>
      </c>
      <c r="J20">
        <f>IF($A20-'Outil Cibles'!L$7=30, ('Outil Cibles'!L$16-'Outil Cibles'!L$11)*0.5*'Outil Cibles'!L$8, IF(I20-'Outil Cibles'!L$7=60, ('Outil Cibles'!L$16-'Outil Cibles'!L$11)*0.5*'Outil Cibles'!L$8, 0))</f>
        <v>0</v>
      </c>
      <c r="K20">
        <f>IF($A20-'Outil Cibles'!M$7=30, ('Outil Cibles'!M$16-'Outil Cibles'!M$11)*0.5*'Outil Cibles'!M$8, IF(J20-'Outil Cibles'!M$7=60, ('Outil Cibles'!M$16-'Outil Cibles'!M$11)*0.5*'Outil Cibles'!M$8, 0))</f>
        <v>0</v>
      </c>
      <c r="L20">
        <f t="shared" si="0"/>
        <v>0</v>
      </c>
      <c r="N20">
        <v>2038</v>
      </c>
      <c r="O20">
        <f>IF(N20='Outil Cibles'!$Q$7, 'Outil Cibles'!$Q$18, 0)</f>
        <v>0</v>
      </c>
      <c r="P20">
        <f>IF(N20='Outil Cibles'!$R$7, 'Outil Cibles'!$R$18, 0)</f>
        <v>0</v>
      </c>
      <c r="Q20">
        <f>IF(N20='Outil Cibles'!$S$7, 'Outil Cibles'!$S$18, 0)</f>
        <v>0</v>
      </c>
      <c r="R20">
        <f>IF(N20='Outil Cibles'!$T$7, 'Outil Cibles'!$T$18, 0)</f>
        <v>0</v>
      </c>
      <c r="S20">
        <f>IF(N20='Outil Cibles'!$U$7, 'Outil Cibles'!$U$18, 0)</f>
        <v>186938.01694540519</v>
      </c>
      <c r="T20">
        <f>IF(N20='Outil Cibles'!$V$7, 'Outil Cibles'!$V$18, 0)</f>
        <v>0</v>
      </c>
      <c r="U20">
        <f>IF(N20='Outil Cibles'!$W$7, 'Outil Cibles'!$W$18, 0)</f>
        <v>0</v>
      </c>
      <c r="V20">
        <f>IF(N20='Outil Cibles'!$X$7, 'Outil Cibles'!$X$18, 0)</f>
        <v>0</v>
      </c>
      <c r="W20">
        <f>IF(N20='Outil Cibles'!$Y$7, 'Outil Cibles'!$Y$18, 0)</f>
        <v>0</v>
      </c>
      <c r="X20">
        <f>IF(N20='Outil Cibles'!$Z$7, 'Outil Cibles'!$Z$18, 0)</f>
        <v>0</v>
      </c>
      <c r="Y20">
        <f t="shared" si="1"/>
        <v>186938.01694540519</v>
      </c>
    </row>
    <row r="21" spans="1:25" x14ac:dyDescent="0.3">
      <c r="A21">
        <v>2039</v>
      </c>
      <c r="B21">
        <f>IF(A21-'Outil Cibles'!D$7=30, ('Outil Cibles'!D$16-'Outil Cibles'!D$11)*0.5*'Outil Cibles'!D$8, IF(A21-'Outil Cibles'!D$7=60, ('Outil Cibles'!D$16-'Outil Cibles'!D$11)*0.5*'Outil Cibles'!D$8, 0))</f>
        <v>0</v>
      </c>
      <c r="C21">
        <f>IF($A21-'Outil Cibles'!E$7=30, ('Outil Cibles'!E$16-'Outil Cibles'!E$11)*0.5*'Outil Cibles'!E$8, IF(B21-'Outil Cibles'!E$7=60, ('Outil Cibles'!E$16-'Outil Cibles'!E$11)*0.5*'Outil Cibles'!E$8, 0))</f>
        <v>0</v>
      </c>
      <c r="D21">
        <f>IF($A21-'Outil Cibles'!F$7=30, ('Outil Cibles'!F$16-'Outil Cibles'!F$11)*0.5*'Outil Cibles'!F$8, IF(C21-'Outil Cibles'!F$7=60, ('Outil Cibles'!F$16-'Outil Cibles'!F$11)*0.5*'Outil Cibles'!F$8, 0))</f>
        <v>0</v>
      </c>
      <c r="E21">
        <f>IF($A21-'Outil Cibles'!G$7=30, ('Outil Cibles'!G$16-'Outil Cibles'!G$11)*0.5*'Outil Cibles'!G$8, IF(D21-'Outil Cibles'!G$7=60, ('Outil Cibles'!G$16-'Outil Cibles'!G$11)*0.5*'Outil Cibles'!G$8, 0))</f>
        <v>0</v>
      </c>
      <c r="F21">
        <f>IF($A21-'Outil Cibles'!H$7=30, ('Outil Cibles'!H$16-'Outil Cibles'!H$11)*0.5*'Outil Cibles'!H$8, IF(E21-'Outil Cibles'!H$7=60, ('Outil Cibles'!H$16-'Outil Cibles'!H$11)*0.5*'Outil Cibles'!H$8, 0))</f>
        <v>0</v>
      </c>
      <c r="G21">
        <f>IF($A21-'Outil Cibles'!I$7=30, ('Outil Cibles'!I$16-'Outil Cibles'!I$11)*0.5*'Outil Cibles'!I$8, IF(F21-'Outil Cibles'!I$7=60, ('Outil Cibles'!I$16-'Outil Cibles'!I$11)*0.5*'Outil Cibles'!I$8, 0))</f>
        <v>0</v>
      </c>
      <c r="H21">
        <f>IF($A21-'Outil Cibles'!J$7=30, ('Outil Cibles'!J$16-'Outil Cibles'!J$11)*0.5*'Outil Cibles'!J$8, IF(G21-'Outil Cibles'!J$7=60, ('Outil Cibles'!J$16-'Outil Cibles'!J$11)*0.5*'Outil Cibles'!J$8, 0))</f>
        <v>0</v>
      </c>
      <c r="I21">
        <f>IF($A21-'Outil Cibles'!K$7=30, ('Outil Cibles'!K$16-'Outil Cibles'!K$11)*0.5*'Outil Cibles'!K$8, IF(H21-'Outil Cibles'!K$7=60, ('Outil Cibles'!K$16-'Outil Cibles'!K$11)*0.5*'Outil Cibles'!K$8, 0))</f>
        <v>0</v>
      </c>
      <c r="J21">
        <f>IF($A21-'Outil Cibles'!L$7=30, ('Outil Cibles'!L$16-'Outil Cibles'!L$11)*0.5*'Outil Cibles'!L$8, IF(I21-'Outil Cibles'!L$7=60, ('Outil Cibles'!L$16-'Outil Cibles'!L$11)*0.5*'Outil Cibles'!L$8, 0))</f>
        <v>0</v>
      </c>
      <c r="K21">
        <f>IF($A21-'Outil Cibles'!M$7=30, ('Outil Cibles'!M$16-'Outil Cibles'!M$11)*0.5*'Outil Cibles'!M$8, IF(J21-'Outil Cibles'!M$7=60, ('Outil Cibles'!M$16-'Outil Cibles'!M$11)*0.5*'Outil Cibles'!M$8, 0))</f>
        <v>0</v>
      </c>
      <c r="L21">
        <f t="shared" si="0"/>
        <v>0</v>
      </c>
      <c r="N21">
        <v>2039</v>
      </c>
      <c r="O21">
        <f>IF(N21='Outil Cibles'!$Q$7, 'Outil Cibles'!$Q$18, 0)</f>
        <v>0</v>
      </c>
      <c r="P21">
        <f>IF(N21='Outil Cibles'!$R$7, 'Outil Cibles'!$R$18, 0)</f>
        <v>0</v>
      </c>
      <c r="Q21">
        <f>IF(N21='Outil Cibles'!$S$7, 'Outil Cibles'!$S$18, 0)</f>
        <v>0</v>
      </c>
      <c r="R21">
        <f>IF(N21='Outil Cibles'!$T$7, 'Outil Cibles'!$T$18, 0)</f>
        <v>0</v>
      </c>
      <c r="S21">
        <f>IF(N21='Outil Cibles'!$U$7, 'Outil Cibles'!$U$18, 0)</f>
        <v>0</v>
      </c>
      <c r="T21">
        <f>IF(N21='Outil Cibles'!$V$7, 'Outil Cibles'!$V$18, 0)</f>
        <v>0</v>
      </c>
      <c r="U21">
        <f>IF(N21='Outil Cibles'!$W$7, 'Outil Cibles'!$W$18, 0)</f>
        <v>0</v>
      </c>
      <c r="V21">
        <f>IF(N21='Outil Cibles'!$X$7, 'Outil Cibles'!$X$18, 0)</f>
        <v>0</v>
      </c>
      <c r="W21">
        <f>IF(N21='Outil Cibles'!$Y$7, 'Outil Cibles'!$Y$18, 0)</f>
        <v>0</v>
      </c>
      <c r="X21">
        <f>IF(N21='Outil Cibles'!$Z$7, 'Outil Cibles'!$Z$18, 0)</f>
        <v>0</v>
      </c>
      <c r="Y21">
        <f t="shared" si="1"/>
        <v>0</v>
      </c>
    </row>
    <row r="22" spans="1:25" x14ac:dyDescent="0.3">
      <c r="A22" s="10">
        <v>2040</v>
      </c>
      <c r="B22">
        <f>IF(A22-'Outil Cibles'!D$7=30, ('Outil Cibles'!D$16-'Outil Cibles'!D$11)*0.5*'Outil Cibles'!D$8, IF(A22-'Outil Cibles'!D$7=60, ('Outil Cibles'!D$16-'Outil Cibles'!D$11)*0.5*'Outil Cibles'!D$8, 0))</f>
        <v>0</v>
      </c>
      <c r="C22">
        <f>IF($A22-'Outil Cibles'!E$7=30, ('Outil Cibles'!E$16-'Outil Cibles'!E$11)*0.5*'Outil Cibles'!E$8, IF(B22-'Outil Cibles'!E$7=60, ('Outil Cibles'!E$16-'Outil Cibles'!E$11)*0.5*'Outil Cibles'!E$8, 0))</f>
        <v>0</v>
      </c>
      <c r="D22">
        <f>IF($A22-'Outil Cibles'!F$7=30, ('Outil Cibles'!F$16-'Outil Cibles'!F$11)*0.5*'Outil Cibles'!F$8, IF(C22-'Outil Cibles'!F$7=60, ('Outil Cibles'!F$16-'Outil Cibles'!F$11)*0.5*'Outil Cibles'!F$8, 0))</f>
        <v>0</v>
      </c>
      <c r="E22">
        <f>IF($A22-'Outil Cibles'!G$7=30, ('Outil Cibles'!G$16-'Outil Cibles'!G$11)*0.5*'Outil Cibles'!G$8, IF(D22-'Outil Cibles'!G$7=60, ('Outil Cibles'!G$16-'Outil Cibles'!G$11)*0.5*'Outil Cibles'!G$8, 0))</f>
        <v>0</v>
      </c>
      <c r="F22">
        <f>IF($A22-'Outil Cibles'!H$7=30, ('Outil Cibles'!H$16-'Outil Cibles'!H$11)*0.5*'Outil Cibles'!H$8, IF(E22-'Outil Cibles'!H$7=60, ('Outil Cibles'!H$16-'Outil Cibles'!H$11)*0.5*'Outil Cibles'!H$8, 0))</f>
        <v>0</v>
      </c>
      <c r="G22">
        <f>IF($A22-'Outil Cibles'!I$7=30, ('Outil Cibles'!I$16-'Outil Cibles'!I$11)*0.5*'Outil Cibles'!I$8, IF(F22-'Outil Cibles'!I$7=60, ('Outil Cibles'!I$16-'Outil Cibles'!I$11)*0.5*'Outil Cibles'!I$8, 0))</f>
        <v>0</v>
      </c>
      <c r="H22">
        <f>IF($A22-'Outil Cibles'!J$7=30, ('Outil Cibles'!J$16-'Outil Cibles'!J$11)*0.5*'Outil Cibles'!J$8, IF(G22-'Outil Cibles'!J$7=60, ('Outil Cibles'!J$16-'Outil Cibles'!J$11)*0.5*'Outil Cibles'!J$8, 0))</f>
        <v>0</v>
      </c>
      <c r="I22">
        <f>IF($A22-'Outil Cibles'!K$7=30, ('Outil Cibles'!K$16-'Outil Cibles'!K$11)*0.5*'Outil Cibles'!K$8, IF(H22-'Outil Cibles'!K$7=60, ('Outil Cibles'!K$16-'Outil Cibles'!K$11)*0.5*'Outil Cibles'!K$8, 0))</f>
        <v>0</v>
      </c>
      <c r="J22">
        <f>IF($A22-'Outil Cibles'!L$7=30, ('Outil Cibles'!L$16-'Outil Cibles'!L$11)*0.5*'Outil Cibles'!L$8, IF(I22-'Outil Cibles'!L$7=60, ('Outil Cibles'!L$16-'Outil Cibles'!L$11)*0.5*'Outil Cibles'!L$8, 0))</f>
        <v>0</v>
      </c>
      <c r="K22">
        <f>IF($A22-'Outil Cibles'!M$7=30, ('Outil Cibles'!M$16-'Outil Cibles'!M$11)*0.5*'Outil Cibles'!M$8, IF(J22-'Outil Cibles'!M$7=60, ('Outil Cibles'!M$16-'Outil Cibles'!M$11)*0.5*'Outil Cibles'!M$8, 0))</f>
        <v>0</v>
      </c>
      <c r="L22">
        <f t="shared" si="0"/>
        <v>0</v>
      </c>
      <c r="N22" s="10">
        <v>2040</v>
      </c>
      <c r="O22">
        <f>IF(N22='Outil Cibles'!$Q$7, 'Outil Cibles'!$Q$18, 0)</f>
        <v>0</v>
      </c>
      <c r="P22">
        <f>IF(N22='Outil Cibles'!$R$7, 'Outil Cibles'!$R$18, 0)</f>
        <v>0</v>
      </c>
      <c r="Q22">
        <f>IF(N22='Outil Cibles'!$S$7, 'Outil Cibles'!$S$18, 0)</f>
        <v>0</v>
      </c>
      <c r="R22">
        <f>IF(N22='Outil Cibles'!$T$7, 'Outil Cibles'!$T$18, 0)</f>
        <v>0</v>
      </c>
      <c r="S22">
        <f>IF(N22='Outil Cibles'!$U$7, 'Outil Cibles'!$U$18, 0)</f>
        <v>0</v>
      </c>
      <c r="T22">
        <f>IF(N22='Outil Cibles'!$V$7, 'Outil Cibles'!$V$18, 0)</f>
        <v>160197.75845636977</v>
      </c>
      <c r="U22">
        <f>IF(N22='Outil Cibles'!$W$7, 'Outil Cibles'!$W$18, 0)</f>
        <v>0</v>
      </c>
      <c r="V22">
        <f>IF(N22='Outil Cibles'!$X$7, 'Outil Cibles'!$X$18, 0)</f>
        <v>0</v>
      </c>
      <c r="W22">
        <f>IF(N22='Outil Cibles'!$Y$7, 'Outil Cibles'!$Y$18, 0)</f>
        <v>0</v>
      </c>
      <c r="X22">
        <f>IF(N22='Outil Cibles'!$Z$7, 'Outil Cibles'!$Z$18, 0)</f>
        <v>0</v>
      </c>
      <c r="Y22">
        <f t="shared" si="1"/>
        <v>160197.75845636977</v>
      </c>
    </row>
    <row r="23" spans="1:25" x14ac:dyDescent="0.3">
      <c r="A23">
        <v>2041</v>
      </c>
      <c r="B23">
        <f>IF(A23-'Outil Cibles'!D$7=30, ('Outil Cibles'!D$16-'Outil Cibles'!D$11)*0.5*'Outil Cibles'!D$8, IF(A23-'Outil Cibles'!D$7=60, ('Outil Cibles'!D$16-'Outil Cibles'!D$11)*0.5*'Outil Cibles'!D$8, 0))</f>
        <v>0</v>
      </c>
      <c r="C23">
        <f>IF($A23-'Outil Cibles'!E$7=30, ('Outil Cibles'!E$16-'Outil Cibles'!E$11)*0.5*'Outil Cibles'!E$8, IF(B23-'Outil Cibles'!E$7=60, ('Outil Cibles'!E$16-'Outil Cibles'!E$11)*0.5*'Outil Cibles'!E$8, 0))</f>
        <v>0</v>
      </c>
      <c r="D23">
        <f>IF($A23-'Outil Cibles'!F$7=30, ('Outil Cibles'!F$16-'Outil Cibles'!F$11)*0.5*'Outil Cibles'!F$8, IF(C23-'Outil Cibles'!F$7=60, ('Outil Cibles'!F$16-'Outil Cibles'!F$11)*0.5*'Outil Cibles'!F$8, 0))</f>
        <v>0</v>
      </c>
      <c r="E23">
        <f>IF($A23-'Outil Cibles'!G$7=30, ('Outil Cibles'!G$16-'Outil Cibles'!G$11)*0.5*'Outil Cibles'!G$8, IF(D23-'Outil Cibles'!G$7=60, ('Outil Cibles'!G$16-'Outil Cibles'!G$11)*0.5*'Outil Cibles'!G$8, 0))</f>
        <v>0</v>
      </c>
      <c r="F23">
        <f>IF($A23-'Outil Cibles'!H$7=30, ('Outil Cibles'!H$16-'Outil Cibles'!H$11)*0.5*'Outil Cibles'!H$8, IF(E23-'Outil Cibles'!H$7=60, ('Outil Cibles'!H$16-'Outil Cibles'!H$11)*0.5*'Outil Cibles'!H$8, 0))</f>
        <v>0</v>
      </c>
      <c r="G23">
        <f>IF($A23-'Outil Cibles'!I$7=30, ('Outil Cibles'!I$16-'Outil Cibles'!I$11)*0.5*'Outil Cibles'!I$8, IF(F23-'Outil Cibles'!I$7=60, ('Outil Cibles'!I$16-'Outil Cibles'!I$11)*0.5*'Outil Cibles'!I$8, 0))</f>
        <v>0</v>
      </c>
      <c r="H23">
        <f>IF($A23-'Outil Cibles'!J$7=30, ('Outil Cibles'!J$16-'Outil Cibles'!J$11)*0.5*'Outil Cibles'!J$8, IF(G23-'Outil Cibles'!J$7=60, ('Outil Cibles'!J$16-'Outil Cibles'!J$11)*0.5*'Outil Cibles'!J$8, 0))</f>
        <v>0</v>
      </c>
      <c r="I23">
        <f>IF($A23-'Outil Cibles'!K$7=30, ('Outil Cibles'!K$16-'Outil Cibles'!K$11)*0.5*'Outil Cibles'!K$8, IF(H23-'Outil Cibles'!K$7=60, ('Outil Cibles'!K$16-'Outil Cibles'!K$11)*0.5*'Outil Cibles'!K$8, 0))</f>
        <v>0</v>
      </c>
      <c r="J23">
        <f>IF($A23-'Outil Cibles'!L$7=30, ('Outil Cibles'!L$16-'Outil Cibles'!L$11)*0.5*'Outil Cibles'!L$8, IF(I23-'Outil Cibles'!L$7=60, ('Outil Cibles'!L$16-'Outil Cibles'!L$11)*0.5*'Outil Cibles'!L$8, 0))</f>
        <v>0</v>
      </c>
      <c r="K23">
        <f>IF($A23-'Outil Cibles'!M$7=30, ('Outil Cibles'!M$16-'Outil Cibles'!M$11)*0.5*'Outil Cibles'!M$8, IF(J23-'Outil Cibles'!M$7=60, ('Outil Cibles'!M$16-'Outil Cibles'!M$11)*0.5*'Outil Cibles'!M$8, 0))</f>
        <v>0</v>
      </c>
      <c r="L23">
        <f t="shared" si="0"/>
        <v>0</v>
      </c>
      <c r="N23">
        <v>2041</v>
      </c>
      <c r="O23">
        <f>IF(N23='Outil Cibles'!$Q$7, 'Outil Cibles'!$Q$18, 0)</f>
        <v>0</v>
      </c>
      <c r="P23">
        <f>IF(N23='Outil Cibles'!$R$7, 'Outil Cibles'!$R$18, 0)</f>
        <v>0</v>
      </c>
      <c r="Q23">
        <f>IF(N23='Outil Cibles'!$S$7, 'Outil Cibles'!$S$18, 0)</f>
        <v>0</v>
      </c>
      <c r="R23">
        <f>IF(N23='Outil Cibles'!$T$7, 'Outil Cibles'!$T$18, 0)</f>
        <v>0</v>
      </c>
      <c r="S23">
        <f>IF(N23='Outil Cibles'!$U$7, 'Outil Cibles'!$U$18, 0)</f>
        <v>0</v>
      </c>
      <c r="T23">
        <f>IF(N23='Outil Cibles'!$V$7, 'Outil Cibles'!$V$18, 0)</f>
        <v>0</v>
      </c>
      <c r="U23">
        <f>IF(N23='Outil Cibles'!$W$7, 'Outil Cibles'!$W$18, 0)</f>
        <v>0</v>
      </c>
      <c r="V23">
        <f>IF(N23='Outil Cibles'!$X$7, 'Outil Cibles'!$X$18, 0)</f>
        <v>0</v>
      </c>
      <c r="W23">
        <f>IF(N23='Outil Cibles'!$Y$7, 'Outil Cibles'!$Y$18, 0)</f>
        <v>0</v>
      </c>
      <c r="X23">
        <f>IF(N23='Outil Cibles'!$Z$7, 'Outil Cibles'!$Z$18, 0)</f>
        <v>0</v>
      </c>
      <c r="Y23">
        <f t="shared" si="1"/>
        <v>0</v>
      </c>
    </row>
    <row r="24" spans="1:25" x14ac:dyDescent="0.3">
      <c r="A24">
        <v>2042</v>
      </c>
      <c r="B24">
        <f>IF(A24-'Outil Cibles'!D$7=30, ('Outil Cibles'!D$16-'Outil Cibles'!D$11)*0.5*'Outil Cibles'!D$8, IF(A24-'Outil Cibles'!D$7=60, ('Outil Cibles'!D$16-'Outil Cibles'!D$11)*0.5*'Outil Cibles'!D$8, 0))</f>
        <v>0</v>
      </c>
      <c r="C24">
        <f>IF($A24-'Outil Cibles'!E$7=30, ('Outil Cibles'!E$16-'Outil Cibles'!E$11)*0.5*'Outil Cibles'!E$8, IF(B24-'Outil Cibles'!E$7=60, ('Outil Cibles'!E$16-'Outil Cibles'!E$11)*0.5*'Outil Cibles'!E$8, 0))</f>
        <v>0</v>
      </c>
      <c r="D24">
        <f>IF($A24-'Outil Cibles'!F$7=30, ('Outil Cibles'!F$16-'Outil Cibles'!F$11)*0.5*'Outil Cibles'!F$8, IF(C24-'Outil Cibles'!F$7=60, ('Outil Cibles'!F$16-'Outil Cibles'!F$11)*0.5*'Outil Cibles'!F$8, 0))</f>
        <v>0</v>
      </c>
      <c r="E24">
        <f>IF($A24-'Outil Cibles'!G$7=30, ('Outil Cibles'!G$16-'Outil Cibles'!G$11)*0.5*'Outil Cibles'!G$8, IF(D24-'Outil Cibles'!G$7=60, ('Outil Cibles'!G$16-'Outil Cibles'!G$11)*0.5*'Outil Cibles'!G$8, 0))</f>
        <v>0</v>
      </c>
      <c r="F24">
        <f>IF($A24-'Outil Cibles'!H$7=30, ('Outil Cibles'!H$16-'Outil Cibles'!H$11)*0.5*'Outil Cibles'!H$8, IF(E24-'Outil Cibles'!H$7=60, ('Outil Cibles'!H$16-'Outil Cibles'!H$11)*0.5*'Outil Cibles'!H$8, 0))</f>
        <v>0</v>
      </c>
      <c r="G24">
        <f>IF($A24-'Outil Cibles'!I$7=30, ('Outil Cibles'!I$16-'Outil Cibles'!I$11)*0.5*'Outil Cibles'!I$8, IF(F24-'Outil Cibles'!I$7=60, ('Outil Cibles'!I$16-'Outil Cibles'!I$11)*0.5*'Outil Cibles'!I$8, 0))</f>
        <v>0</v>
      </c>
      <c r="H24">
        <f>IF($A24-'Outil Cibles'!J$7=30, ('Outil Cibles'!J$16-'Outil Cibles'!J$11)*0.5*'Outil Cibles'!J$8, IF(G24-'Outil Cibles'!J$7=60, ('Outil Cibles'!J$16-'Outil Cibles'!J$11)*0.5*'Outil Cibles'!J$8, 0))</f>
        <v>0</v>
      </c>
      <c r="I24">
        <f>IF($A24-'Outil Cibles'!K$7=30, ('Outil Cibles'!K$16-'Outil Cibles'!K$11)*0.5*'Outil Cibles'!K$8, IF(H24-'Outil Cibles'!K$7=60, ('Outil Cibles'!K$16-'Outil Cibles'!K$11)*0.5*'Outil Cibles'!K$8, 0))</f>
        <v>0</v>
      </c>
      <c r="J24">
        <f>IF($A24-'Outil Cibles'!L$7=30, ('Outil Cibles'!L$16-'Outil Cibles'!L$11)*0.5*'Outil Cibles'!L$8, IF(I24-'Outil Cibles'!L$7=60, ('Outil Cibles'!L$16-'Outil Cibles'!L$11)*0.5*'Outil Cibles'!L$8, 0))</f>
        <v>0</v>
      </c>
      <c r="K24">
        <f>IF($A24-'Outil Cibles'!M$7=30, ('Outil Cibles'!M$16-'Outil Cibles'!M$11)*0.5*'Outil Cibles'!M$8, IF(J24-'Outil Cibles'!M$7=60, ('Outil Cibles'!M$16-'Outil Cibles'!M$11)*0.5*'Outil Cibles'!M$8, 0))</f>
        <v>0</v>
      </c>
      <c r="L24">
        <f t="shared" si="0"/>
        <v>0</v>
      </c>
      <c r="N24">
        <v>2042</v>
      </c>
      <c r="O24">
        <f>IF(N24='Outil Cibles'!$Q$7, 'Outil Cibles'!$Q$18, 0)</f>
        <v>0</v>
      </c>
      <c r="P24">
        <f>IF(N24='Outil Cibles'!$R$7, 'Outil Cibles'!$R$18, 0)</f>
        <v>0</v>
      </c>
      <c r="Q24">
        <f>IF(N24='Outil Cibles'!$S$7, 'Outil Cibles'!$S$18, 0)</f>
        <v>0</v>
      </c>
      <c r="R24">
        <f>IF(N24='Outil Cibles'!$T$7, 'Outil Cibles'!$T$18, 0)</f>
        <v>0</v>
      </c>
      <c r="S24">
        <f>IF(N24='Outil Cibles'!$U$7, 'Outil Cibles'!$U$18, 0)</f>
        <v>0</v>
      </c>
      <c r="T24">
        <f>IF(N24='Outil Cibles'!$V$7, 'Outil Cibles'!$V$18, 0)</f>
        <v>0</v>
      </c>
      <c r="U24">
        <f>IF(N24='Outil Cibles'!$W$7, 'Outil Cibles'!$W$18, 0)</f>
        <v>137302.82316494611</v>
      </c>
      <c r="V24">
        <f>IF(N24='Outil Cibles'!$X$7, 'Outil Cibles'!$X$18, 0)</f>
        <v>0</v>
      </c>
      <c r="W24">
        <f>IF(N24='Outil Cibles'!$Y$7, 'Outil Cibles'!$Y$18, 0)</f>
        <v>0</v>
      </c>
      <c r="X24">
        <f>IF(N24='Outil Cibles'!$Z$7, 'Outil Cibles'!$Z$18, 0)</f>
        <v>0</v>
      </c>
      <c r="Y24">
        <f t="shared" si="1"/>
        <v>137302.82316494611</v>
      </c>
    </row>
    <row r="25" spans="1:25" x14ac:dyDescent="0.3">
      <c r="A25">
        <v>2043</v>
      </c>
      <c r="B25">
        <f>IF(A25-'Outil Cibles'!D$7=30, ('Outil Cibles'!D$16-'Outil Cibles'!D$11)*0.5*'Outil Cibles'!D$8, IF(A25-'Outil Cibles'!D$7=60, ('Outil Cibles'!D$16-'Outil Cibles'!D$11)*0.5*'Outil Cibles'!D$8, 0))</f>
        <v>0</v>
      </c>
      <c r="C25">
        <f>IF($A25-'Outil Cibles'!E$7=30, ('Outil Cibles'!E$16-'Outil Cibles'!E$11)*0.5*'Outil Cibles'!E$8, IF(B25-'Outil Cibles'!E$7=60, ('Outil Cibles'!E$16-'Outil Cibles'!E$11)*0.5*'Outil Cibles'!E$8, 0))</f>
        <v>0</v>
      </c>
      <c r="D25">
        <f>IF($A25-'Outil Cibles'!F$7=30, ('Outil Cibles'!F$16-'Outil Cibles'!F$11)*0.5*'Outil Cibles'!F$8, IF(C25-'Outil Cibles'!F$7=60, ('Outil Cibles'!F$16-'Outil Cibles'!F$11)*0.5*'Outil Cibles'!F$8, 0))</f>
        <v>0</v>
      </c>
      <c r="E25">
        <f>IF($A25-'Outil Cibles'!G$7=30, ('Outil Cibles'!G$16-'Outil Cibles'!G$11)*0.5*'Outil Cibles'!G$8, IF(D25-'Outil Cibles'!G$7=60, ('Outil Cibles'!G$16-'Outil Cibles'!G$11)*0.5*'Outil Cibles'!G$8, 0))</f>
        <v>0</v>
      </c>
      <c r="F25">
        <f>IF($A25-'Outil Cibles'!H$7=30, ('Outil Cibles'!H$16-'Outil Cibles'!H$11)*0.5*'Outil Cibles'!H$8, IF(E25-'Outil Cibles'!H$7=60, ('Outil Cibles'!H$16-'Outil Cibles'!H$11)*0.5*'Outil Cibles'!H$8, 0))</f>
        <v>0</v>
      </c>
      <c r="G25">
        <f>IF($A25-'Outil Cibles'!I$7=30, ('Outil Cibles'!I$16-'Outil Cibles'!I$11)*0.5*'Outil Cibles'!I$8, IF(F25-'Outil Cibles'!I$7=60, ('Outil Cibles'!I$16-'Outil Cibles'!I$11)*0.5*'Outil Cibles'!I$8, 0))</f>
        <v>0</v>
      </c>
      <c r="H25">
        <f>IF($A25-'Outil Cibles'!J$7=30, ('Outil Cibles'!J$16-'Outil Cibles'!J$11)*0.5*'Outil Cibles'!J$8, IF(G25-'Outil Cibles'!J$7=60, ('Outil Cibles'!J$16-'Outil Cibles'!J$11)*0.5*'Outil Cibles'!J$8, 0))</f>
        <v>0</v>
      </c>
      <c r="I25">
        <f>IF($A25-'Outil Cibles'!K$7=30, ('Outil Cibles'!K$16-'Outil Cibles'!K$11)*0.5*'Outil Cibles'!K$8, IF(H25-'Outil Cibles'!K$7=60, ('Outil Cibles'!K$16-'Outil Cibles'!K$11)*0.5*'Outil Cibles'!K$8, 0))</f>
        <v>0</v>
      </c>
      <c r="J25">
        <f>IF($A25-'Outil Cibles'!L$7=30, ('Outil Cibles'!L$16-'Outil Cibles'!L$11)*0.5*'Outil Cibles'!L$8, IF(I25-'Outil Cibles'!L$7=60, ('Outil Cibles'!L$16-'Outil Cibles'!L$11)*0.5*'Outil Cibles'!L$8, 0))</f>
        <v>0</v>
      </c>
      <c r="K25">
        <f>IF($A25-'Outil Cibles'!M$7=30, ('Outil Cibles'!M$16-'Outil Cibles'!M$11)*0.5*'Outil Cibles'!M$8, IF(J25-'Outil Cibles'!M$7=60, ('Outil Cibles'!M$16-'Outil Cibles'!M$11)*0.5*'Outil Cibles'!M$8, 0))</f>
        <v>0</v>
      </c>
      <c r="L25">
        <f t="shared" si="0"/>
        <v>0</v>
      </c>
      <c r="N25">
        <v>2043</v>
      </c>
      <c r="O25">
        <f>IF(N25='Outil Cibles'!$Q$7, 'Outil Cibles'!$Q$18, 0)</f>
        <v>0</v>
      </c>
      <c r="P25">
        <f>IF(N25='Outil Cibles'!$R$7, 'Outil Cibles'!$R$18, 0)</f>
        <v>0</v>
      </c>
      <c r="Q25">
        <f>IF(N25='Outil Cibles'!$S$7, 'Outil Cibles'!$S$18, 0)</f>
        <v>0</v>
      </c>
      <c r="R25">
        <f>IF(N25='Outil Cibles'!$T$7, 'Outil Cibles'!$T$18, 0)</f>
        <v>0</v>
      </c>
      <c r="S25">
        <f>IF(N25='Outil Cibles'!$U$7, 'Outil Cibles'!$U$18, 0)</f>
        <v>0</v>
      </c>
      <c r="T25">
        <f>IF(N25='Outil Cibles'!$V$7, 'Outil Cibles'!$V$18, 0)</f>
        <v>0</v>
      </c>
      <c r="U25">
        <f>IF(N25='Outil Cibles'!$W$7, 'Outil Cibles'!$W$18, 0)</f>
        <v>0</v>
      </c>
      <c r="V25">
        <f>IF(N25='Outil Cibles'!$X$7, 'Outil Cibles'!$X$18, 0)</f>
        <v>0</v>
      </c>
      <c r="W25">
        <f>IF(N25='Outil Cibles'!$Y$7, 'Outil Cibles'!$Y$18, 0)</f>
        <v>0</v>
      </c>
      <c r="X25">
        <f>IF(N25='Outil Cibles'!$Z$7, 'Outil Cibles'!$Z$18, 0)</f>
        <v>0</v>
      </c>
      <c r="Y25">
        <f t="shared" si="1"/>
        <v>0</v>
      </c>
    </row>
    <row r="26" spans="1:25" x14ac:dyDescent="0.3">
      <c r="A26">
        <v>2044</v>
      </c>
      <c r="B26">
        <f>IF(A26-'Outil Cibles'!D$7=30, ('Outil Cibles'!D$16-'Outil Cibles'!D$11)*0.5*'Outil Cibles'!D$8, IF(A26-'Outil Cibles'!D$7=60, ('Outil Cibles'!D$16-'Outil Cibles'!D$11)*0.5*'Outil Cibles'!D$8, 0))</f>
        <v>0</v>
      </c>
      <c r="C26">
        <f>IF($A26-'Outil Cibles'!E$7=30, ('Outil Cibles'!E$16-'Outil Cibles'!E$11)*0.5*'Outil Cibles'!E$8, IF(B26-'Outil Cibles'!E$7=60, ('Outil Cibles'!E$16-'Outil Cibles'!E$11)*0.5*'Outil Cibles'!E$8, 0))</f>
        <v>0</v>
      </c>
      <c r="D26">
        <f>IF($A26-'Outil Cibles'!F$7=30, ('Outil Cibles'!F$16-'Outil Cibles'!F$11)*0.5*'Outil Cibles'!F$8, IF(C26-'Outil Cibles'!F$7=60, ('Outil Cibles'!F$16-'Outil Cibles'!F$11)*0.5*'Outil Cibles'!F$8, 0))</f>
        <v>0</v>
      </c>
      <c r="E26">
        <f>IF($A26-'Outil Cibles'!G$7=30, ('Outil Cibles'!G$16-'Outil Cibles'!G$11)*0.5*'Outil Cibles'!G$8, IF(D26-'Outil Cibles'!G$7=60, ('Outil Cibles'!G$16-'Outil Cibles'!G$11)*0.5*'Outil Cibles'!G$8, 0))</f>
        <v>0</v>
      </c>
      <c r="F26">
        <f>IF($A26-'Outil Cibles'!H$7=30, ('Outil Cibles'!H$16-'Outil Cibles'!H$11)*0.5*'Outil Cibles'!H$8, IF(E26-'Outil Cibles'!H$7=60, ('Outil Cibles'!H$16-'Outil Cibles'!H$11)*0.5*'Outil Cibles'!H$8, 0))</f>
        <v>0</v>
      </c>
      <c r="G26">
        <f>IF($A26-'Outil Cibles'!I$7=30, ('Outil Cibles'!I$16-'Outil Cibles'!I$11)*0.5*'Outil Cibles'!I$8, IF(F26-'Outil Cibles'!I$7=60, ('Outil Cibles'!I$16-'Outil Cibles'!I$11)*0.5*'Outil Cibles'!I$8, 0))</f>
        <v>0</v>
      </c>
      <c r="H26">
        <f>IF($A26-'Outil Cibles'!J$7=30, ('Outil Cibles'!J$16-'Outil Cibles'!J$11)*0.5*'Outil Cibles'!J$8, IF(G26-'Outil Cibles'!J$7=60, ('Outil Cibles'!J$16-'Outil Cibles'!J$11)*0.5*'Outil Cibles'!J$8, 0))</f>
        <v>0</v>
      </c>
      <c r="I26">
        <f>IF($A26-'Outil Cibles'!K$7=30, ('Outil Cibles'!K$16-'Outil Cibles'!K$11)*0.5*'Outil Cibles'!K$8, IF(H26-'Outil Cibles'!K$7=60, ('Outil Cibles'!K$16-'Outil Cibles'!K$11)*0.5*'Outil Cibles'!K$8, 0))</f>
        <v>0</v>
      </c>
      <c r="J26">
        <f>IF($A26-'Outil Cibles'!L$7=30, ('Outil Cibles'!L$16-'Outil Cibles'!L$11)*0.5*'Outil Cibles'!L$8, IF(I26-'Outil Cibles'!L$7=60, ('Outil Cibles'!L$16-'Outil Cibles'!L$11)*0.5*'Outil Cibles'!L$8, 0))</f>
        <v>0</v>
      </c>
      <c r="K26">
        <f>IF($A26-'Outil Cibles'!M$7=30, ('Outil Cibles'!M$16-'Outil Cibles'!M$11)*0.5*'Outil Cibles'!M$8, IF(J26-'Outil Cibles'!M$7=60, ('Outil Cibles'!M$16-'Outil Cibles'!M$11)*0.5*'Outil Cibles'!M$8, 0))</f>
        <v>0</v>
      </c>
      <c r="L26">
        <f t="shared" si="0"/>
        <v>0</v>
      </c>
      <c r="N26">
        <v>2044</v>
      </c>
      <c r="O26">
        <f>IF(N26='Outil Cibles'!$Q$7, 'Outil Cibles'!$Q$18, 0)</f>
        <v>0</v>
      </c>
      <c r="P26">
        <f>IF(N26='Outil Cibles'!$R$7, 'Outil Cibles'!$R$18, 0)</f>
        <v>0</v>
      </c>
      <c r="Q26">
        <f>IF(N26='Outil Cibles'!$S$7, 'Outil Cibles'!$S$18, 0)</f>
        <v>0</v>
      </c>
      <c r="R26">
        <f>IF(N26='Outil Cibles'!$T$7, 'Outil Cibles'!$T$18, 0)</f>
        <v>0</v>
      </c>
      <c r="S26">
        <f>IF(N26='Outil Cibles'!$U$7, 'Outil Cibles'!$U$18, 0)</f>
        <v>0</v>
      </c>
      <c r="T26">
        <f>IF(N26='Outil Cibles'!$V$7, 'Outil Cibles'!$V$18, 0)</f>
        <v>0</v>
      </c>
      <c r="U26">
        <f>IF(N26='Outil Cibles'!$W$7, 'Outil Cibles'!$W$18, 0)</f>
        <v>0</v>
      </c>
      <c r="V26">
        <f>IF(N26='Outil Cibles'!$X$7, 'Outil Cibles'!$X$18, 0)</f>
        <v>117696.94589688591</v>
      </c>
      <c r="W26">
        <f>IF(N26='Outil Cibles'!$Y$7, 'Outil Cibles'!$Y$18, 0)</f>
        <v>0</v>
      </c>
      <c r="X26">
        <f>IF(N26='Outil Cibles'!$Z$7, 'Outil Cibles'!$Z$18, 0)</f>
        <v>0</v>
      </c>
      <c r="Y26">
        <f t="shared" si="1"/>
        <v>117696.94589688591</v>
      </c>
    </row>
    <row r="27" spans="1:25" x14ac:dyDescent="0.3">
      <c r="A27" s="10">
        <v>2045</v>
      </c>
      <c r="B27">
        <f>IF(A27-'Outil Cibles'!D$7=30, ('Outil Cibles'!D$16-'Outil Cibles'!D$11)*0.5*'Outil Cibles'!D$8, IF(A27-'Outil Cibles'!D$7=60, ('Outil Cibles'!D$16-'Outil Cibles'!D$11)*0.5*'Outil Cibles'!D$8, 0))</f>
        <v>0</v>
      </c>
      <c r="C27">
        <f>IF($A27-'Outil Cibles'!E$7=30, ('Outil Cibles'!E$16-'Outil Cibles'!E$11)*0.5*'Outil Cibles'!E$8, IF(B27-'Outil Cibles'!E$7=60, ('Outil Cibles'!E$16-'Outil Cibles'!E$11)*0.5*'Outil Cibles'!E$8, 0))</f>
        <v>0</v>
      </c>
      <c r="D27">
        <f>IF($A27-'Outil Cibles'!F$7=30, ('Outil Cibles'!F$16-'Outil Cibles'!F$11)*0.5*'Outil Cibles'!F$8, IF(C27-'Outil Cibles'!F$7=60, ('Outil Cibles'!F$16-'Outil Cibles'!F$11)*0.5*'Outil Cibles'!F$8, 0))</f>
        <v>0</v>
      </c>
      <c r="E27">
        <f>IF($A27-'Outil Cibles'!G$7=30, ('Outil Cibles'!G$16-'Outil Cibles'!G$11)*0.5*'Outil Cibles'!G$8, IF(D27-'Outil Cibles'!G$7=60, ('Outil Cibles'!G$16-'Outil Cibles'!G$11)*0.5*'Outil Cibles'!G$8, 0))</f>
        <v>0</v>
      </c>
      <c r="F27">
        <f>IF($A27-'Outil Cibles'!H$7=30, ('Outil Cibles'!H$16-'Outil Cibles'!H$11)*0.5*'Outil Cibles'!H$8, IF(E27-'Outil Cibles'!H$7=60, ('Outil Cibles'!H$16-'Outil Cibles'!H$11)*0.5*'Outil Cibles'!H$8, 0))</f>
        <v>0</v>
      </c>
      <c r="G27">
        <f>IF($A27-'Outil Cibles'!I$7=30, ('Outil Cibles'!I$16-'Outil Cibles'!I$11)*0.5*'Outil Cibles'!I$8, IF(F27-'Outil Cibles'!I$7=60, ('Outil Cibles'!I$16-'Outil Cibles'!I$11)*0.5*'Outil Cibles'!I$8, 0))</f>
        <v>0</v>
      </c>
      <c r="H27">
        <f>IF($A27-'Outil Cibles'!J$7=30, ('Outil Cibles'!J$16-'Outil Cibles'!J$11)*0.5*'Outil Cibles'!J$8, IF(G27-'Outil Cibles'!J$7=60, ('Outil Cibles'!J$16-'Outil Cibles'!J$11)*0.5*'Outil Cibles'!J$8, 0))</f>
        <v>0</v>
      </c>
      <c r="I27">
        <f>IF($A27-'Outil Cibles'!K$7=30, ('Outil Cibles'!K$16-'Outil Cibles'!K$11)*0.5*'Outil Cibles'!K$8, IF(H27-'Outil Cibles'!K$7=60, ('Outil Cibles'!K$16-'Outil Cibles'!K$11)*0.5*'Outil Cibles'!K$8, 0))</f>
        <v>0</v>
      </c>
      <c r="J27">
        <f>IF($A27-'Outil Cibles'!L$7=30, ('Outil Cibles'!L$16-'Outil Cibles'!L$11)*0.5*'Outil Cibles'!L$8, IF(I27-'Outil Cibles'!L$7=60, ('Outil Cibles'!L$16-'Outil Cibles'!L$11)*0.5*'Outil Cibles'!L$8, 0))</f>
        <v>0</v>
      </c>
      <c r="K27">
        <f>IF($A27-'Outil Cibles'!M$7=30, ('Outil Cibles'!M$16-'Outil Cibles'!M$11)*0.5*'Outil Cibles'!M$8, IF(J27-'Outil Cibles'!M$7=60, ('Outil Cibles'!M$16-'Outil Cibles'!M$11)*0.5*'Outil Cibles'!M$8, 0))</f>
        <v>0</v>
      </c>
      <c r="L27">
        <f t="shared" si="0"/>
        <v>0</v>
      </c>
      <c r="N27" s="10">
        <v>2045</v>
      </c>
      <c r="O27">
        <f>IF(N27='Outil Cibles'!$Q$7, 'Outil Cibles'!$Q$18, 0)</f>
        <v>0</v>
      </c>
      <c r="P27">
        <f>IF(N27='Outil Cibles'!$R$7, 'Outil Cibles'!$R$18, 0)</f>
        <v>0</v>
      </c>
      <c r="Q27">
        <f>IF(N27='Outil Cibles'!$S$7, 'Outil Cibles'!$S$18, 0)</f>
        <v>0</v>
      </c>
      <c r="R27">
        <f>IF(N27='Outil Cibles'!$T$7, 'Outil Cibles'!$T$18, 0)</f>
        <v>0</v>
      </c>
      <c r="S27">
        <f>IF(N27='Outil Cibles'!$U$7, 'Outil Cibles'!$U$18, 0)</f>
        <v>0</v>
      </c>
      <c r="T27">
        <f>IF(N27='Outil Cibles'!$V$7, 'Outil Cibles'!$V$18, 0)</f>
        <v>0</v>
      </c>
      <c r="U27">
        <f>IF(N27='Outil Cibles'!$W$7, 'Outil Cibles'!$W$18, 0)</f>
        <v>0</v>
      </c>
      <c r="V27">
        <f>IF(N27='Outil Cibles'!$X$7, 'Outil Cibles'!$X$18, 0)</f>
        <v>0</v>
      </c>
      <c r="W27">
        <f>IF(N27='Outil Cibles'!$Y$7, 'Outil Cibles'!$Y$18, 0)</f>
        <v>0</v>
      </c>
      <c r="X27">
        <f>IF(N27='Outil Cibles'!$Z$7, 'Outil Cibles'!$Z$18, 0)</f>
        <v>0</v>
      </c>
      <c r="Y27">
        <f t="shared" si="1"/>
        <v>0</v>
      </c>
    </row>
    <row r="28" spans="1:25" x14ac:dyDescent="0.3">
      <c r="A28">
        <v>2046</v>
      </c>
      <c r="B28">
        <f>IF(A28-'Outil Cibles'!D$7=30, ('Outil Cibles'!D$16-'Outil Cibles'!D$11)*0.5*'Outil Cibles'!D$8, IF(A28-'Outil Cibles'!D$7=60, ('Outil Cibles'!D$16-'Outil Cibles'!D$11)*0.5*'Outil Cibles'!D$8, 0))</f>
        <v>0</v>
      </c>
      <c r="C28">
        <f>IF($A28-'Outil Cibles'!E$7=30, ('Outil Cibles'!E$16-'Outil Cibles'!E$11)*0.5*'Outil Cibles'!E$8, IF(B28-'Outil Cibles'!E$7=60, ('Outil Cibles'!E$16-'Outil Cibles'!E$11)*0.5*'Outil Cibles'!E$8, 0))</f>
        <v>0</v>
      </c>
      <c r="D28">
        <f>IF($A28-'Outil Cibles'!F$7=30, ('Outil Cibles'!F$16-'Outil Cibles'!F$11)*0.5*'Outil Cibles'!F$8, IF(C28-'Outil Cibles'!F$7=60, ('Outil Cibles'!F$16-'Outil Cibles'!F$11)*0.5*'Outil Cibles'!F$8, 0))</f>
        <v>0</v>
      </c>
      <c r="E28">
        <f>IF($A28-'Outil Cibles'!G$7=30, ('Outil Cibles'!G$16-'Outil Cibles'!G$11)*0.5*'Outil Cibles'!G$8, IF(D28-'Outil Cibles'!G$7=60, ('Outil Cibles'!G$16-'Outil Cibles'!G$11)*0.5*'Outil Cibles'!G$8, 0))</f>
        <v>0</v>
      </c>
      <c r="F28">
        <f>IF($A28-'Outil Cibles'!H$7=30, ('Outil Cibles'!H$16-'Outil Cibles'!H$11)*0.5*'Outil Cibles'!H$8, IF(E28-'Outil Cibles'!H$7=60, ('Outil Cibles'!H$16-'Outil Cibles'!H$11)*0.5*'Outil Cibles'!H$8, 0))</f>
        <v>0</v>
      </c>
      <c r="G28">
        <f>IF($A28-'Outil Cibles'!I$7=30, ('Outil Cibles'!I$16-'Outil Cibles'!I$11)*0.5*'Outil Cibles'!I$8, IF(F28-'Outil Cibles'!I$7=60, ('Outil Cibles'!I$16-'Outil Cibles'!I$11)*0.5*'Outil Cibles'!I$8, 0))</f>
        <v>0</v>
      </c>
      <c r="H28">
        <f>IF($A28-'Outil Cibles'!J$7=30, ('Outil Cibles'!J$16-'Outil Cibles'!J$11)*0.5*'Outil Cibles'!J$8, IF(G28-'Outil Cibles'!J$7=60, ('Outil Cibles'!J$16-'Outil Cibles'!J$11)*0.5*'Outil Cibles'!J$8, 0))</f>
        <v>0</v>
      </c>
      <c r="I28">
        <f>IF($A28-'Outil Cibles'!K$7=30, ('Outil Cibles'!K$16-'Outil Cibles'!K$11)*0.5*'Outil Cibles'!K$8, IF(H28-'Outil Cibles'!K$7=60, ('Outil Cibles'!K$16-'Outil Cibles'!K$11)*0.5*'Outil Cibles'!K$8, 0))</f>
        <v>0</v>
      </c>
      <c r="J28">
        <f>IF($A28-'Outil Cibles'!L$7=30, ('Outil Cibles'!L$16-'Outil Cibles'!L$11)*0.5*'Outil Cibles'!L$8, IF(I28-'Outil Cibles'!L$7=60, ('Outil Cibles'!L$16-'Outil Cibles'!L$11)*0.5*'Outil Cibles'!L$8, 0))</f>
        <v>0</v>
      </c>
      <c r="K28">
        <f>IF($A28-'Outil Cibles'!M$7=30, ('Outil Cibles'!M$16-'Outil Cibles'!M$11)*0.5*'Outil Cibles'!M$8, IF(J28-'Outil Cibles'!M$7=60, ('Outil Cibles'!M$16-'Outil Cibles'!M$11)*0.5*'Outil Cibles'!M$8, 0))</f>
        <v>0</v>
      </c>
      <c r="L28">
        <f t="shared" si="0"/>
        <v>0</v>
      </c>
      <c r="N28">
        <v>2046</v>
      </c>
      <c r="O28">
        <f>IF(N28='Outil Cibles'!$Q$7, 'Outil Cibles'!$Q$18, 0)</f>
        <v>0</v>
      </c>
      <c r="P28">
        <f>IF(N28='Outil Cibles'!$R$7, 'Outil Cibles'!$R$18, 0)</f>
        <v>0</v>
      </c>
      <c r="Q28">
        <f>IF(N28='Outil Cibles'!$S$7, 'Outil Cibles'!$S$18, 0)</f>
        <v>0</v>
      </c>
      <c r="R28">
        <f>IF(N28='Outil Cibles'!$T$7, 'Outil Cibles'!$T$18, 0)</f>
        <v>0</v>
      </c>
      <c r="S28">
        <f>IF(N28='Outil Cibles'!$U$7, 'Outil Cibles'!$U$18, 0)</f>
        <v>0</v>
      </c>
      <c r="T28">
        <f>IF(N28='Outil Cibles'!$V$7, 'Outil Cibles'!$V$18, 0)</f>
        <v>0</v>
      </c>
      <c r="U28">
        <f>IF(N28='Outil Cibles'!$W$7, 'Outil Cibles'!$W$18, 0)</f>
        <v>0</v>
      </c>
      <c r="V28">
        <f>IF(N28='Outil Cibles'!$X$7, 'Outil Cibles'!$X$18, 0)</f>
        <v>0</v>
      </c>
      <c r="W28">
        <f>IF(N28='Outil Cibles'!$Y$7, 'Outil Cibles'!$Y$18, 0)</f>
        <v>0</v>
      </c>
      <c r="X28">
        <f>IF(N28='Outil Cibles'!$Z$7, 'Outil Cibles'!$Z$18, 0)</f>
        <v>0</v>
      </c>
      <c r="Y28">
        <f t="shared" si="1"/>
        <v>0</v>
      </c>
    </row>
    <row r="29" spans="1:25" x14ac:dyDescent="0.3">
      <c r="A29">
        <v>2047</v>
      </c>
      <c r="B29">
        <f>IF(A29-'Outil Cibles'!D$7=30, ('Outil Cibles'!D$16-'Outil Cibles'!D$11)*0.5*'Outil Cibles'!D$8, IF(A29-'Outil Cibles'!D$7=60, ('Outil Cibles'!D$16-'Outil Cibles'!D$11)*0.5*'Outil Cibles'!D$8, 0))</f>
        <v>0</v>
      </c>
      <c r="C29">
        <f>IF($A29-'Outil Cibles'!E$7=30, ('Outil Cibles'!E$16-'Outil Cibles'!E$11)*0.5*'Outil Cibles'!E$8, IF(B29-'Outil Cibles'!E$7=60, ('Outil Cibles'!E$16-'Outil Cibles'!E$11)*0.5*'Outil Cibles'!E$8, 0))</f>
        <v>0</v>
      </c>
      <c r="D29">
        <f>IF($A29-'Outil Cibles'!F$7=30, ('Outil Cibles'!F$16-'Outil Cibles'!F$11)*0.5*'Outil Cibles'!F$8, IF(C29-'Outil Cibles'!F$7=60, ('Outil Cibles'!F$16-'Outil Cibles'!F$11)*0.5*'Outil Cibles'!F$8, 0))</f>
        <v>0</v>
      </c>
      <c r="E29">
        <f>IF($A29-'Outil Cibles'!G$7=30, ('Outil Cibles'!G$16-'Outil Cibles'!G$11)*0.5*'Outil Cibles'!G$8, IF(D29-'Outil Cibles'!G$7=60, ('Outil Cibles'!G$16-'Outil Cibles'!G$11)*0.5*'Outil Cibles'!G$8, 0))</f>
        <v>0</v>
      </c>
      <c r="F29">
        <f>IF($A29-'Outil Cibles'!H$7=30, ('Outil Cibles'!H$16-'Outil Cibles'!H$11)*0.5*'Outil Cibles'!H$8, IF(E29-'Outil Cibles'!H$7=60, ('Outil Cibles'!H$16-'Outil Cibles'!H$11)*0.5*'Outil Cibles'!H$8, 0))</f>
        <v>0</v>
      </c>
      <c r="G29">
        <f>IF($A29-'Outil Cibles'!I$7=30, ('Outil Cibles'!I$16-'Outil Cibles'!I$11)*0.5*'Outil Cibles'!I$8, IF(F29-'Outil Cibles'!I$7=60, ('Outil Cibles'!I$16-'Outil Cibles'!I$11)*0.5*'Outil Cibles'!I$8, 0))</f>
        <v>0</v>
      </c>
      <c r="H29">
        <f>IF($A29-'Outil Cibles'!J$7=30, ('Outil Cibles'!J$16-'Outil Cibles'!J$11)*0.5*'Outil Cibles'!J$8, IF(G29-'Outil Cibles'!J$7=60, ('Outil Cibles'!J$16-'Outil Cibles'!J$11)*0.5*'Outil Cibles'!J$8, 0))</f>
        <v>0</v>
      </c>
      <c r="I29">
        <f>IF($A29-'Outil Cibles'!K$7=30, ('Outil Cibles'!K$16-'Outil Cibles'!K$11)*0.5*'Outil Cibles'!K$8, IF(H29-'Outil Cibles'!K$7=60, ('Outil Cibles'!K$16-'Outil Cibles'!K$11)*0.5*'Outil Cibles'!K$8, 0))</f>
        <v>0</v>
      </c>
      <c r="J29">
        <f>IF($A29-'Outil Cibles'!L$7=30, ('Outil Cibles'!L$16-'Outil Cibles'!L$11)*0.5*'Outil Cibles'!L$8, IF(I29-'Outil Cibles'!L$7=60, ('Outil Cibles'!L$16-'Outil Cibles'!L$11)*0.5*'Outil Cibles'!L$8, 0))</f>
        <v>0</v>
      </c>
      <c r="K29">
        <f>IF($A29-'Outil Cibles'!M$7=30, ('Outil Cibles'!M$16-'Outil Cibles'!M$11)*0.5*'Outil Cibles'!M$8, IF(J29-'Outil Cibles'!M$7=60, ('Outil Cibles'!M$16-'Outil Cibles'!M$11)*0.5*'Outil Cibles'!M$8, 0))</f>
        <v>0</v>
      </c>
      <c r="L29">
        <f t="shared" si="0"/>
        <v>0</v>
      </c>
      <c r="N29">
        <v>2047</v>
      </c>
      <c r="O29">
        <f>IF(N29='Outil Cibles'!$Q$7, 'Outil Cibles'!$Q$18, 0)</f>
        <v>0</v>
      </c>
      <c r="P29">
        <f>IF(N29='Outil Cibles'!$R$7, 'Outil Cibles'!$R$18, 0)</f>
        <v>0</v>
      </c>
      <c r="Q29">
        <f>IF(N29='Outil Cibles'!$S$7, 'Outil Cibles'!$S$18, 0)</f>
        <v>0</v>
      </c>
      <c r="R29">
        <f>IF(N29='Outil Cibles'!$T$7, 'Outil Cibles'!$T$18, 0)</f>
        <v>0</v>
      </c>
      <c r="S29">
        <f>IF(N29='Outil Cibles'!$U$7, 'Outil Cibles'!$U$18, 0)</f>
        <v>0</v>
      </c>
      <c r="T29">
        <f>IF(N29='Outil Cibles'!$V$7, 'Outil Cibles'!$V$18, 0)</f>
        <v>0</v>
      </c>
      <c r="U29">
        <f>IF(N29='Outil Cibles'!$W$7, 'Outil Cibles'!$W$18, 0)</f>
        <v>0</v>
      </c>
      <c r="V29">
        <f>IF(N29='Outil Cibles'!$X$7, 'Outil Cibles'!$X$18, 0)</f>
        <v>0</v>
      </c>
      <c r="W29">
        <f>IF(N29='Outil Cibles'!$Y$7, 'Outil Cibles'!$Y$18, 0)</f>
        <v>0</v>
      </c>
      <c r="X29">
        <f>IF(N29='Outil Cibles'!$Z$7, 'Outil Cibles'!$Z$18, 0)</f>
        <v>0</v>
      </c>
      <c r="Y29">
        <f t="shared" si="1"/>
        <v>0</v>
      </c>
    </row>
    <row r="30" spans="1:25" x14ac:dyDescent="0.3">
      <c r="A30">
        <v>2048</v>
      </c>
      <c r="B30">
        <f>IF(A30-'Outil Cibles'!D$7=30, ('Outil Cibles'!D$16-'Outil Cibles'!D$11)*0.5*'Outil Cibles'!D$8, IF(A30-'Outil Cibles'!D$7=60, ('Outil Cibles'!D$16-'Outil Cibles'!D$11)*0.5*'Outil Cibles'!D$8, 0))</f>
        <v>0</v>
      </c>
      <c r="C30">
        <f>IF($A30-'Outil Cibles'!E$7=30, ('Outil Cibles'!E$16-'Outil Cibles'!E$11)*0.5*'Outil Cibles'!E$8, IF(B30-'Outil Cibles'!E$7=60, ('Outil Cibles'!E$16-'Outil Cibles'!E$11)*0.5*'Outil Cibles'!E$8, 0))</f>
        <v>0</v>
      </c>
      <c r="D30">
        <f>IF($A30-'Outil Cibles'!F$7=30, ('Outil Cibles'!F$16-'Outil Cibles'!F$11)*0.5*'Outil Cibles'!F$8, IF(C30-'Outil Cibles'!F$7=60, ('Outil Cibles'!F$16-'Outil Cibles'!F$11)*0.5*'Outil Cibles'!F$8, 0))</f>
        <v>0</v>
      </c>
      <c r="E30">
        <f>IF($A30-'Outil Cibles'!G$7=30, ('Outil Cibles'!G$16-'Outil Cibles'!G$11)*0.5*'Outil Cibles'!G$8, IF(D30-'Outil Cibles'!G$7=60, ('Outil Cibles'!G$16-'Outil Cibles'!G$11)*0.5*'Outil Cibles'!G$8, 0))</f>
        <v>0</v>
      </c>
      <c r="F30">
        <f>IF($A30-'Outil Cibles'!H$7=30, ('Outil Cibles'!H$16-'Outil Cibles'!H$11)*0.5*'Outil Cibles'!H$8, IF(E30-'Outil Cibles'!H$7=60, ('Outil Cibles'!H$16-'Outil Cibles'!H$11)*0.5*'Outil Cibles'!H$8, 0))</f>
        <v>0</v>
      </c>
      <c r="G30">
        <f>IF($A30-'Outil Cibles'!I$7=30, ('Outil Cibles'!I$16-'Outil Cibles'!I$11)*0.5*'Outil Cibles'!I$8, IF(F30-'Outil Cibles'!I$7=60, ('Outil Cibles'!I$16-'Outil Cibles'!I$11)*0.5*'Outil Cibles'!I$8, 0))</f>
        <v>0</v>
      </c>
      <c r="H30">
        <f>IF($A30-'Outil Cibles'!J$7=30, ('Outil Cibles'!J$16-'Outil Cibles'!J$11)*0.5*'Outil Cibles'!J$8, IF(G30-'Outil Cibles'!J$7=60, ('Outil Cibles'!J$16-'Outil Cibles'!J$11)*0.5*'Outil Cibles'!J$8, 0))</f>
        <v>0</v>
      </c>
      <c r="I30">
        <f>IF($A30-'Outil Cibles'!K$7=30, ('Outil Cibles'!K$16-'Outil Cibles'!K$11)*0.5*'Outil Cibles'!K$8, IF(H30-'Outil Cibles'!K$7=60, ('Outil Cibles'!K$16-'Outil Cibles'!K$11)*0.5*'Outil Cibles'!K$8, 0))</f>
        <v>0</v>
      </c>
      <c r="J30">
        <f>IF($A30-'Outil Cibles'!L$7=30, ('Outil Cibles'!L$16-'Outil Cibles'!L$11)*0.5*'Outil Cibles'!L$8, IF(I30-'Outil Cibles'!L$7=60, ('Outil Cibles'!L$16-'Outil Cibles'!L$11)*0.5*'Outil Cibles'!L$8, 0))</f>
        <v>0</v>
      </c>
      <c r="K30">
        <f>IF($A30-'Outil Cibles'!M$7=30, ('Outil Cibles'!M$16-'Outil Cibles'!M$11)*0.5*'Outil Cibles'!M$8, IF(J30-'Outil Cibles'!M$7=60, ('Outil Cibles'!M$16-'Outil Cibles'!M$11)*0.5*'Outil Cibles'!M$8, 0))</f>
        <v>0</v>
      </c>
      <c r="L30">
        <f t="shared" si="0"/>
        <v>0</v>
      </c>
      <c r="N30">
        <v>2048</v>
      </c>
      <c r="O30">
        <f>IF(N30='Outil Cibles'!$Q$7, 'Outil Cibles'!$Q$18, 0)</f>
        <v>0</v>
      </c>
      <c r="P30">
        <f>IF(N30='Outil Cibles'!$R$7, 'Outil Cibles'!$R$18, 0)</f>
        <v>0</v>
      </c>
      <c r="Q30">
        <f>IF(N30='Outil Cibles'!$S$7, 'Outil Cibles'!$S$18, 0)</f>
        <v>0</v>
      </c>
      <c r="R30">
        <f>IF(N30='Outil Cibles'!$T$7, 'Outil Cibles'!$T$18, 0)</f>
        <v>0</v>
      </c>
      <c r="S30">
        <f>IF(N30='Outil Cibles'!$U$7, 'Outil Cibles'!$U$18, 0)</f>
        <v>0</v>
      </c>
      <c r="T30">
        <f>IF(N30='Outil Cibles'!$V$7, 'Outil Cibles'!$V$18, 0)</f>
        <v>0</v>
      </c>
      <c r="U30">
        <f>IF(N30='Outil Cibles'!$W$7, 'Outil Cibles'!$W$18, 0)</f>
        <v>0</v>
      </c>
      <c r="V30">
        <f>IF(N30='Outil Cibles'!$X$7, 'Outil Cibles'!$X$18, 0)</f>
        <v>0</v>
      </c>
      <c r="W30">
        <f>IF(N30='Outil Cibles'!$Y$7, 'Outil Cibles'!$Y$18, 0)</f>
        <v>86520.468331042226</v>
      </c>
      <c r="X30">
        <f>IF(N30='Outil Cibles'!$Z$7, 'Outil Cibles'!$Z$18, 0)</f>
        <v>0</v>
      </c>
      <c r="Y30">
        <f t="shared" si="1"/>
        <v>86520.468331042226</v>
      </c>
    </row>
    <row r="31" spans="1:25" x14ac:dyDescent="0.3">
      <c r="A31">
        <v>2049</v>
      </c>
      <c r="B31">
        <f>IF(A31-'Outil Cibles'!D$7=30, ('Outil Cibles'!D$16-'Outil Cibles'!D$11)*0.5*'Outil Cibles'!D$8, IF(A31-'Outil Cibles'!D$7=60, ('Outil Cibles'!D$16-'Outil Cibles'!D$11)*0.5*'Outil Cibles'!D$8, 0))</f>
        <v>0</v>
      </c>
      <c r="C31">
        <f>IF($A31-'Outil Cibles'!E$7=30, ('Outil Cibles'!E$16-'Outil Cibles'!E$11)*0.5*'Outil Cibles'!E$8, IF(B31-'Outil Cibles'!E$7=60, ('Outil Cibles'!E$16-'Outil Cibles'!E$11)*0.5*'Outil Cibles'!E$8, 0))</f>
        <v>0</v>
      </c>
      <c r="D31">
        <f>IF($A31-'Outil Cibles'!F$7=30, ('Outil Cibles'!F$16-'Outil Cibles'!F$11)*0.5*'Outil Cibles'!F$8, IF(C31-'Outil Cibles'!F$7=60, ('Outil Cibles'!F$16-'Outil Cibles'!F$11)*0.5*'Outil Cibles'!F$8, 0))</f>
        <v>0</v>
      </c>
      <c r="E31">
        <f>IF($A31-'Outil Cibles'!G$7=30, ('Outil Cibles'!G$16-'Outil Cibles'!G$11)*0.5*'Outil Cibles'!G$8, IF(D31-'Outil Cibles'!G$7=60, ('Outil Cibles'!G$16-'Outil Cibles'!G$11)*0.5*'Outil Cibles'!G$8, 0))</f>
        <v>0</v>
      </c>
      <c r="F31">
        <f>IF($A31-'Outil Cibles'!H$7=30, ('Outil Cibles'!H$16-'Outil Cibles'!H$11)*0.5*'Outil Cibles'!H$8, IF(E31-'Outil Cibles'!H$7=60, ('Outil Cibles'!H$16-'Outil Cibles'!H$11)*0.5*'Outil Cibles'!H$8, 0))</f>
        <v>0</v>
      </c>
      <c r="G31">
        <f>IF($A31-'Outil Cibles'!I$7=30, ('Outil Cibles'!I$16-'Outil Cibles'!I$11)*0.5*'Outil Cibles'!I$8, IF(F31-'Outil Cibles'!I$7=60, ('Outil Cibles'!I$16-'Outil Cibles'!I$11)*0.5*'Outil Cibles'!I$8, 0))</f>
        <v>0</v>
      </c>
      <c r="H31">
        <f>IF($A31-'Outil Cibles'!J$7=30, ('Outil Cibles'!J$16-'Outil Cibles'!J$11)*0.5*'Outil Cibles'!J$8, IF(G31-'Outil Cibles'!J$7=60, ('Outil Cibles'!J$16-'Outil Cibles'!J$11)*0.5*'Outil Cibles'!J$8, 0))</f>
        <v>0</v>
      </c>
      <c r="I31">
        <f>IF($A31-'Outil Cibles'!K$7=30, ('Outil Cibles'!K$16-'Outil Cibles'!K$11)*0.5*'Outil Cibles'!K$8, IF(H31-'Outil Cibles'!K$7=60, ('Outil Cibles'!K$16-'Outil Cibles'!K$11)*0.5*'Outil Cibles'!K$8, 0))</f>
        <v>0</v>
      </c>
      <c r="J31">
        <f>IF($A31-'Outil Cibles'!L$7=30, ('Outil Cibles'!L$16-'Outil Cibles'!L$11)*0.5*'Outil Cibles'!L$8, IF(I31-'Outil Cibles'!L$7=60, ('Outil Cibles'!L$16-'Outil Cibles'!L$11)*0.5*'Outil Cibles'!L$8, 0))</f>
        <v>0</v>
      </c>
      <c r="K31">
        <f>IF($A31-'Outil Cibles'!M$7=30, ('Outil Cibles'!M$16-'Outil Cibles'!M$11)*0.5*'Outil Cibles'!M$8, IF(J31-'Outil Cibles'!M$7=60, ('Outil Cibles'!M$16-'Outil Cibles'!M$11)*0.5*'Outil Cibles'!M$8, 0))</f>
        <v>0</v>
      </c>
      <c r="L31">
        <f t="shared" si="0"/>
        <v>0</v>
      </c>
      <c r="N31">
        <v>2049</v>
      </c>
      <c r="O31">
        <f>IF(N31='Outil Cibles'!$Q$7, 'Outil Cibles'!$Q$18, 0)</f>
        <v>0</v>
      </c>
      <c r="P31">
        <f>IF(N31='Outil Cibles'!$R$7, 'Outil Cibles'!$R$18, 0)</f>
        <v>0</v>
      </c>
      <c r="Q31">
        <f>IF(N31='Outil Cibles'!$S$7, 'Outil Cibles'!$S$18, 0)</f>
        <v>0</v>
      </c>
      <c r="R31">
        <f>IF(N31='Outil Cibles'!$T$7, 'Outil Cibles'!$T$18, 0)</f>
        <v>0</v>
      </c>
      <c r="S31">
        <f>IF(N31='Outil Cibles'!$U$7, 'Outil Cibles'!$U$18, 0)</f>
        <v>0</v>
      </c>
      <c r="T31">
        <f>IF(N31='Outil Cibles'!$V$7, 'Outil Cibles'!$V$18, 0)</f>
        <v>0</v>
      </c>
      <c r="U31">
        <f>IF(N31='Outil Cibles'!$W$7, 'Outil Cibles'!$W$18, 0)</f>
        <v>0</v>
      </c>
      <c r="V31">
        <f>IF(N31='Outil Cibles'!$X$7, 'Outil Cibles'!$X$18, 0)</f>
        <v>0</v>
      </c>
      <c r="W31">
        <f>IF(N31='Outil Cibles'!$Y$7, 'Outil Cibles'!$Y$18, 0)</f>
        <v>0</v>
      </c>
      <c r="X31">
        <f>IF(N31='Outil Cibles'!$Z$7, 'Outil Cibles'!$Z$18, 0)</f>
        <v>0</v>
      </c>
      <c r="Y31">
        <f t="shared" si="1"/>
        <v>0</v>
      </c>
    </row>
    <row r="32" spans="1:25" x14ac:dyDescent="0.3">
      <c r="A32" s="10">
        <v>2050</v>
      </c>
      <c r="B32">
        <f>IF(A32-'Outil Cibles'!D$7=30, ('Outil Cibles'!D$16-'Outil Cibles'!D$11)*0.5*'Outil Cibles'!D$8, IF(A32-'Outil Cibles'!D$7=60, ('Outil Cibles'!D$16-'Outil Cibles'!D$11)*0.5*'Outil Cibles'!D$8, 0))</f>
        <v>0</v>
      </c>
      <c r="C32">
        <f>IF($A32-'Outil Cibles'!E$7=30, ('Outil Cibles'!E$16-'Outil Cibles'!E$11)*0.5*'Outil Cibles'!E$8, IF(B32-'Outil Cibles'!E$7=60, ('Outil Cibles'!E$16-'Outil Cibles'!E$11)*0.5*'Outil Cibles'!E$8, 0))</f>
        <v>0</v>
      </c>
      <c r="D32">
        <f>IF($A32-'Outil Cibles'!F$7=30, ('Outil Cibles'!F$16-'Outil Cibles'!F$11)*0.5*'Outil Cibles'!F$8, IF(C32-'Outil Cibles'!F$7=60, ('Outil Cibles'!F$16-'Outil Cibles'!F$11)*0.5*'Outil Cibles'!F$8, 0))</f>
        <v>0</v>
      </c>
      <c r="E32">
        <f>IF($A32-'Outil Cibles'!G$7=30, ('Outil Cibles'!G$16-'Outil Cibles'!G$11)*0.5*'Outil Cibles'!G$8, IF(D32-'Outil Cibles'!G$7=60, ('Outil Cibles'!G$16-'Outil Cibles'!G$11)*0.5*'Outil Cibles'!G$8, 0))</f>
        <v>0</v>
      </c>
      <c r="F32">
        <f>IF($A32-'Outil Cibles'!H$7=30, ('Outil Cibles'!H$16-'Outil Cibles'!H$11)*0.5*'Outil Cibles'!H$8, IF(E32-'Outil Cibles'!H$7=60, ('Outil Cibles'!H$16-'Outil Cibles'!H$11)*0.5*'Outil Cibles'!H$8, 0))</f>
        <v>0</v>
      </c>
      <c r="G32">
        <f>IF($A32-'Outil Cibles'!I$7=30, ('Outil Cibles'!I$16-'Outil Cibles'!I$11)*0.5*'Outil Cibles'!I$8, IF(F32-'Outil Cibles'!I$7=60, ('Outil Cibles'!I$16-'Outil Cibles'!I$11)*0.5*'Outil Cibles'!I$8, 0))</f>
        <v>0</v>
      </c>
      <c r="H32">
        <f>IF($A32-'Outil Cibles'!J$7=30, ('Outil Cibles'!J$16-'Outil Cibles'!J$11)*0.5*'Outil Cibles'!J$8, IF(G32-'Outil Cibles'!J$7=60, ('Outil Cibles'!J$16-'Outil Cibles'!J$11)*0.5*'Outil Cibles'!J$8, 0))</f>
        <v>0</v>
      </c>
      <c r="I32">
        <f>IF($A32-'Outil Cibles'!K$7=30, ('Outil Cibles'!K$16-'Outil Cibles'!K$11)*0.5*'Outil Cibles'!K$8, IF(H32-'Outil Cibles'!K$7=60, ('Outil Cibles'!K$16-'Outil Cibles'!K$11)*0.5*'Outil Cibles'!K$8, 0))</f>
        <v>0</v>
      </c>
      <c r="J32">
        <f>IF($A32-'Outil Cibles'!L$7=30, ('Outil Cibles'!L$16-'Outil Cibles'!L$11)*0.5*'Outil Cibles'!L$8, IF(I32-'Outil Cibles'!L$7=60, ('Outil Cibles'!L$16-'Outil Cibles'!L$11)*0.5*'Outil Cibles'!L$8, 0))</f>
        <v>0</v>
      </c>
      <c r="K32">
        <f>IF($A32-'Outil Cibles'!M$7=30, ('Outil Cibles'!M$16-'Outil Cibles'!M$11)*0.5*'Outil Cibles'!M$8, IF(J32-'Outil Cibles'!M$7=60, ('Outil Cibles'!M$16-'Outil Cibles'!M$11)*0.5*'Outil Cibles'!M$8, 0))</f>
        <v>0</v>
      </c>
      <c r="L32">
        <f t="shared" si="0"/>
        <v>0</v>
      </c>
      <c r="N32" s="10">
        <v>2050</v>
      </c>
      <c r="O32">
        <f>IF(N32='Outil Cibles'!$Q$7, 'Outil Cibles'!$Q$18, 0)</f>
        <v>0</v>
      </c>
      <c r="P32">
        <f>IF(N32='Outil Cibles'!$R$7, 'Outil Cibles'!$R$18, 0)</f>
        <v>0</v>
      </c>
      <c r="Q32">
        <f>IF(N32='Outil Cibles'!$S$7, 'Outil Cibles'!$S$18, 0)</f>
        <v>0</v>
      </c>
      <c r="R32">
        <f>IF(N32='Outil Cibles'!$T$7, 'Outil Cibles'!$T$18, 0)</f>
        <v>0</v>
      </c>
      <c r="S32">
        <f>IF(N32='Outil Cibles'!$U$7, 'Outil Cibles'!$U$18, 0)</f>
        <v>0</v>
      </c>
      <c r="T32">
        <f>IF(N32='Outil Cibles'!$V$7, 'Outil Cibles'!$V$18, 0)</f>
        <v>0</v>
      </c>
      <c r="U32">
        <f>IF(N32='Outil Cibles'!$W$7, 'Outil Cibles'!$W$18, 0)</f>
        <v>0</v>
      </c>
      <c r="V32">
        <f>IF(N32='Outil Cibles'!$X$7, 'Outil Cibles'!$X$18, 0)</f>
        <v>0</v>
      </c>
      <c r="W32">
        <f>IF(N32='Outil Cibles'!$Y$7, 'Outil Cibles'!$Y$18, 0)</f>
        <v>0</v>
      </c>
      <c r="X32">
        <f>IF(N32='Outil Cibles'!$Z$7, 'Outil Cibles'!$Z$18, 0)</f>
        <v>74196.598619472104</v>
      </c>
      <c r="Y32">
        <f t="shared" si="1"/>
        <v>74196.598619472104</v>
      </c>
    </row>
    <row r="33" spans="1:25" x14ac:dyDescent="0.3">
      <c r="A33">
        <v>2051</v>
      </c>
      <c r="B33">
        <f>IF(A33-'Outil Cibles'!D$7=30, ('Outil Cibles'!D$16-'Outil Cibles'!D$11)*0.5*'Outil Cibles'!D$8, IF(A33-'Outil Cibles'!D$7=60, ('Outil Cibles'!D$16-'Outil Cibles'!D$11)*0.5*'Outil Cibles'!D$8, 0))</f>
        <v>0</v>
      </c>
      <c r="C33">
        <f>IF($A33-'Outil Cibles'!E$7=30, ('Outil Cibles'!E$16-'Outil Cibles'!E$11)*0.5*'Outil Cibles'!E$8, IF(B33-'Outil Cibles'!E$7=60, ('Outil Cibles'!E$16-'Outil Cibles'!E$11)*0.5*'Outil Cibles'!E$8, 0))</f>
        <v>0</v>
      </c>
      <c r="D33">
        <f>IF($A33-'Outil Cibles'!F$7=30, ('Outil Cibles'!F$16-'Outil Cibles'!F$11)*0.5*'Outil Cibles'!F$8, IF(C33-'Outil Cibles'!F$7=60, ('Outil Cibles'!F$16-'Outil Cibles'!F$11)*0.5*'Outil Cibles'!F$8, 0))</f>
        <v>0</v>
      </c>
      <c r="E33">
        <f>IF($A33-'Outil Cibles'!G$7=30, ('Outil Cibles'!G$16-'Outil Cibles'!G$11)*0.5*'Outil Cibles'!G$8, IF(D33-'Outil Cibles'!G$7=60, ('Outil Cibles'!G$16-'Outil Cibles'!G$11)*0.5*'Outil Cibles'!G$8, 0))</f>
        <v>0</v>
      </c>
      <c r="F33">
        <f>IF($A33-'Outil Cibles'!H$7=30, ('Outil Cibles'!H$16-'Outil Cibles'!H$11)*0.5*'Outil Cibles'!H$8, IF(E33-'Outil Cibles'!H$7=60, ('Outil Cibles'!H$16-'Outil Cibles'!H$11)*0.5*'Outil Cibles'!H$8, 0))</f>
        <v>0</v>
      </c>
      <c r="G33">
        <f>IF($A33-'Outil Cibles'!I$7=30, ('Outil Cibles'!I$16-'Outil Cibles'!I$11)*0.5*'Outil Cibles'!I$8, IF(F33-'Outil Cibles'!I$7=60, ('Outil Cibles'!I$16-'Outil Cibles'!I$11)*0.5*'Outil Cibles'!I$8, 0))</f>
        <v>0</v>
      </c>
      <c r="H33">
        <f>IF($A33-'Outil Cibles'!J$7=30, ('Outil Cibles'!J$16-'Outil Cibles'!J$11)*0.5*'Outil Cibles'!J$8, IF(G33-'Outil Cibles'!J$7=60, ('Outil Cibles'!J$16-'Outil Cibles'!J$11)*0.5*'Outil Cibles'!J$8, 0))</f>
        <v>0</v>
      </c>
      <c r="I33">
        <f>IF($A33-'Outil Cibles'!K$7=30, ('Outil Cibles'!K$16-'Outil Cibles'!K$11)*0.5*'Outil Cibles'!K$8, IF(H33-'Outil Cibles'!K$7=60, ('Outil Cibles'!K$16-'Outil Cibles'!K$11)*0.5*'Outil Cibles'!K$8, 0))</f>
        <v>0</v>
      </c>
      <c r="J33">
        <f>IF($A33-'Outil Cibles'!L$7=30, ('Outil Cibles'!L$16-'Outil Cibles'!L$11)*0.5*'Outil Cibles'!L$8, IF(I33-'Outil Cibles'!L$7=60, ('Outil Cibles'!L$16-'Outil Cibles'!L$11)*0.5*'Outil Cibles'!L$8, 0))</f>
        <v>0</v>
      </c>
      <c r="K33">
        <f>IF($A33-'Outil Cibles'!M$7=30, ('Outil Cibles'!M$16-'Outil Cibles'!M$11)*0.5*'Outil Cibles'!M$8, IF(J33-'Outil Cibles'!M$7=60, ('Outil Cibles'!M$16-'Outil Cibles'!M$11)*0.5*'Outil Cibles'!M$8, 0))</f>
        <v>0</v>
      </c>
      <c r="L33">
        <f t="shared" si="0"/>
        <v>0</v>
      </c>
      <c r="N33">
        <v>2051</v>
      </c>
      <c r="O33">
        <f>IF(N33='Outil Cibles'!$Q$7, 'Outil Cibles'!$Q$18, 0)</f>
        <v>0</v>
      </c>
      <c r="P33">
        <f>IF(N33='Outil Cibles'!$R$7, 'Outil Cibles'!$R$18, 0)</f>
        <v>0</v>
      </c>
      <c r="Q33">
        <f>IF(N33='Outil Cibles'!$S$7, 'Outil Cibles'!$S$18, 0)</f>
        <v>0</v>
      </c>
      <c r="R33">
        <f>IF(N33='Outil Cibles'!$T$7, 'Outil Cibles'!$T$18, 0)</f>
        <v>0</v>
      </c>
      <c r="S33">
        <f>IF(N33='Outil Cibles'!$U$7, 'Outil Cibles'!$U$18, 0)</f>
        <v>0</v>
      </c>
      <c r="T33">
        <f>IF(N33='Outil Cibles'!$V$7, 'Outil Cibles'!$V$18, 0)</f>
        <v>0</v>
      </c>
      <c r="U33">
        <f>IF(N33='Outil Cibles'!$W$7, 'Outil Cibles'!$W$18, 0)</f>
        <v>0</v>
      </c>
      <c r="V33">
        <f>IF(N33='Outil Cibles'!$X$7, 'Outil Cibles'!$X$18, 0)</f>
        <v>0</v>
      </c>
      <c r="W33">
        <f>IF(N33='Outil Cibles'!$Y$7, 'Outil Cibles'!$Y$18, 0)</f>
        <v>0</v>
      </c>
      <c r="X33">
        <f>IF(N33='Outil Cibles'!$Z$7, 'Outil Cibles'!$Z$18, 0)</f>
        <v>0</v>
      </c>
      <c r="Y33">
        <f t="shared" si="1"/>
        <v>0</v>
      </c>
    </row>
    <row r="34" spans="1:25" x14ac:dyDescent="0.3">
      <c r="A34">
        <v>2052</v>
      </c>
      <c r="B34">
        <f>IF(A34-'Outil Cibles'!D$7=30, ('Outil Cibles'!D$16-'Outil Cibles'!D$11)*0.5*'Outil Cibles'!D$8, IF(A34-'Outil Cibles'!D$7=60, ('Outil Cibles'!D$16-'Outil Cibles'!D$11)*0.5*'Outil Cibles'!D$8, 0))</f>
        <v>0</v>
      </c>
      <c r="C34">
        <f>IF($A34-'Outil Cibles'!E$7=30, ('Outil Cibles'!E$16-'Outil Cibles'!E$11)*0.5*'Outil Cibles'!E$8, IF(B34-'Outil Cibles'!E$7=60, ('Outil Cibles'!E$16-'Outil Cibles'!E$11)*0.5*'Outil Cibles'!E$8, 0))</f>
        <v>0</v>
      </c>
      <c r="D34">
        <f>IF($A34-'Outil Cibles'!F$7=30, ('Outil Cibles'!F$16-'Outil Cibles'!F$11)*0.5*'Outil Cibles'!F$8, IF(C34-'Outil Cibles'!F$7=60, ('Outil Cibles'!F$16-'Outil Cibles'!F$11)*0.5*'Outil Cibles'!F$8, 0))</f>
        <v>0</v>
      </c>
      <c r="E34">
        <f>IF($A34-'Outil Cibles'!G$7=30, ('Outil Cibles'!G$16-'Outil Cibles'!G$11)*0.5*'Outil Cibles'!G$8, IF(D34-'Outil Cibles'!G$7=60, ('Outil Cibles'!G$16-'Outil Cibles'!G$11)*0.5*'Outil Cibles'!G$8, 0))</f>
        <v>0</v>
      </c>
      <c r="F34">
        <f>IF($A34-'Outil Cibles'!H$7=30, ('Outil Cibles'!H$16-'Outil Cibles'!H$11)*0.5*'Outil Cibles'!H$8, IF(E34-'Outil Cibles'!H$7=60, ('Outil Cibles'!H$16-'Outil Cibles'!H$11)*0.5*'Outil Cibles'!H$8, 0))</f>
        <v>0</v>
      </c>
      <c r="G34">
        <f>IF($A34-'Outil Cibles'!I$7=30, ('Outil Cibles'!I$16-'Outil Cibles'!I$11)*0.5*'Outil Cibles'!I$8, IF(F34-'Outil Cibles'!I$7=60, ('Outil Cibles'!I$16-'Outil Cibles'!I$11)*0.5*'Outil Cibles'!I$8, 0))</f>
        <v>0</v>
      </c>
      <c r="H34">
        <f>IF($A34-'Outil Cibles'!J$7=30, ('Outil Cibles'!J$16-'Outil Cibles'!J$11)*0.5*'Outil Cibles'!J$8, IF(G34-'Outil Cibles'!J$7=60, ('Outil Cibles'!J$16-'Outil Cibles'!J$11)*0.5*'Outil Cibles'!J$8, 0))</f>
        <v>0</v>
      </c>
      <c r="I34">
        <f>IF($A34-'Outil Cibles'!K$7=30, ('Outil Cibles'!K$16-'Outil Cibles'!K$11)*0.5*'Outil Cibles'!K$8, IF(H34-'Outil Cibles'!K$7=60, ('Outil Cibles'!K$16-'Outil Cibles'!K$11)*0.5*'Outil Cibles'!K$8, 0))</f>
        <v>0</v>
      </c>
      <c r="J34">
        <f>IF($A34-'Outil Cibles'!L$7=30, ('Outil Cibles'!L$16-'Outil Cibles'!L$11)*0.5*'Outil Cibles'!L$8, IF(I34-'Outil Cibles'!L$7=60, ('Outil Cibles'!L$16-'Outil Cibles'!L$11)*0.5*'Outil Cibles'!L$8, 0))</f>
        <v>0</v>
      </c>
      <c r="K34">
        <f>IF($A34-'Outil Cibles'!M$7=30, ('Outil Cibles'!M$16-'Outil Cibles'!M$11)*0.5*'Outil Cibles'!M$8, IF(J34-'Outil Cibles'!M$7=60, ('Outil Cibles'!M$16-'Outil Cibles'!M$11)*0.5*'Outil Cibles'!M$8, 0))</f>
        <v>0</v>
      </c>
      <c r="L34">
        <f t="shared" si="0"/>
        <v>0</v>
      </c>
      <c r="N34">
        <v>2052</v>
      </c>
      <c r="O34">
        <f>IF(N34='Outil Cibles'!$Q$7, 'Outil Cibles'!$Q$18, 0)</f>
        <v>0</v>
      </c>
      <c r="P34">
        <f>IF(N34='Outil Cibles'!$R$7, 'Outil Cibles'!$R$18, 0)</f>
        <v>0</v>
      </c>
      <c r="Q34">
        <f>IF(N34='Outil Cibles'!$S$7, 'Outil Cibles'!$S$18, 0)</f>
        <v>0</v>
      </c>
      <c r="R34">
        <f>IF(N34='Outil Cibles'!$T$7, 'Outil Cibles'!$T$18, 0)</f>
        <v>0</v>
      </c>
      <c r="S34">
        <f>IF(N34='Outil Cibles'!$U$7, 'Outil Cibles'!$U$18, 0)</f>
        <v>0</v>
      </c>
      <c r="T34">
        <f>IF(N34='Outil Cibles'!$V$7, 'Outil Cibles'!$V$18, 0)</f>
        <v>0</v>
      </c>
      <c r="U34">
        <f>IF(N34='Outil Cibles'!$W$7, 'Outil Cibles'!$W$18, 0)</f>
        <v>0</v>
      </c>
      <c r="V34">
        <f>IF(N34='Outil Cibles'!$X$7, 'Outil Cibles'!$X$18, 0)</f>
        <v>0</v>
      </c>
      <c r="W34">
        <f>IF(N34='Outil Cibles'!$Y$7, 'Outil Cibles'!$Y$18, 0)</f>
        <v>0</v>
      </c>
      <c r="X34">
        <f>IF(N34='Outil Cibles'!$Z$7, 'Outil Cibles'!$Z$18, 0)</f>
        <v>0</v>
      </c>
      <c r="Y34">
        <f t="shared" si="1"/>
        <v>0</v>
      </c>
    </row>
    <row r="35" spans="1:25" x14ac:dyDescent="0.3">
      <c r="A35">
        <v>2053</v>
      </c>
      <c r="B35">
        <f>IF(A35-'Outil Cibles'!D$7=30, ('Outil Cibles'!D$16-'Outil Cibles'!D$11)*0.5*'Outil Cibles'!D$8, IF(A35-'Outil Cibles'!D$7=60, ('Outil Cibles'!D$16-'Outil Cibles'!D$11)*0.5*'Outil Cibles'!D$8, 0))</f>
        <v>0</v>
      </c>
      <c r="C35">
        <f>IF($A35-'Outil Cibles'!E$7=30, ('Outil Cibles'!E$16-'Outil Cibles'!E$11)*0.5*'Outil Cibles'!E$8, IF(B35-'Outil Cibles'!E$7=60, ('Outil Cibles'!E$16-'Outil Cibles'!E$11)*0.5*'Outil Cibles'!E$8, 0))</f>
        <v>0</v>
      </c>
      <c r="D35">
        <f>IF($A35-'Outil Cibles'!F$7=30, ('Outil Cibles'!F$16-'Outil Cibles'!F$11)*0.5*'Outil Cibles'!F$8, IF(C35-'Outil Cibles'!F$7=60, ('Outil Cibles'!F$16-'Outil Cibles'!F$11)*0.5*'Outil Cibles'!F$8, 0))</f>
        <v>0</v>
      </c>
      <c r="E35">
        <f>IF($A35-'Outil Cibles'!G$7=30, ('Outil Cibles'!G$16-'Outil Cibles'!G$11)*0.5*'Outil Cibles'!G$8, IF(D35-'Outil Cibles'!G$7=60, ('Outil Cibles'!G$16-'Outil Cibles'!G$11)*0.5*'Outil Cibles'!G$8, 0))</f>
        <v>0</v>
      </c>
      <c r="F35">
        <f>IF($A35-'Outil Cibles'!H$7=30, ('Outil Cibles'!H$16-'Outil Cibles'!H$11)*0.5*'Outil Cibles'!H$8, IF(E35-'Outil Cibles'!H$7=60, ('Outil Cibles'!H$16-'Outil Cibles'!H$11)*0.5*'Outil Cibles'!H$8, 0))</f>
        <v>0</v>
      </c>
      <c r="G35">
        <f>IF($A35-'Outil Cibles'!I$7=30, ('Outil Cibles'!I$16-'Outil Cibles'!I$11)*0.5*'Outil Cibles'!I$8, IF(F35-'Outil Cibles'!I$7=60, ('Outil Cibles'!I$16-'Outil Cibles'!I$11)*0.5*'Outil Cibles'!I$8, 0))</f>
        <v>0</v>
      </c>
      <c r="H35">
        <f>IF($A35-'Outil Cibles'!J$7=30, ('Outil Cibles'!J$16-'Outil Cibles'!J$11)*0.5*'Outil Cibles'!J$8, IF(G35-'Outil Cibles'!J$7=60, ('Outil Cibles'!J$16-'Outil Cibles'!J$11)*0.5*'Outil Cibles'!J$8, 0))</f>
        <v>0</v>
      </c>
      <c r="I35">
        <f>IF($A35-'Outil Cibles'!K$7=30, ('Outil Cibles'!K$16-'Outil Cibles'!K$11)*0.5*'Outil Cibles'!K$8, IF(H35-'Outil Cibles'!K$7=60, ('Outil Cibles'!K$16-'Outil Cibles'!K$11)*0.5*'Outil Cibles'!K$8, 0))</f>
        <v>0</v>
      </c>
      <c r="J35">
        <f>IF($A35-'Outil Cibles'!L$7=30, ('Outil Cibles'!L$16-'Outil Cibles'!L$11)*0.5*'Outil Cibles'!L$8, IF(I35-'Outil Cibles'!L$7=60, ('Outil Cibles'!L$16-'Outil Cibles'!L$11)*0.5*'Outil Cibles'!L$8, 0))</f>
        <v>0</v>
      </c>
      <c r="K35">
        <f>IF($A35-'Outil Cibles'!M$7=30, ('Outil Cibles'!M$16-'Outil Cibles'!M$11)*0.5*'Outil Cibles'!M$8, IF(J35-'Outil Cibles'!M$7=60, ('Outil Cibles'!M$16-'Outil Cibles'!M$11)*0.5*'Outil Cibles'!M$8, 0))</f>
        <v>0</v>
      </c>
      <c r="L35">
        <f t="shared" si="0"/>
        <v>0</v>
      </c>
      <c r="N35">
        <v>2053</v>
      </c>
      <c r="O35">
        <f>IF(N35='Outil Cibles'!$Q$7, 'Outil Cibles'!$Q$18, 0)</f>
        <v>0</v>
      </c>
      <c r="P35">
        <f>IF(N35='Outil Cibles'!$R$7, 'Outil Cibles'!$R$18, 0)</f>
        <v>0</v>
      </c>
      <c r="Q35">
        <f>IF(N35='Outil Cibles'!$S$7, 'Outil Cibles'!$S$18, 0)</f>
        <v>0</v>
      </c>
      <c r="R35">
        <f>IF(N35='Outil Cibles'!$T$7, 'Outil Cibles'!$T$18, 0)</f>
        <v>0</v>
      </c>
      <c r="S35">
        <f>IF(N35='Outil Cibles'!$U$7, 'Outil Cibles'!$U$18, 0)</f>
        <v>0</v>
      </c>
      <c r="T35">
        <f>IF(N35='Outil Cibles'!$V$7, 'Outil Cibles'!$V$18, 0)</f>
        <v>0</v>
      </c>
      <c r="U35">
        <f>IF(N35='Outil Cibles'!$W$7, 'Outil Cibles'!$W$18, 0)</f>
        <v>0</v>
      </c>
      <c r="V35">
        <f>IF(N35='Outil Cibles'!$X$7, 'Outil Cibles'!$X$18, 0)</f>
        <v>0</v>
      </c>
      <c r="W35">
        <f>IF(N35='Outil Cibles'!$Y$7, 'Outil Cibles'!$Y$18, 0)</f>
        <v>0</v>
      </c>
      <c r="X35">
        <f>IF(N35='Outil Cibles'!$Z$7, 'Outil Cibles'!$Z$18, 0)</f>
        <v>0</v>
      </c>
      <c r="Y35">
        <f t="shared" si="1"/>
        <v>0</v>
      </c>
    </row>
    <row r="36" spans="1:25" x14ac:dyDescent="0.3">
      <c r="A36" s="10">
        <v>2054</v>
      </c>
      <c r="B36">
        <f>IF(A36-'Outil Cibles'!D$7=30, ('Outil Cibles'!D$16-'Outil Cibles'!D$11)*0.5*'Outil Cibles'!D$8, IF(A36-'Outil Cibles'!D$7=60, ('Outil Cibles'!D$16-'Outil Cibles'!D$11)*0.5*'Outil Cibles'!D$8, 0))</f>
        <v>23392.425177095844</v>
      </c>
      <c r="C36">
        <f>IF($A36-'Outil Cibles'!E$7=30, ('Outil Cibles'!E$16-'Outil Cibles'!E$11)*0.5*'Outil Cibles'!E$8, IF(B36-'Outil Cibles'!E$7=60, ('Outil Cibles'!E$16-'Outil Cibles'!E$11)*0.5*'Outil Cibles'!E$8, 0))</f>
        <v>0</v>
      </c>
      <c r="D36">
        <f>IF($A36-'Outil Cibles'!F$7=30, ('Outil Cibles'!F$16-'Outil Cibles'!F$11)*0.5*'Outil Cibles'!F$8, IF(C36-'Outil Cibles'!F$7=60, ('Outil Cibles'!F$16-'Outil Cibles'!F$11)*0.5*'Outil Cibles'!F$8, 0))</f>
        <v>0</v>
      </c>
      <c r="E36">
        <f>IF($A36-'Outil Cibles'!G$7=30, ('Outil Cibles'!G$16-'Outil Cibles'!G$11)*0.5*'Outil Cibles'!G$8, IF(D36-'Outil Cibles'!G$7=60, ('Outil Cibles'!G$16-'Outil Cibles'!G$11)*0.5*'Outil Cibles'!G$8, 0))</f>
        <v>0</v>
      </c>
      <c r="F36">
        <f>IF($A36-'Outil Cibles'!H$7=30, ('Outil Cibles'!H$16-'Outil Cibles'!H$11)*0.5*'Outil Cibles'!H$8, IF(E36-'Outil Cibles'!H$7=60, ('Outil Cibles'!H$16-'Outil Cibles'!H$11)*0.5*'Outil Cibles'!H$8, 0))</f>
        <v>0</v>
      </c>
      <c r="G36">
        <f>IF($A36-'Outil Cibles'!I$7=30, ('Outil Cibles'!I$16-'Outil Cibles'!I$11)*0.5*'Outil Cibles'!I$8, IF(F36-'Outil Cibles'!I$7=60, ('Outil Cibles'!I$16-'Outil Cibles'!I$11)*0.5*'Outil Cibles'!I$8, 0))</f>
        <v>0</v>
      </c>
      <c r="H36">
        <f>IF($A36-'Outil Cibles'!J$7=30, ('Outil Cibles'!J$16-'Outil Cibles'!J$11)*0.5*'Outil Cibles'!J$8, IF(G36-'Outil Cibles'!J$7=60, ('Outil Cibles'!J$16-'Outil Cibles'!J$11)*0.5*'Outil Cibles'!J$8, 0))</f>
        <v>0</v>
      </c>
      <c r="I36">
        <f>IF($A36-'Outil Cibles'!K$7=30, ('Outil Cibles'!K$16-'Outil Cibles'!K$11)*0.5*'Outil Cibles'!K$8, IF(H36-'Outil Cibles'!K$7=60, ('Outil Cibles'!K$16-'Outil Cibles'!K$11)*0.5*'Outil Cibles'!K$8, 0))</f>
        <v>0</v>
      </c>
      <c r="J36">
        <f>IF($A36-'Outil Cibles'!L$7=30, ('Outil Cibles'!L$16-'Outil Cibles'!L$11)*0.5*'Outil Cibles'!L$8, IF(I36-'Outil Cibles'!L$7=60, ('Outil Cibles'!L$16-'Outil Cibles'!L$11)*0.5*'Outil Cibles'!L$8, 0))</f>
        <v>0</v>
      </c>
      <c r="K36">
        <f>IF($A36-'Outil Cibles'!M$7=30, ('Outil Cibles'!M$16-'Outil Cibles'!M$11)*0.5*'Outil Cibles'!M$8, IF(J36-'Outil Cibles'!M$7=60, ('Outil Cibles'!M$16-'Outil Cibles'!M$11)*0.5*'Outil Cibles'!M$8, 0))</f>
        <v>0</v>
      </c>
      <c r="L36">
        <f t="shared" si="0"/>
        <v>23392.425177095844</v>
      </c>
      <c r="N36" s="10">
        <v>2054</v>
      </c>
      <c r="O36">
        <f>IF(N36='Outil Cibles'!$Q$7, 'Outil Cibles'!$Q$18, 0)</f>
        <v>0</v>
      </c>
      <c r="P36">
        <f>IF(N36='Outil Cibles'!$R$7, 'Outil Cibles'!$R$18, 0)</f>
        <v>0</v>
      </c>
      <c r="Q36">
        <f>IF(N36='Outil Cibles'!$S$7, 'Outil Cibles'!$S$18, 0)</f>
        <v>0</v>
      </c>
      <c r="R36">
        <f>IF(N36='Outil Cibles'!$T$7, 'Outil Cibles'!$T$18, 0)</f>
        <v>0</v>
      </c>
      <c r="S36">
        <f>IF(N36='Outil Cibles'!$U$7, 'Outil Cibles'!$U$18, 0)</f>
        <v>0</v>
      </c>
      <c r="T36">
        <f>IF(N36='Outil Cibles'!$V$7, 'Outil Cibles'!$V$18, 0)</f>
        <v>0</v>
      </c>
      <c r="U36">
        <f>IF(N36='Outil Cibles'!$W$7, 'Outil Cibles'!$W$18, 0)</f>
        <v>0</v>
      </c>
      <c r="V36">
        <f>IF(N36='Outil Cibles'!$X$7, 'Outil Cibles'!$X$18, 0)</f>
        <v>0</v>
      </c>
      <c r="W36">
        <f>IF(N36='Outil Cibles'!$Y$7, 'Outil Cibles'!$Y$18, 0)</f>
        <v>0</v>
      </c>
      <c r="X36">
        <f>IF(N36='Outil Cibles'!$Z$7, 'Outil Cibles'!$Z$18, 0)</f>
        <v>0</v>
      </c>
      <c r="Y36">
        <f t="shared" si="1"/>
        <v>0</v>
      </c>
    </row>
    <row r="37" spans="1:25" x14ac:dyDescent="0.3">
      <c r="A37">
        <v>2055</v>
      </c>
      <c r="B37">
        <f>IF(A37-'Outil Cibles'!D$7=30, ('Outil Cibles'!D$16-'Outil Cibles'!D$11)*0.5*'Outil Cibles'!D$8, IF(A37-'Outil Cibles'!D$7=60, ('Outil Cibles'!D$16-'Outil Cibles'!D$11)*0.5*'Outil Cibles'!D$8, 0))</f>
        <v>0</v>
      </c>
      <c r="C37">
        <f>IF($A37-'Outil Cibles'!E$7=30, ('Outil Cibles'!E$16-'Outil Cibles'!E$11)*0.5*'Outil Cibles'!E$8, IF(B37-'Outil Cibles'!E$7=60, ('Outil Cibles'!E$16-'Outil Cibles'!E$11)*0.5*'Outil Cibles'!E$8, 0))</f>
        <v>0</v>
      </c>
      <c r="D37">
        <f>IF($A37-'Outil Cibles'!F$7=30, ('Outil Cibles'!F$16-'Outil Cibles'!F$11)*0.5*'Outil Cibles'!F$8, IF(C37-'Outil Cibles'!F$7=60, ('Outil Cibles'!F$16-'Outil Cibles'!F$11)*0.5*'Outil Cibles'!F$8, 0))</f>
        <v>0</v>
      </c>
      <c r="E37">
        <f>IF($A37-'Outil Cibles'!G$7=30, ('Outil Cibles'!G$16-'Outil Cibles'!G$11)*0.5*'Outil Cibles'!G$8, IF(D37-'Outil Cibles'!G$7=60, ('Outil Cibles'!G$16-'Outil Cibles'!G$11)*0.5*'Outil Cibles'!G$8, 0))</f>
        <v>0</v>
      </c>
      <c r="F37">
        <f>IF($A37-'Outil Cibles'!H$7=30, ('Outil Cibles'!H$16-'Outil Cibles'!H$11)*0.5*'Outil Cibles'!H$8, IF(E37-'Outil Cibles'!H$7=60, ('Outil Cibles'!H$16-'Outil Cibles'!H$11)*0.5*'Outil Cibles'!H$8, 0))</f>
        <v>0</v>
      </c>
      <c r="G37">
        <f>IF($A37-'Outil Cibles'!I$7=30, ('Outil Cibles'!I$16-'Outil Cibles'!I$11)*0.5*'Outil Cibles'!I$8, IF(F37-'Outil Cibles'!I$7=60, ('Outil Cibles'!I$16-'Outil Cibles'!I$11)*0.5*'Outil Cibles'!I$8, 0))</f>
        <v>0</v>
      </c>
      <c r="H37">
        <f>IF($A37-'Outil Cibles'!J$7=30, ('Outil Cibles'!J$16-'Outil Cibles'!J$11)*0.5*'Outil Cibles'!J$8, IF(G37-'Outil Cibles'!J$7=60, ('Outil Cibles'!J$16-'Outil Cibles'!J$11)*0.5*'Outil Cibles'!J$8, 0))</f>
        <v>0</v>
      </c>
      <c r="I37">
        <f>IF($A37-'Outil Cibles'!K$7=30, ('Outil Cibles'!K$16-'Outil Cibles'!K$11)*0.5*'Outil Cibles'!K$8, IF(H37-'Outil Cibles'!K$7=60, ('Outil Cibles'!K$16-'Outil Cibles'!K$11)*0.5*'Outil Cibles'!K$8, 0))</f>
        <v>0</v>
      </c>
      <c r="J37">
        <f>IF($A37-'Outil Cibles'!L$7=30, ('Outil Cibles'!L$16-'Outil Cibles'!L$11)*0.5*'Outil Cibles'!L$8, IF(I37-'Outil Cibles'!L$7=60, ('Outil Cibles'!L$16-'Outil Cibles'!L$11)*0.5*'Outil Cibles'!L$8, 0))</f>
        <v>0</v>
      </c>
      <c r="K37">
        <f>IF($A37-'Outil Cibles'!M$7=30, ('Outil Cibles'!M$16-'Outil Cibles'!M$11)*0.5*'Outil Cibles'!M$8, IF(J37-'Outil Cibles'!M$7=60, ('Outil Cibles'!M$16-'Outil Cibles'!M$11)*0.5*'Outil Cibles'!M$8, 0))</f>
        <v>0</v>
      </c>
      <c r="L37">
        <f t="shared" si="0"/>
        <v>0</v>
      </c>
      <c r="N37">
        <v>2055</v>
      </c>
      <c r="O37">
        <f>IF(N37='Outil Cibles'!$Q$7, 'Outil Cibles'!$Q$18, 0)</f>
        <v>0</v>
      </c>
      <c r="P37">
        <f>IF(N37='Outil Cibles'!$R$7, 'Outil Cibles'!$R$18, 0)</f>
        <v>0</v>
      </c>
      <c r="Q37">
        <f>IF(N37='Outil Cibles'!$S$7, 'Outil Cibles'!$S$18, 0)</f>
        <v>0</v>
      </c>
      <c r="R37">
        <f>IF(N37='Outil Cibles'!$T$7, 'Outil Cibles'!$T$18, 0)</f>
        <v>0</v>
      </c>
      <c r="S37">
        <f>IF(N37='Outil Cibles'!$U$7, 'Outil Cibles'!$U$18, 0)</f>
        <v>0</v>
      </c>
      <c r="T37">
        <f>IF(N37='Outil Cibles'!$V$7, 'Outil Cibles'!$V$18, 0)</f>
        <v>0</v>
      </c>
      <c r="U37">
        <f>IF(N37='Outil Cibles'!$W$7, 'Outil Cibles'!$W$18, 0)</f>
        <v>0</v>
      </c>
      <c r="V37">
        <f>IF(N37='Outil Cibles'!$X$7, 'Outil Cibles'!$X$18, 0)</f>
        <v>0</v>
      </c>
      <c r="W37">
        <f>IF(N37='Outil Cibles'!$Y$7, 'Outil Cibles'!$Y$18, 0)</f>
        <v>0</v>
      </c>
      <c r="X37">
        <f>IF(N37='Outil Cibles'!$Z$7, 'Outil Cibles'!$Z$18, 0)</f>
        <v>0</v>
      </c>
      <c r="Y37">
        <f t="shared" si="1"/>
        <v>0</v>
      </c>
    </row>
    <row r="38" spans="1:25" x14ac:dyDescent="0.3">
      <c r="A38">
        <v>2056</v>
      </c>
      <c r="B38">
        <f>IF(A38-'Outil Cibles'!D$7=30, ('Outil Cibles'!D$16-'Outil Cibles'!D$11)*0.5*'Outil Cibles'!D$8, IF(A38-'Outil Cibles'!D$7=60, ('Outil Cibles'!D$16-'Outil Cibles'!D$11)*0.5*'Outil Cibles'!D$8, 0))</f>
        <v>0</v>
      </c>
      <c r="C38">
        <f>IF($A38-'Outil Cibles'!E$7=30, ('Outil Cibles'!E$16-'Outil Cibles'!E$11)*0.5*'Outil Cibles'!E$8, IF(B38-'Outil Cibles'!E$7=60, ('Outil Cibles'!E$16-'Outil Cibles'!E$11)*0.5*'Outil Cibles'!E$8, 0))</f>
        <v>19022.605705764705</v>
      </c>
      <c r="D38">
        <f>IF($A38-'Outil Cibles'!F$7=30, ('Outil Cibles'!F$16-'Outil Cibles'!F$11)*0.5*'Outil Cibles'!F$8, IF(C38-'Outil Cibles'!F$7=60, ('Outil Cibles'!F$16-'Outil Cibles'!F$11)*0.5*'Outil Cibles'!F$8, 0))</f>
        <v>0</v>
      </c>
      <c r="E38">
        <f>IF($A38-'Outil Cibles'!G$7=30, ('Outil Cibles'!G$16-'Outil Cibles'!G$11)*0.5*'Outil Cibles'!G$8, IF(D38-'Outil Cibles'!G$7=60, ('Outil Cibles'!G$16-'Outil Cibles'!G$11)*0.5*'Outil Cibles'!G$8, 0))</f>
        <v>0</v>
      </c>
      <c r="F38">
        <f>IF($A38-'Outil Cibles'!H$7=30, ('Outil Cibles'!H$16-'Outil Cibles'!H$11)*0.5*'Outil Cibles'!H$8, IF(E38-'Outil Cibles'!H$7=60, ('Outil Cibles'!H$16-'Outil Cibles'!H$11)*0.5*'Outil Cibles'!H$8, 0))</f>
        <v>0</v>
      </c>
      <c r="G38">
        <f>IF($A38-'Outil Cibles'!I$7=30, ('Outil Cibles'!I$16-'Outil Cibles'!I$11)*0.5*'Outil Cibles'!I$8, IF(F38-'Outil Cibles'!I$7=60, ('Outil Cibles'!I$16-'Outil Cibles'!I$11)*0.5*'Outil Cibles'!I$8, 0))</f>
        <v>0</v>
      </c>
      <c r="H38">
        <f>IF($A38-'Outil Cibles'!J$7=30, ('Outil Cibles'!J$16-'Outil Cibles'!J$11)*0.5*'Outil Cibles'!J$8, IF(G38-'Outil Cibles'!J$7=60, ('Outil Cibles'!J$16-'Outil Cibles'!J$11)*0.5*'Outil Cibles'!J$8, 0))</f>
        <v>0</v>
      </c>
      <c r="I38">
        <f>IF($A38-'Outil Cibles'!K$7=30, ('Outil Cibles'!K$16-'Outil Cibles'!K$11)*0.5*'Outil Cibles'!K$8, IF(H38-'Outil Cibles'!K$7=60, ('Outil Cibles'!K$16-'Outil Cibles'!K$11)*0.5*'Outil Cibles'!K$8, 0))</f>
        <v>0</v>
      </c>
      <c r="J38">
        <f>IF($A38-'Outil Cibles'!L$7=30, ('Outil Cibles'!L$16-'Outil Cibles'!L$11)*0.5*'Outil Cibles'!L$8, IF(I38-'Outil Cibles'!L$7=60, ('Outil Cibles'!L$16-'Outil Cibles'!L$11)*0.5*'Outil Cibles'!L$8, 0))</f>
        <v>0</v>
      </c>
      <c r="K38">
        <f>IF($A38-'Outil Cibles'!M$7=30, ('Outil Cibles'!M$16-'Outil Cibles'!M$11)*0.5*'Outil Cibles'!M$8, IF(J38-'Outil Cibles'!M$7=60, ('Outil Cibles'!M$16-'Outil Cibles'!M$11)*0.5*'Outil Cibles'!M$8, 0))</f>
        <v>0</v>
      </c>
      <c r="L38">
        <f t="shared" si="0"/>
        <v>19022.605705764705</v>
      </c>
      <c r="N38">
        <v>2056</v>
      </c>
      <c r="O38">
        <f>IF(N38='Outil Cibles'!$Q$7, 'Outil Cibles'!$Q$18, 0)</f>
        <v>0</v>
      </c>
      <c r="P38">
        <f>IF(N38='Outil Cibles'!$R$7, 'Outil Cibles'!$R$18, 0)</f>
        <v>0</v>
      </c>
      <c r="Q38">
        <f>IF(N38='Outil Cibles'!$S$7, 'Outil Cibles'!$S$18, 0)</f>
        <v>0</v>
      </c>
      <c r="R38">
        <f>IF(N38='Outil Cibles'!$T$7, 'Outil Cibles'!$T$18, 0)</f>
        <v>0</v>
      </c>
      <c r="S38">
        <f>IF(N38='Outil Cibles'!$U$7, 'Outil Cibles'!$U$18, 0)</f>
        <v>0</v>
      </c>
      <c r="T38">
        <f>IF(N38='Outil Cibles'!$V$7, 'Outil Cibles'!$V$18, 0)</f>
        <v>0</v>
      </c>
      <c r="U38">
        <f>IF(N38='Outil Cibles'!$W$7, 'Outil Cibles'!$W$18, 0)</f>
        <v>0</v>
      </c>
      <c r="V38">
        <f>IF(N38='Outil Cibles'!$X$7, 'Outil Cibles'!$X$18, 0)</f>
        <v>0</v>
      </c>
      <c r="W38">
        <f>IF(N38='Outil Cibles'!$Y$7, 'Outil Cibles'!$Y$18, 0)</f>
        <v>0</v>
      </c>
      <c r="X38">
        <f>IF(N38='Outil Cibles'!$Z$7, 'Outil Cibles'!$Z$18, 0)</f>
        <v>0</v>
      </c>
      <c r="Y38">
        <f t="shared" si="1"/>
        <v>0</v>
      </c>
    </row>
    <row r="39" spans="1:25" x14ac:dyDescent="0.3">
      <c r="A39">
        <v>2057</v>
      </c>
      <c r="B39">
        <f>IF(A39-'Outil Cibles'!D$7=30, ('Outil Cibles'!D$16-'Outil Cibles'!D$11)*0.5*'Outil Cibles'!D$8, IF(A39-'Outil Cibles'!D$7=60, ('Outil Cibles'!D$16-'Outil Cibles'!D$11)*0.5*'Outil Cibles'!D$8, 0))</f>
        <v>0</v>
      </c>
      <c r="C39">
        <f>IF($A39-'Outil Cibles'!E$7=30, ('Outil Cibles'!E$16-'Outil Cibles'!E$11)*0.5*'Outil Cibles'!E$8, IF(B39-'Outil Cibles'!E$7=60, ('Outil Cibles'!E$16-'Outil Cibles'!E$11)*0.5*'Outil Cibles'!E$8, 0))</f>
        <v>0</v>
      </c>
      <c r="D39">
        <f>IF($A39-'Outil Cibles'!F$7=30, ('Outil Cibles'!F$16-'Outil Cibles'!F$11)*0.5*'Outil Cibles'!F$8, IF(C39-'Outil Cibles'!F$7=60, ('Outil Cibles'!F$16-'Outil Cibles'!F$11)*0.5*'Outil Cibles'!F$8, 0))</f>
        <v>0</v>
      </c>
      <c r="E39">
        <f>IF($A39-'Outil Cibles'!G$7=30, ('Outil Cibles'!G$16-'Outil Cibles'!G$11)*0.5*'Outil Cibles'!G$8, IF(D39-'Outil Cibles'!G$7=60, ('Outil Cibles'!G$16-'Outil Cibles'!G$11)*0.5*'Outil Cibles'!G$8, 0))</f>
        <v>0</v>
      </c>
      <c r="F39">
        <f>IF($A39-'Outil Cibles'!H$7=30, ('Outil Cibles'!H$16-'Outil Cibles'!H$11)*0.5*'Outil Cibles'!H$8, IF(E39-'Outil Cibles'!H$7=60, ('Outil Cibles'!H$16-'Outil Cibles'!H$11)*0.5*'Outil Cibles'!H$8, 0))</f>
        <v>0</v>
      </c>
      <c r="G39">
        <f>IF($A39-'Outil Cibles'!I$7=30, ('Outil Cibles'!I$16-'Outil Cibles'!I$11)*0.5*'Outil Cibles'!I$8, IF(F39-'Outil Cibles'!I$7=60, ('Outil Cibles'!I$16-'Outil Cibles'!I$11)*0.5*'Outil Cibles'!I$8, 0))</f>
        <v>0</v>
      </c>
      <c r="H39">
        <f>IF($A39-'Outil Cibles'!J$7=30, ('Outil Cibles'!J$16-'Outil Cibles'!J$11)*0.5*'Outil Cibles'!J$8, IF(G39-'Outil Cibles'!J$7=60, ('Outil Cibles'!J$16-'Outil Cibles'!J$11)*0.5*'Outil Cibles'!J$8, 0))</f>
        <v>0</v>
      </c>
      <c r="I39">
        <f>IF($A39-'Outil Cibles'!K$7=30, ('Outil Cibles'!K$16-'Outil Cibles'!K$11)*0.5*'Outil Cibles'!K$8, IF(H39-'Outil Cibles'!K$7=60, ('Outil Cibles'!K$16-'Outil Cibles'!K$11)*0.5*'Outil Cibles'!K$8, 0))</f>
        <v>0</v>
      </c>
      <c r="J39">
        <f>IF($A39-'Outil Cibles'!L$7=30, ('Outil Cibles'!L$16-'Outil Cibles'!L$11)*0.5*'Outil Cibles'!L$8, IF(I39-'Outil Cibles'!L$7=60, ('Outil Cibles'!L$16-'Outil Cibles'!L$11)*0.5*'Outil Cibles'!L$8, 0))</f>
        <v>0</v>
      </c>
      <c r="K39">
        <f>IF($A39-'Outil Cibles'!M$7=30, ('Outil Cibles'!M$16-'Outil Cibles'!M$11)*0.5*'Outil Cibles'!M$8, IF(J39-'Outil Cibles'!M$7=60, ('Outil Cibles'!M$16-'Outil Cibles'!M$11)*0.5*'Outil Cibles'!M$8, 0))</f>
        <v>0</v>
      </c>
      <c r="L39">
        <f t="shared" si="0"/>
        <v>0</v>
      </c>
      <c r="N39">
        <v>2057</v>
      </c>
      <c r="O39">
        <f>IF(N39='Outil Cibles'!$Q$7, 'Outil Cibles'!$Q$18, 0)</f>
        <v>0</v>
      </c>
      <c r="P39">
        <f>IF(N39='Outil Cibles'!$R$7, 'Outil Cibles'!$R$18, 0)</f>
        <v>0</v>
      </c>
      <c r="Q39">
        <f>IF(N39='Outil Cibles'!$S$7, 'Outil Cibles'!$S$18, 0)</f>
        <v>0</v>
      </c>
      <c r="R39">
        <f>IF(N39='Outil Cibles'!$T$7, 'Outil Cibles'!$T$18, 0)</f>
        <v>0</v>
      </c>
      <c r="S39">
        <f>IF(N39='Outil Cibles'!$U$7, 'Outil Cibles'!$U$18, 0)</f>
        <v>0</v>
      </c>
      <c r="T39">
        <f>IF(N39='Outil Cibles'!$V$7, 'Outil Cibles'!$V$18, 0)</f>
        <v>0</v>
      </c>
      <c r="U39">
        <f>IF(N39='Outil Cibles'!$W$7, 'Outil Cibles'!$W$18, 0)</f>
        <v>0</v>
      </c>
      <c r="V39">
        <f>IF(N39='Outil Cibles'!$X$7, 'Outil Cibles'!$X$18, 0)</f>
        <v>0</v>
      </c>
      <c r="W39">
        <f>IF(N39='Outil Cibles'!$Y$7, 'Outil Cibles'!$Y$18, 0)</f>
        <v>0</v>
      </c>
      <c r="X39">
        <f>IF(N39='Outil Cibles'!$Z$7, 'Outil Cibles'!$Z$18, 0)</f>
        <v>0</v>
      </c>
      <c r="Y39">
        <f t="shared" si="1"/>
        <v>0</v>
      </c>
    </row>
    <row r="40" spans="1:25" x14ac:dyDescent="0.3">
      <c r="A40" s="10">
        <v>2058</v>
      </c>
      <c r="B40">
        <f>IF(A40-'Outil Cibles'!D$7=30, ('Outil Cibles'!D$16-'Outil Cibles'!D$11)*0.5*'Outil Cibles'!D$8, IF(A40-'Outil Cibles'!D$7=60, ('Outil Cibles'!D$16-'Outil Cibles'!D$11)*0.5*'Outil Cibles'!D$8, 0))</f>
        <v>0</v>
      </c>
      <c r="C40">
        <f>IF($A40-'Outil Cibles'!E$7=30, ('Outil Cibles'!E$16-'Outil Cibles'!E$11)*0.5*'Outil Cibles'!E$8, IF(B40-'Outil Cibles'!E$7=60, ('Outil Cibles'!E$16-'Outil Cibles'!E$11)*0.5*'Outil Cibles'!E$8, 0))</f>
        <v>0</v>
      </c>
      <c r="D40">
        <f>IF($A40-'Outil Cibles'!F$7=30, ('Outil Cibles'!F$16-'Outil Cibles'!F$11)*0.5*'Outil Cibles'!F$8, IF(C40-'Outil Cibles'!F$7=60, ('Outil Cibles'!F$16-'Outil Cibles'!F$11)*0.5*'Outil Cibles'!F$8, 0))</f>
        <v>0</v>
      </c>
      <c r="E40">
        <f>IF($A40-'Outil Cibles'!G$7=30, ('Outil Cibles'!G$16-'Outil Cibles'!G$11)*0.5*'Outil Cibles'!G$8, IF(D40-'Outil Cibles'!G$7=60, ('Outil Cibles'!G$16-'Outil Cibles'!G$11)*0.5*'Outil Cibles'!G$8, 0))</f>
        <v>0</v>
      </c>
      <c r="F40">
        <f>IF($A40-'Outil Cibles'!H$7=30, ('Outil Cibles'!H$16-'Outil Cibles'!H$11)*0.5*'Outil Cibles'!H$8, IF(E40-'Outil Cibles'!H$7=60, ('Outil Cibles'!H$16-'Outil Cibles'!H$11)*0.5*'Outil Cibles'!H$8, 0))</f>
        <v>0</v>
      </c>
      <c r="G40">
        <f>IF($A40-'Outil Cibles'!I$7=30, ('Outil Cibles'!I$16-'Outil Cibles'!I$11)*0.5*'Outil Cibles'!I$8, IF(F40-'Outil Cibles'!I$7=60, ('Outil Cibles'!I$16-'Outil Cibles'!I$11)*0.5*'Outil Cibles'!I$8, 0))</f>
        <v>0</v>
      </c>
      <c r="H40">
        <f>IF($A40-'Outil Cibles'!J$7=30, ('Outil Cibles'!J$16-'Outil Cibles'!J$11)*0.5*'Outil Cibles'!J$8, IF(G40-'Outil Cibles'!J$7=60, ('Outil Cibles'!J$16-'Outil Cibles'!J$11)*0.5*'Outil Cibles'!J$8, 0))</f>
        <v>0</v>
      </c>
      <c r="I40">
        <f>IF($A40-'Outil Cibles'!K$7=30, ('Outil Cibles'!K$16-'Outil Cibles'!K$11)*0.5*'Outil Cibles'!K$8, IF(H40-'Outil Cibles'!K$7=60, ('Outil Cibles'!K$16-'Outil Cibles'!K$11)*0.5*'Outil Cibles'!K$8, 0))</f>
        <v>0</v>
      </c>
      <c r="J40">
        <f>IF($A40-'Outil Cibles'!L$7=30, ('Outil Cibles'!L$16-'Outil Cibles'!L$11)*0.5*'Outil Cibles'!L$8, IF(I40-'Outil Cibles'!L$7=60, ('Outil Cibles'!L$16-'Outil Cibles'!L$11)*0.5*'Outil Cibles'!L$8, 0))</f>
        <v>0</v>
      </c>
      <c r="K40">
        <f>IF($A40-'Outil Cibles'!M$7=30, ('Outil Cibles'!M$16-'Outil Cibles'!M$11)*0.5*'Outil Cibles'!M$8, IF(J40-'Outil Cibles'!M$7=60, ('Outil Cibles'!M$16-'Outil Cibles'!M$11)*0.5*'Outil Cibles'!M$8, 0))</f>
        <v>0</v>
      </c>
      <c r="L40">
        <f t="shared" si="0"/>
        <v>0</v>
      </c>
      <c r="N40" s="10">
        <v>2058</v>
      </c>
      <c r="O40">
        <f>IF(N40='Outil Cibles'!$Q$7, 'Outil Cibles'!$Q$18, 0)</f>
        <v>0</v>
      </c>
      <c r="P40">
        <f>IF(N40='Outil Cibles'!$R$7, 'Outil Cibles'!$R$18, 0)</f>
        <v>0</v>
      </c>
      <c r="Q40">
        <f>IF(N40='Outil Cibles'!$S$7, 'Outil Cibles'!$S$18, 0)</f>
        <v>0</v>
      </c>
      <c r="R40">
        <f>IF(N40='Outil Cibles'!$T$7, 'Outil Cibles'!$T$18, 0)</f>
        <v>0</v>
      </c>
      <c r="S40">
        <f>IF(N40='Outil Cibles'!$U$7, 'Outil Cibles'!$U$18, 0)</f>
        <v>0</v>
      </c>
      <c r="T40">
        <f>IF(N40='Outil Cibles'!$V$7, 'Outil Cibles'!$V$18, 0)</f>
        <v>0</v>
      </c>
      <c r="U40">
        <f>IF(N40='Outil Cibles'!$W$7, 'Outil Cibles'!$W$18, 0)</f>
        <v>0</v>
      </c>
      <c r="V40">
        <f>IF(N40='Outil Cibles'!$X$7, 'Outil Cibles'!$X$18, 0)</f>
        <v>0</v>
      </c>
      <c r="W40">
        <f>IF(N40='Outil Cibles'!$Y$7, 'Outil Cibles'!$Y$18, 0)</f>
        <v>0</v>
      </c>
      <c r="X40">
        <f>IF(N40='Outil Cibles'!$Z$7, 'Outil Cibles'!$Z$18, 0)</f>
        <v>0</v>
      </c>
      <c r="Y40">
        <f t="shared" si="1"/>
        <v>0</v>
      </c>
    </row>
    <row r="41" spans="1:25" x14ac:dyDescent="0.3">
      <c r="A41">
        <v>2059</v>
      </c>
      <c r="B41">
        <f>IF(A41-'Outil Cibles'!D$7=30, ('Outil Cibles'!D$16-'Outil Cibles'!D$11)*0.5*'Outil Cibles'!D$8, IF(A41-'Outil Cibles'!D$7=60, ('Outil Cibles'!D$16-'Outil Cibles'!D$11)*0.5*'Outil Cibles'!D$8, 0))</f>
        <v>0</v>
      </c>
      <c r="C41">
        <f>IF($A41-'Outil Cibles'!E$7=30, ('Outil Cibles'!E$16-'Outil Cibles'!E$11)*0.5*'Outil Cibles'!E$8, IF(B41-'Outil Cibles'!E$7=60, ('Outil Cibles'!E$16-'Outil Cibles'!E$11)*0.5*'Outil Cibles'!E$8, 0))</f>
        <v>0</v>
      </c>
      <c r="D41">
        <f>IF($A41-'Outil Cibles'!F$7=30, ('Outil Cibles'!F$16-'Outil Cibles'!F$11)*0.5*'Outil Cibles'!F$8, IF(C41-'Outil Cibles'!F$7=60, ('Outil Cibles'!F$16-'Outil Cibles'!F$11)*0.5*'Outil Cibles'!F$8, 0))</f>
        <v>0</v>
      </c>
      <c r="E41">
        <f>IF($A41-'Outil Cibles'!G$7=30, ('Outil Cibles'!G$16-'Outil Cibles'!G$11)*0.5*'Outil Cibles'!G$8, IF(D41-'Outil Cibles'!G$7=60, ('Outil Cibles'!G$16-'Outil Cibles'!G$11)*0.5*'Outil Cibles'!G$8, 0))</f>
        <v>0</v>
      </c>
      <c r="F41">
        <f>IF($A41-'Outil Cibles'!H$7=30, ('Outil Cibles'!H$16-'Outil Cibles'!H$11)*0.5*'Outil Cibles'!H$8, IF(E41-'Outil Cibles'!H$7=60, ('Outil Cibles'!H$16-'Outil Cibles'!H$11)*0.5*'Outil Cibles'!H$8, 0))</f>
        <v>0</v>
      </c>
      <c r="G41">
        <f>IF($A41-'Outil Cibles'!I$7=30, ('Outil Cibles'!I$16-'Outil Cibles'!I$11)*0.5*'Outil Cibles'!I$8, IF(F41-'Outil Cibles'!I$7=60, ('Outil Cibles'!I$16-'Outil Cibles'!I$11)*0.5*'Outil Cibles'!I$8, 0))</f>
        <v>0</v>
      </c>
      <c r="H41">
        <f>IF($A41-'Outil Cibles'!J$7=30, ('Outil Cibles'!J$16-'Outil Cibles'!J$11)*0.5*'Outil Cibles'!J$8, IF(G41-'Outil Cibles'!J$7=60, ('Outil Cibles'!J$16-'Outil Cibles'!J$11)*0.5*'Outil Cibles'!J$8, 0))</f>
        <v>0</v>
      </c>
      <c r="I41">
        <f>IF($A41-'Outil Cibles'!K$7=30, ('Outil Cibles'!K$16-'Outil Cibles'!K$11)*0.5*'Outil Cibles'!K$8, IF(H41-'Outil Cibles'!K$7=60, ('Outil Cibles'!K$16-'Outil Cibles'!K$11)*0.5*'Outil Cibles'!K$8, 0))</f>
        <v>0</v>
      </c>
      <c r="J41">
        <f>IF($A41-'Outil Cibles'!L$7=30, ('Outil Cibles'!L$16-'Outil Cibles'!L$11)*0.5*'Outil Cibles'!L$8, IF(I41-'Outil Cibles'!L$7=60, ('Outil Cibles'!L$16-'Outil Cibles'!L$11)*0.5*'Outil Cibles'!L$8, 0))</f>
        <v>0</v>
      </c>
      <c r="K41">
        <f>IF($A41-'Outil Cibles'!M$7=30, ('Outil Cibles'!M$16-'Outil Cibles'!M$11)*0.5*'Outil Cibles'!M$8, IF(J41-'Outil Cibles'!M$7=60, ('Outil Cibles'!M$16-'Outil Cibles'!M$11)*0.5*'Outil Cibles'!M$8, 0))</f>
        <v>0</v>
      </c>
      <c r="L41">
        <f t="shared" si="0"/>
        <v>0</v>
      </c>
      <c r="N41">
        <v>2059</v>
      </c>
      <c r="O41">
        <f>IF(N41='Outil Cibles'!$Q$7, 'Outil Cibles'!$Q$18, 0)</f>
        <v>0</v>
      </c>
      <c r="P41">
        <f>IF(N41='Outil Cibles'!$R$7, 'Outil Cibles'!$R$18, 0)</f>
        <v>0</v>
      </c>
      <c r="Q41">
        <f>IF(N41='Outil Cibles'!$S$7, 'Outil Cibles'!$S$18, 0)</f>
        <v>0</v>
      </c>
      <c r="R41">
        <f>IF(N41='Outil Cibles'!$T$7, 'Outil Cibles'!$T$18, 0)</f>
        <v>0</v>
      </c>
      <c r="S41">
        <f>IF(N41='Outil Cibles'!$U$7, 'Outil Cibles'!$U$18, 0)</f>
        <v>0</v>
      </c>
      <c r="T41">
        <f>IF(N41='Outil Cibles'!$V$7, 'Outil Cibles'!$V$18, 0)</f>
        <v>0</v>
      </c>
      <c r="U41">
        <f>IF(N41='Outil Cibles'!$W$7, 'Outil Cibles'!$W$18, 0)</f>
        <v>0</v>
      </c>
      <c r="V41">
        <f>IF(N41='Outil Cibles'!$X$7, 'Outil Cibles'!$X$18, 0)</f>
        <v>0</v>
      </c>
      <c r="W41">
        <f>IF(N41='Outil Cibles'!$Y$7, 'Outil Cibles'!$Y$18, 0)</f>
        <v>0</v>
      </c>
      <c r="X41">
        <f>IF(N41='Outil Cibles'!$Z$7, 'Outil Cibles'!$Z$18, 0)</f>
        <v>0</v>
      </c>
      <c r="Y41">
        <f t="shared" si="1"/>
        <v>0</v>
      </c>
    </row>
    <row r="42" spans="1:25" x14ac:dyDescent="0.3">
      <c r="A42">
        <v>2060</v>
      </c>
      <c r="B42">
        <f>IF(A42-'Outil Cibles'!D$7=30, ('Outil Cibles'!D$16-'Outil Cibles'!D$11)*0.5*'Outil Cibles'!D$8, IF(A42-'Outil Cibles'!D$7=60, ('Outil Cibles'!D$16-'Outil Cibles'!D$11)*0.5*'Outil Cibles'!D$8, 0))</f>
        <v>0</v>
      </c>
      <c r="C42">
        <f>IF($A42-'Outil Cibles'!E$7=30, ('Outil Cibles'!E$16-'Outil Cibles'!E$11)*0.5*'Outil Cibles'!E$8, IF(B42-'Outil Cibles'!E$7=60, ('Outil Cibles'!E$16-'Outil Cibles'!E$11)*0.5*'Outil Cibles'!E$8, 0))</f>
        <v>0</v>
      </c>
      <c r="D42">
        <f>IF($A42-'Outil Cibles'!F$7=30, ('Outil Cibles'!F$16-'Outil Cibles'!F$11)*0.5*'Outil Cibles'!F$8, IF(C42-'Outil Cibles'!F$7=60, ('Outil Cibles'!F$16-'Outil Cibles'!F$11)*0.5*'Outil Cibles'!F$8, 0))</f>
        <v>11590.514202794111</v>
      </c>
      <c r="E42">
        <f>IF($A42-'Outil Cibles'!G$7=30, ('Outil Cibles'!G$16-'Outil Cibles'!G$11)*0.5*'Outil Cibles'!G$8, IF(D42-'Outil Cibles'!G$7=60, ('Outil Cibles'!G$16-'Outil Cibles'!G$11)*0.5*'Outil Cibles'!G$8, 0))</f>
        <v>0</v>
      </c>
      <c r="F42">
        <f>IF($A42-'Outil Cibles'!H$7=30, ('Outil Cibles'!H$16-'Outil Cibles'!H$11)*0.5*'Outil Cibles'!H$8, IF(E42-'Outil Cibles'!H$7=60, ('Outil Cibles'!H$16-'Outil Cibles'!H$11)*0.5*'Outil Cibles'!H$8, 0))</f>
        <v>0</v>
      </c>
      <c r="G42">
        <f>IF($A42-'Outil Cibles'!I$7=30, ('Outil Cibles'!I$16-'Outil Cibles'!I$11)*0.5*'Outil Cibles'!I$8, IF(F42-'Outil Cibles'!I$7=60, ('Outil Cibles'!I$16-'Outil Cibles'!I$11)*0.5*'Outil Cibles'!I$8, 0))</f>
        <v>0</v>
      </c>
      <c r="H42">
        <f>IF($A42-'Outil Cibles'!J$7=30, ('Outil Cibles'!J$16-'Outil Cibles'!J$11)*0.5*'Outil Cibles'!J$8, IF(G42-'Outil Cibles'!J$7=60, ('Outil Cibles'!J$16-'Outil Cibles'!J$11)*0.5*'Outil Cibles'!J$8, 0))</f>
        <v>0</v>
      </c>
      <c r="I42">
        <f>IF($A42-'Outil Cibles'!K$7=30, ('Outil Cibles'!K$16-'Outil Cibles'!K$11)*0.5*'Outil Cibles'!K$8, IF(H42-'Outil Cibles'!K$7=60, ('Outil Cibles'!K$16-'Outil Cibles'!K$11)*0.5*'Outil Cibles'!K$8, 0))</f>
        <v>0</v>
      </c>
      <c r="J42">
        <f>IF($A42-'Outil Cibles'!L$7=30, ('Outil Cibles'!L$16-'Outil Cibles'!L$11)*0.5*'Outil Cibles'!L$8, IF(I42-'Outil Cibles'!L$7=60, ('Outil Cibles'!L$16-'Outil Cibles'!L$11)*0.5*'Outil Cibles'!L$8, 0))</f>
        <v>0</v>
      </c>
      <c r="K42">
        <f>IF($A42-'Outil Cibles'!M$7=30, ('Outil Cibles'!M$16-'Outil Cibles'!M$11)*0.5*'Outil Cibles'!M$8, IF(J42-'Outil Cibles'!M$7=60, ('Outil Cibles'!M$16-'Outil Cibles'!M$11)*0.5*'Outil Cibles'!M$8, 0))</f>
        <v>0</v>
      </c>
      <c r="L42">
        <f t="shared" si="0"/>
        <v>11590.514202794111</v>
      </c>
      <c r="N42">
        <v>2060</v>
      </c>
      <c r="O42">
        <f>IF(N42='Outil Cibles'!$Q$7, 'Outil Cibles'!$Q$18, 0)</f>
        <v>0</v>
      </c>
      <c r="P42">
        <f>IF(N42='Outil Cibles'!$R$7, 'Outil Cibles'!$R$18, 0)</f>
        <v>0</v>
      </c>
      <c r="Q42">
        <f>IF(N42='Outil Cibles'!$S$7, 'Outil Cibles'!$S$18, 0)</f>
        <v>0</v>
      </c>
      <c r="R42">
        <f>IF(N42='Outil Cibles'!$T$7, 'Outil Cibles'!$T$18, 0)</f>
        <v>0</v>
      </c>
      <c r="S42">
        <f>IF(N42='Outil Cibles'!$U$7, 'Outil Cibles'!$U$18, 0)</f>
        <v>0</v>
      </c>
      <c r="T42">
        <f>IF(N42='Outil Cibles'!$V$7, 'Outil Cibles'!$V$18, 0)</f>
        <v>0</v>
      </c>
      <c r="U42">
        <f>IF(N42='Outil Cibles'!$W$7, 'Outil Cibles'!$W$18, 0)</f>
        <v>0</v>
      </c>
      <c r="V42">
        <f>IF(N42='Outil Cibles'!$X$7, 'Outil Cibles'!$X$18, 0)</f>
        <v>0</v>
      </c>
      <c r="W42">
        <f>IF(N42='Outil Cibles'!$Y$7, 'Outil Cibles'!$Y$18, 0)</f>
        <v>0</v>
      </c>
      <c r="X42">
        <f>IF(N42='Outil Cibles'!$Z$7, 'Outil Cibles'!$Z$18, 0)</f>
        <v>0</v>
      </c>
      <c r="Y42">
        <f t="shared" si="1"/>
        <v>0</v>
      </c>
    </row>
    <row r="43" spans="1:25" x14ac:dyDescent="0.3">
      <c r="A43">
        <v>2061</v>
      </c>
      <c r="B43">
        <f>IF(A43-'Outil Cibles'!D$7=30, ('Outil Cibles'!D$16-'Outil Cibles'!D$11)*0.5*'Outil Cibles'!D$8, IF(A43-'Outil Cibles'!D$7=60, ('Outil Cibles'!D$16-'Outil Cibles'!D$11)*0.5*'Outil Cibles'!D$8, 0))</f>
        <v>0</v>
      </c>
      <c r="C43">
        <f>IF($A43-'Outil Cibles'!E$7=30, ('Outil Cibles'!E$16-'Outil Cibles'!E$11)*0.5*'Outil Cibles'!E$8, IF(B43-'Outil Cibles'!E$7=60, ('Outil Cibles'!E$16-'Outil Cibles'!E$11)*0.5*'Outil Cibles'!E$8, 0))</f>
        <v>0</v>
      </c>
      <c r="D43">
        <f>IF($A43-'Outil Cibles'!F$7=30, ('Outil Cibles'!F$16-'Outil Cibles'!F$11)*0.5*'Outil Cibles'!F$8, IF(C43-'Outil Cibles'!F$7=60, ('Outil Cibles'!F$16-'Outil Cibles'!F$11)*0.5*'Outil Cibles'!F$8, 0))</f>
        <v>0</v>
      </c>
      <c r="E43">
        <f>IF($A43-'Outil Cibles'!G$7=30, ('Outil Cibles'!G$16-'Outil Cibles'!G$11)*0.5*'Outil Cibles'!G$8, IF(D43-'Outil Cibles'!G$7=60, ('Outil Cibles'!G$16-'Outil Cibles'!G$11)*0.5*'Outil Cibles'!G$8, 0))</f>
        <v>0</v>
      </c>
      <c r="F43">
        <f>IF($A43-'Outil Cibles'!H$7=30, ('Outil Cibles'!H$16-'Outil Cibles'!H$11)*0.5*'Outil Cibles'!H$8, IF(E43-'Outil Cibles'!H$7=60, ('Outil Cibles'!H$16-'Outil Cibles'!H$11)*0.5*'Outil Cibles'!H$8, 0))</f>
        <v>0</v>
      </c>
      <c r="G43">
        <f>IF($A43-'Outil Cibles'!I$7=30, ('Outil Cibles'!I$16-'Outil Cibles'!I$11)*0.5*'Outil Cibles'!I$8, IF(F43-'Outil Cibles'!I$7=60, ('Outil Cibles'!I$16-'Outil Cibles'!I$11)*0.5*'Outil Cibles'!I$8, 0))</f>
        <v>0</v>
      </c>
      <c r="H43">
        <f>IF($A43-'Outil Cibles'!J$7=30, ('Outil Cibles'!J$16-'Outil Cibles'!J$11)*0.5*'Outil Cibles'!J$8, IF(G43-'Outil Cibles'!J$7=60, ('Outil Cibles'!J$16-'Outil Cibles'!J$11)*0.5*'Outil Cibles'!J$8, 0))</f>
        <v>0</v>
      </c>
      <c r="I43">
        <f>IF($A43-'Outil Cibles'!K$7=30, ('Outil Cibles'!K$16-'Outil Cibles'!K$11)*0.5*'Outil Cibles'!K$8, IF(H43-'Outil Cibles'!K$7=60, ('Outil Cibles'!K$16-'Outil Cibles'!K$11)*0.5*'Outil Cibles'!K$8, 0))</f>
        <v>0</v>
      </c>
      <c r="J43">
        <f>IF($A43-'Outil Cibles'!L$7=30, ('Outil Cibles'!L$16-'Outil Cibles'!L$11)*0.5*'Outil Cibles'!L$8, IF(I43-'Outil Cibles'!L$7=60, ('Outil Cibles'!L$16-'Outil Cibles'!L$11)*0.5*'Outil Cibles'!L$8, 0))</f>
        <v>0</v>
      </c>
      <c r="K43">
        <f>IF($A43-'Outil Cibles'!M$7=30, ('Outil Cibles'!M$16-'Outil Cibles'!M$11)*0.5*'Outil Cibles'!M$8, IF(J43-'Outil Cibles'!M$7=60, ('Outil Cibles'!M$16-'Outil Cibles'!M$11)*0.5*'Outil Cibles'!M$8, 0))</f>
        <v>0</v>
      </c>
      <c r="L43">
        <f t="shared" si="0"/>
        <v>0</v>
      </c>
      <c r="N43">
        <v>2061</v>
      </c>
      <c r="O43">
        <f>IF(N43='Outil Cibles'!$Q$7, 'Outil Cibles'!$Q$18, 0)</f>
        <v>0</v>
      </c>
      <c r="P43">
        <f>IF(N43='Outil Cibles'!$R$7, 'Outil Cibles'!$R$18, 0)</f>
        <v>0</v>
      </c>
      <c r="Q43">
        <f>IF(N43='Outil Cibles'!$S$7, 'Outil Cibles'!$S$18, 0)</f>
        <v>0</v>
      </c>
      <c r="R43">
        <f>IF(N43='Outil Cibles'!$T$7, 'Outil Cibles'!$T$18, 0)</f>
        <v>0</v>
      </c>
      <c r="S43">
        <f>IF(N43='Outil Cibles'!$U$7, 'Outil Cibles'!$U$18, 0)</f>
        <v>0</v>
      </c>
      <c r="T43">
        <f>IF(N43='Outil Cibles'!$V$7, 'Outil Cibles'!$V$18, 0)</f>
        <v>0</v>
      </c>
      <c r="U43">
        <f>IF(N43='Outil Cibles'!$W$7, 'Outil Cibles'!$W$18, 0)</f>
        <v>0</v>
      </c>
      <c r="V43">
        <f>IF(N43='Outil Cibles'!$X$7, 'Outil Cibles'!$X$18, 0)</f>
        <v>0</v>
      </c>
      <c r="W43">
        <f>IF(N43='Outil Cibles'!$Y$7, 'Outil Cibles'!$Y$18, 0)</f>
        <v>0</v>
      </c>
      <c r="X43">
        <f>IF(N43='Outil Cibles'!$Z$7, 'Outil Cibles'!$Z$18, 0)</f>
        <v>0</v>
      </c>
      <c r="Y43">
        <f t="shared" si="1"/>
        <v>0</v>
      </c>
    </row>
    <row r="44" spans="1:25" x14ac:dyDescent="0.3">
      <c r="A44" s="10">
        <v>2062</v>
      </c>
      <c r="B44">
        <f>IF(A44-'Outil Cibles'!D$7=30, ('Outil Cibles'!D$16-'Outil Cibles'!D$11)*0.5*'Outil Cibles'!D$8, IF(A44-'Outil Cibles'!D$7=60, ('Outil Cibles'!D$16-'Outil Cibles'!D$11)*0.5*'Outil Cibles'!D$8, 0))</f>
        <v>0</v>
      </c>
      <c r="C44">
        <f>IF($A44-'Outil Cibles'!E$7=30, ('Outil Cibles'!E$16-'Outil Cibles'!E$11)*0.5*'Outil Cibles'!E$8, IF(B44-'Outil Cibles'!E$7=60, ('Outil Cibles'!E$16-'Outil Cibles'!E$11)*0.5*'Outil Cibles'!E$8, 0))</f>
        <v>0</v>
      </c>
      <c r="D44">
        <f>IF($A44-'Outil Cibles'!F$7=30, ('Outil Cibles'!F$16-'Outil Cibles'!F$11)*0.5*'Outil Cibles'!F$8, IF(C44-'Outil Cibles'!F$7=60, ('Outil Cibles'!F$16-'Outil Cibles'!F$11)*0.5*'Outil Cibles'!F$8, 0))</f>
        <v>0</v>
      </c>
      <c r="E44">
        <f>IF($A44-'Outil Cibles'!G$7=30, ('Outil Cibles'!G$16-'Outil Cibles'!G$11)*0.5*'Outil Cibles'!G$8, IF(D44-'Outil Cibles'!G$7=60, ('Outil Cibles'!G$16-'Outil Cibles'!G$11)*0.5*'Outil Cibles'!G$8, 0))</f>
        <v>0</v>
      </c>
      <c r="F44">
        <f>IF($A44-'Outil Cibles'!H$7=30, ('Outil Cibles'!H$16-'Outil Cibles'!H$11)*0.5*'Outil Cibles'!H$8, IF(E44-'Outil Cibles'!H$7=60, ('Outil Cibles'!H$16-'Outil Cibles'!H$11)*0.5*'Outil Cibles'!H$8, 0))</f>
        <v>0</v>
      </c>
      <c r="G44">
        <f>IF($A44-'Outil Cibles'!I$7=30, ('Outil Cibles'!I$16-'Outil Cibles'!I$11)*0.5*'Outil Cibles'!I$8, IF(F44-'Outil Cibles'!I$7=60, ('Outil Cibles'!I$16-'Outil Cibles'!I$11)*0.5*'Outil Cibles'!I$8, 0))</f>
        <v>0</v>
      </c>
      <c r="H44">
        <f>IF($A44-'Outil Cibles'!J$7=30, ('Outil Cibles'!J$16-'Outil Cibles'!J$11)*0.5*'Outil Cibles'!J$8, IF(G44-'Outil Cibles'!J$7=60, ('Outil Cibles'!J$16-'Outil Cibles'!J$11)*0.5*'Outil Cibles'!J$8, 0))</f>
        <v>0</v>
      </c>
      <c r="I44">
        <f>IF($A44-'Outil Cibles'!K$7=30, ('Outil Cibles'!K$16-'Outil Cibles'!K$11)*0.5*'Outil Cibles'!K$8, IF(H44-'Outil Cibles'!K$7=60, ('Outil Cibles'!K$16-'Outil Cibles'!K$11)*0.5*'Outil Cibles'!K$8, 0))</f>
        <v>0</v>
      </c>
      <c r="J44">
        <f>IF($A44-'Outil Cibles'!L$7=30, ('Outil Cibles'!L$16-'Outil Cibles'!L$11)*0.5*'Outil Cibles'!L$8, IF(I44-'Outil Cibles'!L$7=60, ('Outil Cibles'!L$16-'Outil Cibles'!L$11)*0.5*'Outil Cibles'!L$8, 0))</f>
        <v>0</v>
      </c>
      <c r="K44">
        <f>IF($A44-'Outil Cibles'!M$7=30, ('Outil Cibles'!M$16-'Outil Cibles'!M$11)*0.5*'Outil Cibles'!M$8, IF(J44-'Outil Cibles'!M$7=60, ('Outil Cibles'!M$16-'Outil Cibles'!M$11)*0.5*'Outil Cibles'!M$8, 0))</f>
        <v>0</v>
      </c>
      <c r="L44">
        <f t="shared" si="0"/>
        <v>0</v>
      </c>
      <c r="N44" s="10">
        <v>2062</v>
      </c>
      <c r="O44">
        <f>IF(N44='Outil Cibles'!$Q$7, 'Outil Cibles'!$Q$18, 0)</f>
        <v>0</v>
      </c>
      <c r="P44">
        <f>IF(N44='Outil Cibles'!$R$7, 'Outil Cibles'!$R$18, 0)</f>
        <v>0</v>
      </c>
      <c r="Q44">
        <f>IF(N44='Outil Cibles'!$S$7, 'Outil Cibles'!$S$18, 0)</f>
        <v>0</v>
      </c>
      <c r="R44">
        <f>IF(N44='Outil Cibles'!$T$7, 'Outil Cibles'!$T$18, 0)</f>
        <v>0</v>
      </c>
      <c r="S44">
        <f>IF(N44='Outil Cibles'!$U$7, 'Outil Cibles'!$U$18, 0)</f>
        <v>0</v>
      </c>
      <c r="T44">
        <f>IF(N44='Outil Cibles'!$V$7, 'Outil Cibles'!$V$18, 0)</f>
        <v>0</v>
      </c>
      <c r="U44">
        <f>IF(N44='Outil Cibles'!$W$7, 'Outil Cibles'!$W$18, 0)</f>
        <v>0</v>
      </c>
      <c r="V44">
        <f>IF(N44='Outil Cibles'!$X$7, 'Outil Cibles'!$X$18, 0)</f>
        <v>0</v>
      </c>
      <c r="W44">
        <f>IF(N44='Outil Cibles'!$Y$7, 'Outil Cibles'!$Y$18, 0)</f>
        <v>0</v>
      </c>
      <c r="X44">
        <f>IF(N44='Outil Cibles'!$Z$7, 'Outil Cibles'!$Z$18, 0)</f>
        <v>0</v>
      </c>
      <c r="Y44">
        <f t="shared" si="1"/>
        <v>0</v>
      </c>
    </row>
    <row r="45" spans="1:25" x14ac:dyDescent="0.3">
      <c r="A45">
        <v>2063</v>
      </c>
      <c r="B45">
        <f>IF(A45-'Outil Cibles'!D$7=30, ('Outil Cibles'!D$16-'Outil Cibles'!D$11)*0.5*'Outil Cibles'!D$8, IF(A45-'Outil Cibles'!D$7=60, ('Outil Cibles'!D$16-'Outil Cibles'!D$11)*0.5*'Outil Cibles'!D$8, 0))</f>
        <v>0</v>
      </c>
      <c r="C45">
        <f>IF($A45-'Outil Cibles'!E$7=30, ('Outil Cibles'!E$16-'Outil Cibles'!E$11)*0.5*'Outil Cibles'!E$8, IF(B45-'Outil Cibles'!E$7=60, ('Outil Cibles'!E$16-'Outil Cibles'!E$11)*0.5*'Outil Cibles'!E$8, 0))</f>
        <v>0</v>
      </c>
      <c r="D45">
        <f>IF($A45-'Outil Cibles'!F$7=30, ('Outil Cibles'!F$16-'Outil Cibles'!F$11)*0.5*'Outil Cibles'!F$8, IF(C45-'Outil Cibles'!F$7=60, ('Outil Cibles'!F$16-'Outil Cibles'!F$11)*0.5*'Outil Cibles'!F$8, 0))</f>
        <v>0</v>
      </c>
      <c r="E45">
        <f>IF($A45-'Outil Cibles'!G$7=30, ('Outil Cibles'!G$16-'Outil Cibles'!G$11)*0.5*'Outil Cibles'!G$8, IF(D45-'Outil Cibles'!G$7=60, ('Outil Cibles'!G$16-'Outil Cibles'!G$11)*0.5*'Outil Cibles'!G$8, 0))</f>
        <v>0</v>
      </c>
      <c r="F45">
        <f>IF($A45-'Outil Cibles'!H$7=30, ('Outil Cibles'!H$16-'Outil Cibles'!H$11)*0.5*'Outil Cibles'!H$8, IF(E45-'Outil Cibles'!H$7=60, ('Outil Cibles'!H$16-'Outil Cibles'!H$11)*0.5*'Outil Cibles'!H$8, 0))</f>
        <v>0</v>
      </c>
      <c r="G45">
        <f>IF($A45-'Outil Cibles'!I$7=30, ('Outil Cibles'!I$16-'Outil Cibles'!I$11)*0.5*'Outil Cibles'!I$8, IF(F45-'Outil Cibles'!I$7=60, ('Outil Cibles'!I$16-'Outil Cibles'!I$11)*0.5*'Outil Cibles'!I$8, 0))</f>
        <v>0</v>
      </c>
      <c r="H45">
        <f>IF($A45-'Outil Cibles'!J$7=30, ('Outil Cibles'!J$16-'Outil Cibles'!J$11)*0.5*'Outil Cibles'!J$8, IF(G45-'Outil Cibles'!J$7=60, ('Outil Cibles'!J$16-'Outil Cibles'!J$11)*0.5*'Outil Cibles'!J$8, 0))</f>
        <v>0</v>
      </c>
      <c r="I45">
        <f>IF($A45-'Outil Cibles'!K$7=30, ('Outil Cibles'!K$16-'Outil Cibles'!K$11)*0.5*'Outil Cibles'!K$8, IF(H45-'Outil Cibles'!K$7=60, ('Outil Cibles'!K$16-'Outil Cibles'!K$11)*0.5*'Outil Cibles'!K$8, 0))</f>
        <v>0</v>
      </c>
      <c r="J45">
        <f>IF($A45-'Outil Cibles'!L$7=30, ('Outil Cibles'!L$16-'Outil Cibles'!L$11)*0.5*'Outil Cibles'!L$8, IF(I45-'Outil Cibles'!L$7=60, ('Outil Cibles'!L$16-'Outil Cibles'!L$11)*0.5*'Outil Cibles'!L$8, 0))</f>
        <v>0</v>
      </c>
      <c r="K45">
        <f>IF($A45-'Outil Cibles'!M$7=30, ('Outil Cibles'!M$16-'Outil Cibles'!M$11)*0.5*'Outil Cibles'!M$8, IF(J45-'Outil Cibles'!M$7=60, ('Outil Cibles'!M$16-'Outil Cibles'!M$11)*0.5*'Outil Cibles'!M$8, 0))</f>
        <v>0</v>
      </c>
      <c r="L45">
        <f t="shared" si="0"/>
        <v>0</v>
      </c>
      <c r="N45">
        <v>2063</v>
      </c>
      <c r="O45">
        <f>IF(N45='Outil Cibles'!$Q$7, 'Outil Cibles'!$Q$18, 0)</f>
        <v>0</v>
      </c>
      <c r="P45">
        <f>IF(N45='Outil Cibles'!$R$7, 'Outil Cibles'!$R$18, 0)</f>
        <v>0</v>
      </c>
      <c r="Q45">
        <f>IF(N45='Outil Cibles'!$S$7, 'Outil Cibles'!$S$18, 0)</f>
        <v>0</v>
      </c>
      <c r="R45">
        <f>IF(N45='Outil Cibles'!$T$7, 'Outil Cibles'!$T$18, 0)</f>
        <v>0</v>
      </c>
      <c r="S45">
        <f>IF(N45='Outil Cibles'!$U$7, 'Outil Cibles'!$U$18, 0)</f>
        <v>0</v>
      </c>
      <c r="T45">
        <f>IF(N45='Outil Cibles'!$V$7, 'Outil Cibles'!$V$18, 0)</f>
        <v>0</v>
      </c>
      <c r="U45">
        <f>IF(N45='Outil Cibles'!$W$7, 'Outil Cibles'!$W$18, 0)</f>
        <v>0</v>
      </c>
      <c r="V45">
        <f>IF(N45='Outil Cibles'!$X$7, 'Outil Cibles'!$X$18, 0)</f>
        <v>0</v>
      </c>
      <c r="W45">
        <f>IF(N45='Outil Cibles'!$Y$7, 'Outil Cibles'!$Y$18, 0)</f>
        <v>0</v>
      </c>
      <c r="X45">
        <f>IF(N45='Outil Cibles'!$Z$7, 'Outil Cibles'!$Z$18, 0)</f>
        <v>0</v>
      </c>
      <c r="Y45">
        <f t="shared" si="1"/>
        <v>0</v>
      </c>
    </row>
    <row r="46" spans="1:25" x14ac:dyDescent="0.3">
      <c r="A46">
        <v>2064</v>
      </c>
      <c r="B46">
        <f>IF(A46-'Outil Cibles'!D$7=30, ('Outil Cibles'!D$16-'Outil Cibles'!D$11)*0.5*'Outil Cibles'!D$8, IF(A46-'Outil Cibles'!D$7=60, ('Outil Cibles'!D$16-'Outil Cibles'!D$11)*0.5*'Outil Cibles'!D$8, 0))</f>
        <v>0</v>
      </c>
      <c r="C46">
        <f>IF($A46-'Outil Cibles'!E$7=30, ('Outil Cibles'!E$16-'Outil Cibles'!E$11)*0.5*'Outil Cibles'!E$8, IF(B46-'Outil Cibles'!E$7=60, ('Outil Cibles'!E$16-'Outil Cibles'!E$11)*0.5*'Outil Cibles'!E$8, 0))</f>
        <v>0</v>
      </c>
      <c r="D46">
        <f>IF($A46-'Outil Cibles'!F$7=30, ('Outil Cibles'!F$16-'Outil Cibles'!F$11)*0.5*'Outil Cibles'!F$8, IF(C46-'Outil Cibles'!F$7=60, ('Outil Cibles'!F$16-'Outil Cibles'!F$11)*0.5*'Outil Cibles'!F$8, 0))</f>
        <v>0</v>
      </c>
      <c r="E46">
        <f>IF($A46-'Outil Cibles'!G$7=30, ('Outil Cibles'!G$16-'Outil Cibles'!G$11)*0.5*'Outil Cibles'!G$8, IF(D46-'Outil Cibles'!G$7=60, ('Outil Cibles'!G$16-'Outil Cibles'!G$11)*0.5*'Outil Cibles'!G$8, 0))</f>
        <v>0</v>
      </c>
      <c r="F46">
        <f>IF($A46-'Outil Cibles'!H$7=30, ('Outil Cibles'!H$16-'Outil Cibles'!H$11)*0.5*'Outil Cibles'!H$8, IF(E46-'Outil Cibles'!H$7=60, ('Outil Cibles'!H$16-'Outil Cibles'!H$11)*0.5*'Outil Cibles'!H$8, 0))</f>
        <v>0</v>
      </c>
      <c r="G46">
        <f>IF($A46-'Outil Cibles'!I$7=30, ('Outil Cibles'!I$16-'Outil Cibles'!I$11)*0.5*'Outil Cibles'!I$8, IF(F46-'Outil Cibles'!I$7=60, ('Outil Cibles'!I$16-'Outil Cibles'!I$11)*0.5*'Outil Cibles'!I$8, 0))</f>
        <v>0</v>
      </c>
      <c r="H46">
        <f>IF($A46-'Outil Cibles'!J$7=30, ('Outil Cibles'!J$16-'Outil Cibles'!J$11)*0.5*'Outil Cibles'!J$8, IF(G46-'Outil Cibles'!J$7=60, ('Outil Cibles'!J$16-'Outil Cibles'!J$11)*0.5*'Outil Cibles'!J$8, 0))</f>
        <v>0</v>
      </c>
      <c r="I46">
        <f>IF($A46-'Outil Cibles'!K$7=30, ('Outil Cibles'!K$16-'Outil Cibles'!K$11)*0.5*'Outil Cibles'!K$8, IF(H46-'Outil Cibles'!K$7=60, ('Outil Cibles'!K$16-'Outil Cibles'!K$11)*0.5*'Outil Cibles'!K$8, 0))</f>
        <v>0</v>
      </c>
      <c r="J46">
        <f>IF($A46-'Outil Cibles'!L$7=30, ('Outil Cibles'!L$16-'Outil Cibles'!L$11)*0.5*'Outil Cibles'!L$8, IF(I46-'Outil Cibles'!L$7=60, ('Outil Cibles'!L$16-'Outil Cibles'!L$11)*0.5*'Outil Cibles'!L$8, 0))</f>
        <v>0</v>
      </c>
      <c r="K46">
        <f>IF($A46-'Outil Cibles'!M$7=30, ('Outil Cibles'!M$16-'Outil Cibles'!M$11)*0.5*'Outil Cibles'!M$8, IF(J46-'Outil Cibles'!M$7=60, ('Outil Cibles'!M$16-'Outil Cibles'!M$11)*0.5*'Outil Cibles'!M$8, 0))</f>
        <v>0</v>
      </c>
      <c r="L46">
        <f t="shared" si="0"/>
        <v>0</v>
      </c>
      <c r="N46">
        <v>2064</v>
      </c>
      <c r="O46">
        <f>IF(N46='Outil Cibles'!$Q$7, 'Outil Cibles'!$Q$18, 0)</f>
        <v>0</v>
      </c>
      <c r="P46">
        <f>IF(N46='Outil Cibles'!$R$7, 'Outil Cibles'!$R$18, 0)</f>
        <v>0</v>
      </c>
      <c r="Q46">
        <f>IF(N46='Outil Cibles'!$S$7, 'Outil Cibles'!$S$18, 0)</f>
        <v>0</v>
      </c>
      <c r="R46">
        <f>IF(N46='Outil Cibles'!$T$7, 'Outil Cibles'!$T$18, 0)</f>
        <v>0</v>
      </c>
      <c r="S46">
        <f>IF(N46='Outil Cibles'!$U$7, 'Outil Cibles'!$U$18, 0)</f>
        <v>0</v>
      </c>
      <c r="T46">
        <f>IF(N46='Outil Cibles'!$V$7, 'Outil Cibles'!$V$18, 0)</f>
        <v>0</v>
      </c>
      <c r="U46">
        <f>IF(N46='Outil Cibles'!$W$7, 'Outil Cibles'!$W$18, 0)</f>
        <v>0</v>
      </c>
      <c r="V46">
        <f>IF(N46='Outil Cibles'!$X$7, 'Outil Cibles'!$X$18, 0)</f>
        <v>0</v>
      </c>
      <c r="W46">
        <f>IF(N46='Outil Cibles'!$Y$7, 'Outil Cibles'!$Y$18, 0)</f>
        <v>0</v>
      </c>
      <c r="X46">
        <f>IF(N46='Outil Cibles'!$Z$7, 'Outil Cibles'!$Z$18, 0)</f>
        <v>0</v>
      </c>
      <c r="Y46">
        <f t="shared" si="1"/>
        <v>0</v>
      </c>
    </row>
    <row r="47" spans="1:25" x14ac:dyDescent="0.3">
      <c r="A47">
        <v>2065</v>
      </c>
      <c r="B47">
        <f>IF(A47-'Outil Cibles'!D$7=30, ('Outil Cibles'!D$16-'Outil Cibles'!D$11)*0.5*'Outil Cibles'!D$8, IF(A47-'Outil Cibles'!D$7=60, ('Outil Cibles'!D$16-'Outil Cibles'!D$11)*0.5*'Outil Cibles'!D$8, 0))</f>
        <v>0</v>
      </c>
      <c r="C47">
        <f>IF($A47-'Outil Cibles'!E$7=30, ('Outil Cibles'!E$16-'Outil Cibles'!E$11)*0.5*'Outil Cibles'!E$8, IF(B47-'Outil Cibles'!E$7=60, ('Outil Cibles'!E$16-'Outil Cibles'!E$11)*0.5*'Outil Cibles'!E$8, 0))</f>
        <v>0</v>
      </c>
      <c r="D47">
        <f>IF($A47-'Outil Cibles'!F$7=30, ('Outil Cibles'!F$16-'Outil Cibles'!F$11)*0.5*'Outil Cibles'!F$8, IF(C47-'Outil Cibles'!F$7=60, ('Outil Cibles'!F$16-'Outil Cibles'!F$11)*0.5*'Outil Cibles'!F$8, 0))</f>
        <v>0</v>
      </c>
      <c r="E47">
        <f>IF($A47-'Outil Cibles'!G$7=30, ('Outil Cibles'!G$16-'Outil Cibles'!G$11)*0.5*'Outil Cibles'!G$8, IF(D47-'Outil Cibles'!G$7=60, ('Outil Cibles'!G$16-'Outil Cibles'!G$11)*0.5*'Outil Cibles'!G$8, 0))</f>
        <v>5948.0637134363405</v>
      </c>
      <c r="F47">
        <f>IF($A47-'Outil Cibles'!H$7=30, ('Outil Cibles'!H$16-'Outil Cibles'!H$11)*0.5*'Outil Cibles'!H$8, IF(E47-'Outil Cibles'!H$7=60, ('Outil Cibles'!H$16-'Outil Cibles'!H$11)*0.5*'Outil Cibles'!H$8, 0))</f>
        <v>0</v>
      </c>
      <c r="G47">
        <f>IF($A47-'Outil Cibles'!I$7=30, ('Outil Cibles'!I$16-'Outil Cibles'!I$11)*0.5*'Outil Cibles'!I$8, IF(F47-'Outil Cibles'!I$7=60, ('Outil Cibles'!I$16-'Outil Cibles'!I$11)*0.5*'Outil Cibles'!I$8, 0))</f>
        <v>0</v>
      </c>
      <c r="H47">
        <f>IF($A47-'Outil Cibles'!J$7=30, ('Outil Cibles'!J$16-'Outil Cibles'!J$11)*0.5*'Outil Cibles'!J$8, IF(G47-'Outil Cibles'!J$7=60, ('Outil Cibles'!J$16-'Outil Cibles'!J$11)*0.5*'Outil Cibles'!J$8, 0))</f>
        <v>0</v>
      </c>
      <c r="I47">
        <f>IF($A47-'Outil Cibles'!K$7=30, ('Outil Cibles'!K$16-'Outil Cibles'!K$11)*0.5*'Outil Cibles'!K$8, IF(H47-'Outil Cibles'!K$7=60, ('Outil Cibles'!K$16-'Outil Cibles'!K$11)*0.5*'Outil Cibles'!K$8, 0))</f>
        <v>0</v>
      </c>
      <c r="J47">
        <f>IF($A47-'Outil Cibles'!L$7=30, ('Outil Cibles'!L$16-'Outil Cibles'!L$11)*0.5*'Outil Cibles'!L$8, IF(I47-'Outil Cibles'!L$7=60, ('Outil Cibles'!L$16-'Outil Cibles'!L$11)*0.5*'Outil Cibles'!L$8, 0))</f>
        <v>0</v>
      </c>
      <c r="K47">
        <f>IF($A47-'Outil Cibles'!M$7=30, ('Outil Cibles'!M$16-'Outil Cibles'!M$11)*0.5*'Outil Cibles'!M$8, IF(J47-'Outil Cibles'!M$7=60, ('Outil Cibles'!M$16-'Outil Cibles'!M$11)*0.5*'Outil Cibles'!M$8, 0))</f>
        <v>0</v>
      </c>
      <c r="L47">
        <f t="shared" si="0"/>
        <v>5948.0637134363405</v>
      </c>
      <c r="N47">
        <v>2065</v>
      </c>
      <c r="O47">
        <f>IF(N47='Outil Cibles'!$Q$7, 'Outil Cibles'!$Q$18, 0)</f>
        <v>0</v>
      </c>
      <c r="P47">
        <f>IF(N47='Outil Cibles'!$R$7, 'Outil Cibles'!$R$18, 0)</f>
        <v>0</v>
      </c>
      <c r="Q47">
        <f>IF(N47='Outil Cibles'!$S$7, 'Outil Cibles'!$S$18, 0)</f>
        <v>0</v>
      </c>
      <c r="R47">
        <f>IF(N47='Outil Cibles'!$T$7, 'Outil Cibles'!$T$18, 0)</f>
        <v>0</v>
      </c>
      <c r="S47">
        <f>IF(N47='Outil Cibles'!$U$7, 'Outil Cibles'!$U$18, 0)</f>
        <v>0</v>
      </c>
      <c r="T47">
        <f>IF(N47='Outil Cibles'!$V$7, 'Outil Cibles'!$V$18, 0)</f>
        <v>0</v>
      </c>
      <c r="U47">
        <f>IF(N47='Outil Cibles'!$W$7, 'Outil Cibles'!$W$18, 0)</f>
        <v>0</v>
      </c>
      <c r="V47">
        <f>IF(N47='Outil Cibles'!$X$7, 'Outil Cibles'!$X$18, 0)</f>
        <v>0</v>
      </c>
      <c r="W47">
        <f>IF(N47='Outil Cibles'!$Y$7, 'Outil Cibles'!$Y$18, 0)</f>
        <v>0</v>
      </c>
      <c r="X47">
        <f>IF(N47='Outil Cibles'!$Z$7, 'Outil Cibles'!$Z$18, 0)</f>
        <v>0</v>
      </c>
      <c r="Y47">
        <f t="shared" si="1"/>
        <v>0</v>
      </c>
    </row>
    <row r="48" spans="1:25" x14ac:dyDescent="0.3">
      <c r="A48" s="10">
        <v>2066</v>
      </c>
      <c r="B48">
        <f>IF(A48-'Outil Cibles'!D$7=30, ('Outil Cibles'!D$16-'Outil Cibles'!D$11)*0.5*'Outil Cibles'!D$8, IF(A48-'Outil Cibles'!D$7=60, ('Outil Cibles'!D$16-'Outil Cibles'!D$11)*0.5*'Outil Cibles'!D$8, 0))</f>
        <v>0</v>
      </c>
      <c r="C48">
        <f>IF($A48-'Outil Cibles'!E$7=30, ('Outil Cibles'!E$16-'Outil Cibles'!E$11)*0.5*'Outil Cibles'!E$8, IF(B48-'Outil Cibles'!E$7=60, ('Outil Cibles'!E$16-'Outil Cibles'!E$11)*0.5*'Outil Cibles'!E$8, 0))</f>
        <v>0</v>
      </c>
      <c r="D48">
        <f>IF($A48-'Outil Cibles'!F$7=30, ('Outil Cibles'!F$16-'Outil Cibles'!F$11)*0.5*'Outil Cibles'!F$8, IF(C48-'Outil Cibles'!F$7=60, ('Outil Cibles'!F$16-'Outil Cibles'!F$11)*0.5*'Outil Cibles'!F$8, 0))</f>
        <v>0</v>
      </c>
      <c r="E48">
        <f>IF($A48-'Outil Cibles'!G$7=30, ('Outil Cibles'!G$16-'Outil Cibles'!G$11)*0.5*'Outil Cibles'!G$8, IF(D48-'Outil Cibles'!G$7=60, ('Outil Cibles'!G$16-'Outil Cibles'!G$11)*0.5*'Outil Cibles'!G$8, 0))</f>
        <v>0</v>
      </c>
      <c r="F48">
        <f>IF($A48-'Outil Cibles'!H$7=30, ('Outil Cibles'!H$16-'Outil Cibles'!H$11)*0.5*'Outil Cibles'!H$8, IF(E48-'Outil Cibles'!H$7=60, ('Outil Cibles'!H$16-'Outil Cibles'!H$11)*0.5*'Outil Cibles'!H$8, 0))</f>
        <v>0</v>
      </c>
      <c r="G48">
        <f>IF($A48-'Outil Cibles'!I$7=30, ('Outil Cibles'!I$16-'Outil Cibles'!I$11)*0.5*'Outil Cibles'!I$8, IF(F48-'Outil Cibles'!I$7=60, ('Outil Cibles'!I$16-'Outil Cibles'!I$11)*0.5*'Outil Cibles'!I$8, 0))</f>
        <v>0</v>
      </c>
      <c r="H48">
        <f>IF($A48-'Outil Cibles'!J$7=30, ('Outil Cibles'!J$16-'Outil Cibles'!J$11)*0.5*'Outil Cibles'!J$8, IF(G48-'Outil Cibles'!J$7=60, ('Outil Cibles'!J$16-'Outil Cibles'!J$11)*0.5*'Outil Cibles'!J$8, 0))</f>
        <v>0</v>
      </c>
      <c r="I48">
        <f>IF($A48-'Outil Cibles'!K$7=30, ('Outil Cibles'!K$16-'Outil Cibles'!K$11)*0.5*'Outil Cibles'!K$8, IF(H48-'Outil Cibles'!K$7=60, ('Outil Cibles'!K$16-'Outil Cibles'!K$11)*0.5*'Outil Cibles'!K$8, 0))</f>
        <v>0</v>
      </c>
      <c r="J48">
        <f>IF($A48-'Outil Cibles'!L$7=30, ('Outil Cibles'!L$16-'Outil Cibles'!L$11)*0.5*'Outil Cibles'!L$8, IF(I48-'Outil Cibles'!L$7=60, ('Outil Cibles'!L$16-'Outil Cibles'!L$11)*0.5*'Outil Cibles'!L$8, 0))</f>
        <v>0</v>
      </c>
      <c r="K48">
        <f>IF($A48-'Outil Cibles'!M$7=30, ('Outil Cibles'!M$16-'Outil Cibles'!M$11)*0.5*'Outil Cibles'!M$8, IF(J48-'Outil Cibles'!M$7=60, ('Outil Cibles'!M$16-'Outil Cibles'!M$11)*0.5*'Outil Cibles'!M$8, 0))</f>
        <v>0</v>
      </c>
      <c r="L48">
        <f t="shared" si="0"/>
        <v>0</v>
      </c>
      <c r="N48" s="10">
        <v>2066</v>
      </c>
      <c r="O48">
        <f>IF(N48='Outil Cibles'!$Q$7, 'Outil Cibles'!$Q$18, 0)</f>
        <v>0</v>
      </c>
      <c r="P48">
        <f>IF(N48='Outil Cibles'!$R$7, 'Outil Cibles'!$R$18, 0)</f>
        <v>0</v>
      </c>
      <c r="Q48">
        <f>IF(N48='Outil Cibles'!$S$7, 'Outil Cibles'!$S$18, 0)</f>
        <v>0</v>
      </c>
      <c r="R48">
        <f>IF(N48='Outil Cibles'!$T$7, 'Outil Cibles'!$T$18, 0)</f>
        <v>0</v>
      </c>
      <c r="S48">
        <f>IF(N48='Outil Cibles'!$U$7, 'Outil Cibles'!$U$18, 0)</f>
        <v>0</v>
      </c>
      <c r="T48">
        <f>IF(N48='Outil Cibles'!$V$7, 'Outil Cibles'!$V$18, 0)</f>
        <v>0</v>
      </c>
      <c r="U48">
        <f>IF(N48='Outil Cibles'!$W$7, 'Outil Cibles'!$W$18, 0)</f>
        <v>0</v>
      </c>
      <c r="V48">
        <f>IF(N48='Outil Cibles'!$X$7, 'Outil Cibles'!$X$18, 0)</f>
        <v>0</v>
      </c>
      <c r="W48">
        <f>IF(N48='Outil Cibles'!$Y$7, 'Outil Cibles'!$Y$18, 0)</f>
        <v>0</v>
      </c>
      <c r="X48">
        <f>IF(N48='Outil Cibles'!$Z$7, 'Outil Cibles'!$Z$18, 0)</f>
        <v>0</v>
      </c>
      <c r="Y48">
        <f t="shared" si="1"/>
        <v>0</v>
      </c>
    </row>
    <row r="49" spans="1:25" x14ac:dyDescent="0.3">
      <c r="A49">
        <v>2067</v>
      </c>
      <c r="B49">
        <f>IF(A49-'Outil Cibles'!D$7=30, ('Outil Cibles'!D$16-'Outil Cibles'!D$11)*0.5*'Outil Cibles'!D$8, IF(A49-'Outil Cibles'!D$7=60, ('Outil Cibles'!D$16-'Outil Cibles'!D$11)*0.5*'Outil Cibles'!D$8, 0))</f>
        <v>0</v>
      </c>
      <c r="C49">
        <f>IF($A49-'Outil Cibles'!E$7=30, ('Outil Cibles'!E$16-'Outil Cibles'!E$11)*0.5*'Outil Cibles'!E$8, IF(B49-'Outil Cibles'!E$7=60, ('Outil Cibles'!E$16-'Outil Cibles'!E$11)*0.5*'Outil Cibles'!E$8, 0))</f>
        <v>0</v>
      </c>
      <c r="D49">
        <f>IF($A49-'Outil Cibles'!F$7=30, ('Outil Cibles'!F$16-'Outil Cibles'!F$11)*0.5*'Outil Cibles'!F$8, IF(C49-'Outil Cibles'!F$7=60, ('Outil Cibles'!F$16-'Outil Cibles'!F$11)*0.5*'Outil Cibles'!F$8, 0))</f>
        <v>0</v>
      </c>
      <c r="E49">
        <f>IF($A49-'Outil Cibles'!G$7=30, ('Outil Cibles'!G$16-'Outil Cibles'!G$11)*0.5*'Outil Cibles'!G$8, IF(D49-'Outil Cibles'!G$7=60, ('Outil Cibles'!G$16-'Outil Cibles'!G$11)*0.5*'Outil Cibles'!G$8, 0))</f>
        <v>0</v>
      </c>
      <c r="F49">
        <f>IF($A49-'Outil Cibles'!H$7=30, ('Outil Cibles'!H$16-'Outil Cibles'!H$11)*0.5*'Outil Cibles'!H$8, IF(E49-'Outil Cibles'!H$7=60, ('Outil Cibles'!H$16-'Outil Cibles'!H$11)*0.5*'Outil Cibles'!H$8, 0))</f>
        <v>0</v>
      </c>
      <c r="G49">
        <f>IF($A49-'Outil Cibles'!I$7=30, ('Outil Cibles'!I$16-'Outil Cibles'!I$11)*0.5*'Outil Cibles'!I$8, IF(F49-'Outil Cibles'!I$7=60, ('Outil Cibles'!I$16-'Outil Cibles'!I$11)*0.5*'Outil Cibles'!I$8, 0))</f>
        <v>0</v>
      </c>
      <c r="H49">
        <f>IF($A49-'Outil Cibles'!J$7=30, ('Outil Cibles'!J$16-'Outil Cibles'!J$11)*0.5*'Outil Cibles'!J$8, IF(G49-'Outil Cibles'!J$7=60, ('Outil Cibles'!J$16-'Outil Cibles'!J$11)*0.5*'Outil Cibles'!J$8, 0))</f>
        <v>0</v>
      </c>
      <c r="I49">
        <f>IF($A49-'Outil Cibles'!K$7=30, ('Outil Cibles'!K$16-'Outil Cibles'!K$11)*0.5*'Outil Cibles'!K$8, IF(H49-'Outil Cibles'!K$7=60, ('Outil Cibles'!K$16-'Outil Cibles'!K$11)*0.5*'Outil Cibles'!K$8, 0))</f>
        <v>0</v>
      </c>
      <c r="J49">
        <f>IF($A49-'Outil Cibles'!L$7=30, ('Outil Cibles'!L$16-'Outil Cibles'!L$11)*0.5*'Outil Cibles'!L$8, IF(I49-'Outil Cibles'!L$7=60, ('Outil Cibles'!L$16-'Outil Cibles'!L$11)*0.5*'Outil Cibles'!L$8, 0))</f>
        <v>0</v>
      </c>
      <c r="K49">
        <f>IF($A49-'Outil Cibles'!M$7=30, ('Outil Cibles'!M$16-'Outil Cibles'!M$11)*0.5*'Outil Cibles'!M$8, IF(J49-'Outil Cibles'!M$7=60, ('Outil Cibles'!M$16-'Outil Cibles'!M$11)*0.5*'Outil Cibles'!M$8, 0))</f>
        <v>0</v>
      </c>
      <c r="L49">
        <f t="shared" si="0"/>
        <v>0</v>
      </c>
      <c r="N49">
        <v>2067</v>
      </c>
      <c r="O49">
        <f>IF(N49='Outil Cibles'!$Q$7, 'Outil Cibles'!$Q$18, 0)</f>
        <v>0</v>
      </c>
      <c r="P49">
        <f>IF(N49='Outil Cibles'!$R$7, 'Outil Cibles'!$R$18, 0)</f>
        <v>0</v>
      </c>
      <c r="Q49">
        <f>IF(N49='Outil Cibles'!$S$7, 'Outil Cibles'!$S$18, 0)</f>
        <v>0</v>
      </c>
      <c r="R49">
        <f>IF(N49='Outil Cibles'!$T$7, 'Outil Cibles'!$T$18, 0)</f>
        <v>0</v>
      </c>
      <c r="S49">
        <f>IF(N49='Outil Cibles'!$U$7, 'Outil Cibles'!$U$18, 0)</f>
        <v>0</v>
      </c>
      <c r="T49">
        <f>IF(N49='Outil Cibles'!$V$7, 'Outil Cibles'!$V$18, 0)</f>
        <v>0</v>
      </c>
      <c r="U49">
        <f>IF(N49='Outil Cibles'!$W$7, 'Outil Cibles'!$W$18, 0)</f>
        <v>0</v>
      </c>
      <c r="V49">
        <f>IF(N49='Outil Cibles'!$X$7, 'Outil Cibles'!$X$18, 0)</f>
        <v>0</v>
      </c>
      <c r="W49">
        <f>IF(N49='Outil Cibles'!$Y$7, 'Outil Cibles'!$Y$18, 0)</f>
        <v>0</v>
      </c>
      <c r="X49">
        <f>IF(N49='Outil Cibles'!$Z$7, 'Outil Cibles'!$Z$18, 0)</f>
        <v>0</v>
      </c>
      <c r="Y49">
        <f t="shared" si="1"/>
        <v>0</v>
      </c>
    </row>
    <row r="50" spans="1:25" x14ac:dyDescent="0.3">
      <c r="A50">
        <v>2068</v>
      </c>
      <c r="B50">
        <f>IF(A50-'Outil Cibles'!D$7=30, ('Outil Cibles'!D$16-'Outil Cibles'!D$11)*0.5*'Outil Cibles'!D$8, IF(A50-'Outil Cibles'!D$7=60, ('Outil Cibles'!D$16-'Outil Cibles'!D$11)*0.5*'Outil Cibles'!D$8, 0))</f>
        <v>0</v>
      </c>
      <c r="C50">
        <f>IF($A50-'Outil Cibles'!E$7=30, ('Outil Cibles'!E$16-'Outil Cibles'!E$11)*0.5*'Outil Cibles'!E$8, IF(B50-'Outil Cibles'!E$7=60, ('Outil Cibles'!E$16-'Outil Cibles'!E$11)*0.5*'Outil Cibles'!E$8, 0))</f>
        <v>0</v>
      </c>
      <c r="D50">
        <f>IF($A50-'Outil Cibles'!F$7=30, ('Outil Cibles'!F$16-'Outil Cibles'!F$11)*0.5*'Outil Cibles'!F$8, IF(C50-'Outil Cibles'!F$7=60, ('Outil Cibles'!F$16-'Outil Cibles'!F$11)*0.5*'Outil Cibles'!F$8, 0))</f>
        <v>0</v>
      </c>
      <c r="E50">
        <f>IF($A50-'Outil Cibles'!G$7=30, ('Outil Cibles'!G$16-'Outil Cibles'!G$11)*0.5*'Outil Cibles'!G$8, IF(D50-'Outil Cibles'!G$7=60, ('Outil Cibles'!G$16-'Outil Cibles'!G$11)*0.5*'Outil Cibles'!G$8, 0))</f>
        <v>0</v>
      </c>
      <c r="F50">
        <f>IF($A50-'Outil Cibles'!H$7=30, ('Outil Cibles'!H$16-'Outil Cibles'!H$11)*0.5*'Outil Cibles'!H$8, IF(E50-'Outil Cibles'!H$7=60, ('Outil Cibles'!H$16-'Outil Cibles'!H$11)*0.5*'Outil Cibles'!H$8, 0))</f>
        <v>3144.1944271411157</v>
      </c>
      <c r="G50">
        <f>IF($A50-'Outil Cibles'!I$7=30, ('Outil Cibles'!I$16-'Outil Cibles'!I$11)*0.5*'Outil Cibles'!I$8, IF(F50-'Outil Cibles'!I$7=60, ('Outil Cibles'!I$16-'Outil Cibles'!I$11)*0.5*'Outil Cibles'!I$8, 0))</f>
        <v>0</v>
      </c>
      <c r="H50">
        <f>IF($A50-'Outil Cibles'!J$7=30, ('Outil Cibles'!J$16-'Outil Cibles'!J$11)*0.5*'Outil Cibles'!J$8, IF(G50-'Outil Cibles'!J$7=60, ('Outil Cibles'!J$16-'Outil Cibles'!J$11)*0.5*'Outil Cibles'!J$8, 0))</f>
        <v>0</v>
      </c>
      <c r="I50">
        <f>IF($A50-'Outil Cibles'!K$7=30, ('Outil Cibles'!K$16-'Outil Cibles'!K$11)*0.5*'Outil Cibles'!K$8, IF(H50-'Outil Cibles'!K$7=60, ('Outil Cibles'!K$16-'Outil Cibles'!K$11)*0.5*'Outil Cibles'!K$8, 0))</f>
        <v>0</v>
      </c>
      <c r="J50">
        <f>IF($A50-'Outil Cibles'!L$7=30, ('Outil Cibles'!L$16-'Outil Cibles'!L$11)*0.5*'Outil Cibles'!L$8, IF(I50-'Outil Cibles'!L$7=60, ('Outil Cibles'!L$16-'Outil Cibles'!L$11)*0.5*'Outil Cibles'!L$8, 0))</f>
        <v>0</v>
      </c>
      <c r="K50">
        <f>IF($A50-'Outil Cibles'!M$7=30, ('Outil Cibles'!M$16-'Outil Cibles'!M$11)*0.5*'Outil Cibles'!M$8, IF(J50-'Outil Cibles'!M$7=60, ('Outil Cibles'!M$16-'Outil Cibles'!M$11)*0.5*'Outil Cibles'!M$8, 0))</f>
        <v>0</v>
      </c>
      <c r="L50">
        <f t="shared" si="0"/>
        <v>3144.1944271411157</v>
      </c>
      <c r="N50">
        <v>2068</v>
      </c>
      <c r="O50">
        <f>IF(N50='Outil Cibles'!$Q$7, 'Outil Cibles'!$Q$18, 0)</f>
        <v>0</v>
      </c>
      <c r="P50">
        <f>IF(N50='Outil Cibles'!$R$7, 'Outil Cibles'!$R$18, 0)</f>
        <v>0</v>
      </c>
      <c r="Q50">
        <f>IF(N50='Outil Cibles'!$S$7, 'Outil Cibles'!$S$18, 0)</f>
        <v>0</v>
      </c>
      <c r="R50">
        <f>IF(N50='Outil Cibles'!$T$7, 'Outil Cibles'!$T$18, 0)</f>
        <v>0</v>
      </c>
      <c r="S50">
        <f>IF(N50='Outil Cibles'!$U$7, 'Outil Cibles'!$U$18, 0)</f>
        <v>0</v>
      </c>
      <c r="T50">
        <f>IF(N50='Outil Cibles'!$V$7, 'Outil Cibles'!$V$18, 0)</f>
        <v>0</v>
      </c>
      <c r="U50">
        <f>IF(N50='Outil Cibles'!$W$7, 'Outil Cibles'!$W$18, 0)</f>
        <v>0</v>
      </c>
      <c r="V50">
        <f>IF(N50='Outil Cibles'!$X$7, 'Outil Cibles'!$X$18, 0)</f>
        <v>0</v>
      </c>
      <c r="W50">
        <f>IF(N50='Outil Cibles'!$Y$7, 'Outil Cibles'!$Y$18, 0)</f>
        <v>0</v>
      </c>
      <c r="X50">
        <f>IF(N50='Outil Cibles'!$Z$7, 'Outil Cibles'!$Z$18, 0)</f>
        <v>0</v>
      </c>
      <c r="Y50">
        <f t="shared" si="1"/>
        <v>0</v>
      </c>
    </row>
    <row r="51" spans="1:25" x14ac:dyDescent="0.3">
      <c r="A51">
        <v>2069</v>
      </c>
      <c r="B51">
        <f>IF(A51-'Outil Cibles'!D$7=30, ('Outil Cibles'!D$16-'Outil Cibles'!D$11)*0.5*'Outil Cibles'!D$8, IF(A51-'Outil Cibles'!D$7=60, ('Outil Cibles'!D$16-'Outil Cibles'!D$11)*0.5*'Outil Cibles'!D$8, 0))</f>
        <v>0</v>
      </c>
      <c r="C51">
        <f>IF($A51-'Outil Cibles'!E$7=30, ('Outil Cibles'!E$16-'Outil Cibles'!E$11)*0.5*'Outil Cibles'!E$8, IF(B51-'Outil Cibles'!E$7=60, ('Outil Cibles'!E$16-'Outil Cibles'!E$11)*0.5*'Outil Cibles'!E$8, 0))</f>
        <v>0</v>
      </c>
      <c r="D51">
        <f>IF($A51-'Outil Cibles'!F$7=30, ('Outil Cibles'!F$16-'Outil Cibles'!F$11)*0.5*'Outil Cibles'!F$8, IF(C51-'Outil Cibles'!F$7=60, ('Outil Cibles'!F$16-'Outil Cibles'!F$11)*0.5*'Outil Cibles'!F$8, 0))</f>
        <v>0</v>
      </c>
      <c r="E51">
        <f>IF($A51-'Outil Cibles'!G$7=30, ('Outil Cibles'!G$16-'Outil Cibles'!G$11)*0.5*'Outil Cibles'!G$8, IF(D51-'Outil Cibles'!G$7=60, ('Outil Cibles'!G$16-'Outil Cibles'!G$11)*0.5*'Outil Cibles'!G$8, 0))</f>
        <v>0</v>
      </c>
      <c r="F51">
        <f>IF($A51-'Outil Cibles'!H$7=30, ('Outil Cibles'!H$16-'Outil Cibles'!H$11)*0.5*'Outil Cibles'!H$8, IF(E51-'Outil Cibles'!H$7=60, ('Outil Cibles'!H$16-'Outil Cibles'!H$11)*0.5*'Outil Cibles'!H$8, 0))</f>
        <v>0</v>
      </c>
      <c r="G51">
        <f>IF($A51-'Outil Cibles'!I$7=30, ('Outil Cibles'!I$16-'Outil Cibles'!I$11)*0.5*'Outil Cibles'!I$8, IF(F51-'Outil Cibles'!I$7=60, ('Outil Cibles'!I$16-'Outil Cibles'!I$11)*0.5*'Outil Cibles'!I$8, 0))</f>
        <v>0</v>
      </c>
      <c r="H51">
        <f>IF($A51-'Outil Cibles'!J$7=30, ('Outil Cibles'!J$16-'Outil Cibles'!J$11)*0.5*'Outil Cibles'!J$8, IF(G51-'Outil Cibles'!J$7=60, ('Outil Cibles'!J$16-'Outil Cibles'!J$11)*0.5*'Outil Cibles'!J$8, 0))</f>
        <v>0</v>
      </c>
      <c r="I51">
        <f>IF($A51-'Outil Cibles'!K$7=30, ('Outil Cibles'!K$16-'Outil Cibles'!K$11)*0.5*'Outil Cibles'!K$8, IF(H51-'Outil Cibles'!K$7=60, ('Outil Cibles'!K$16-'Outil Cibles'!K$11)*0.5*'Outil Cibles'!K$8, 0))</f>
        <v>0</v>
      </c>
      <c r="J51">
        <f>IF($A51-'Outil Cibles'!L$7=30, ('Outil Cibles'!L$16-'Outil Cibles'!L$11)*0.5*'Outil Cibles'!L$8, IF(I51-'Outil Cibles'!L$7=60, ('Outil Cibles'!L$16-'Outil Cibles'!L$11)*0.5*'Outil Cibles'!L$8, 0))</f>
        <v>0</v>
      </c>
      <c r="K51">
        <f>IF($A51-'Outil Cibles'!M$7=30, ('Outil Cibles'!M$16-'Outil Cibles'!M$11)*0.5*'Outil Cibles'!M$8, IF(J51-'Outil Cibles'!M$7=60, ('Outil Cibles'!M$16-'Outil Cibles'!M$11)*0.5*'Outil Cibles'!M$8, 0))</f>
        <v>0</v>
      </c>
      <c r="L51">
        <f t="shared" si="0"/>
        <v>0</v>
      </c>
      <c r="N51">
        <v>2069</v>
      </c>
      <c r="O51">
        <f>IF(N51='Outil Cibles'!$Q$7, 'Outil Cibles'!$Q$18, 0)</f>
        <v>0</v>
      </c>
      <c r="P51">
        <f>IF(N51='Outil Cibles'!$R$7, 'Outil Cibles'!$R$18, 0)</f>
        <v>0</v>
      </c>
      <c r="Q51">
        <f>IF(N51='Outil Cibles'!$S$7, 'Outil Cibles'!$S$18, 0)</f>
        <v>0</v>
      </c>
      <c r="R51">
        <f>IF(N51='Outil Cibles'!$T$7, 'Outil Cibles'!$T$18, 0)</f>
        <v>0</v>
      </c>
      <c r="S51">
        <f>IF(N51='Outil Cibles'!$U$7, 'Outil Cibles'!$U$18, 0)</f>
        <v>0</v>
      </c>
      <c r="T51">
        <f>IF(N51='Outil Cibles'!$V$7, 'Outil Cibles'!$V$18, 0)</f>
        <v>0</v>
      </c>
      <c r="U51">
        <f>IF(N51='Outil Cibles'!$W$7, 'Outil Cibles'!$W$18, 0)</f>
        <v>0</v>
      </c>
      <c r="V51">
        <f>IF(N51='Outil Cibles'!$X$7, 'Outil Cibles'!$X$18, 0)</f>
        <v>0</v>
      </c>
      <c r="W51">
        <f>IF(N51='Outil Cibles'!$Y$7, 'Outil Cibles'!$Y$18, 0)</f>
        <v>0</v>
      </c>
      <c r="X51">
        <f>IF(N51='Outil Cibles'!$Z$7, 'Outil Cibles'!$Z$18, 0)</f>
        <v>0</v>
      </c>
      <c r="Y51">
        <f t="shared" si="1"/>
        <v>0</v>
      </c>
    </row>
    <row r="52" spans="1:25" x14ac:dyDescent="0.3">
      <c r="A52">
        <v>2070</v>
      </c>
      <c r="B52">
        <f>IF(A52-'Outil Cibles'!D$7=30, ('Outil Cibles'!D$16-'Outil Cibles'!D$11)*0.5*'Outil Cibles'!D$8, IF(A52-'Outil Cibles'!D$7=60, ('Outil Cibles'!D$16-'Outil Cibles'!D$11)*0.5*'Outil Cibles'!D$8, 0))</f>
        <v>0</v>
      </c>
      <c r="C52">
        <f>IF($A52-'Outil Cibles'!E$7=30, ('Outil Cibles'!E$16-'Outil Cibles'!E$11)*0.5*'Outil Cibles'!E$8, IF(B52-'Outil Cibles'!E$7=60, ('Outil Cibles'!E$16-'Outil Cibles'!E$11)*0.5*'Outil Cibles'!E$8, 0))</f>
        <v>0</v>
      </c>
      <c r="D52">
        <f>IF($A52-'Outil Cibles'!F$7=30, ('Outil Cibles'!F$16-'Outil Cibles'!F$11)*0.5*'Outil Cibles'!F$8, IF(C52-'Outil Cibles'!F$7=60, ('Outil Cibles'!F$16-'Outil Cibles'!F$11)*0.5*'Outil Cibles'!F$8, 0))</f>
        <v>0</v>
      </c>
      <c r="E52">
        <f>IF($A52-'Outil Cibles'!G$7=30, ('Outil Cibles'!G$16-'Outil Cibles'!G$11)*0.5*'Outil Cibles'!G$8, IF(D52-'Outil Cibles'!G$7=60, ('Outil Cibles'!G$16-'Outil Cibles'!G$11)*0.5*'Outil Cibles'!G$8, 0))</f>
        <v>0</v>
      </c>
      <c r="F52">
        <f>IF($A52-'Outil Cibles'!H$7=30, ('Outil Cibles'!H$16-'Outil Cibles'!H$11)*0.5*'Outil Cibles'!H$8, IF(E52-'Outil Cibles'!H$7=60, ('Outil Cibles'!H$16-'Outil Cibles'!H$11)*0.5*'Outil Cibles'!H$8, 0))</f>
        <v>0</v>
      </c>
      <c r="G52">
        <f>IF($A52-'Outil Cibles'!I$7=30, ('Outil Cibles'!I$16-'Outil Cibles'!I$11)*0.5*'Outil Cibles'!I$8, IF(F52-'Outil Cibles'!I$7=60, ('Outil Cibles'!I$16-'Outil Cibles'!I$11)*0.5*'Outil Cibles'!I$8, 0))</f>
        <v>1323.3669954840225</v>
      </c>
      <c r="H52">
        <f>IF($A52-'Outil Cibles'!J$7=30, ('Outil Cibles'!J$16-'Outil Cibles'!J$11)*0.5*'Outil Cibles'!J$8, IF(G52-'Outil Cibles'!J$7=60, ('Outil Cibles'!J$16-'Outil Cibles'!J$11)*0.5*'Outil Cibles'!J$8, 0))</f>
        <v>0</v>
      </c>
      <c r="I52">
        <f>IF($A52-'Outil Cibles'!K$7=30, ('Outil Cibles'!K$16-'Outil Cibles'!K$11)*0.5*'Outil Cibles'!K$8, IF(H52-'Outil Cibles'!K$7=60, ('Outil Cibles'!K$16-'Outil Cibles'!K$11)*0.5*'Outil Cibles'!K$8, 0))</f>
        <v>0</v>
      </c>
      <c r="J52">
        <f>IF($A52-'Outil Cibles'!L$7=30, ('Outil Cibles'!L$16-'Outil Cibles'!L$11)*0.5*'Outil Cibles'!L$8, IF(I52-'Outil Cibles'!L$7=60, ('Outil Cibles'!L$16-'Outil Cibles'!L$11)*0.5*'Outil Cibles'!L$8, 0))</f>
        <v>0</v>
      </c>
      <c r="K52">
        <f>IF($A52-'Outil Cibles'!M$7=30, ('Outil Cibles'!M$16-'Outil Cibles'!M$11)*0.5*'Outil Cibles'!M$8, IF(J52-'Outil Cibles'!M$7=60, ('Outil Cibles'!M$16-'Outil Cibles'!M$11)*0.5*'Outil Cibles'!M$8, 0))</f>
        <v>0</v>
      </c>
      <c r="L52">
        <f t="shared" si="0"/>
        <v>1323.3669954840225</v>
      </c>
      <c r="N52">
        <v>2070</v>
      </c>
      <c r="O52">
        <f>IF(N52='Outil Cibles'!$Q$7, 'Outil Cibles'!$Q$18, 0)</f>
        <v>0</v>
      </c>
      <c r="P52">
        <f>IF(N52='Outil Cibles'!$R$7, 'Outil Cibles'!$R$18, 0)</f>
        <v>0</v>
      </c>
      <c r="Q52">
        <f>IF(N52='Outil Cibles'!$S$7, 'Outil Cibles'!$S$18, 0)</f>
        <v>0</v>
      </c>
      <c r="R52">
        <f>IF(N52='Outil Cibles'!$T$7, 'Outil Cibles'!$T$18, 0)</f>
        <v>0</v>
      </c>
      <c r="S52">
        <f>IF(N52='Outil Cibles'!$U$7, 'Outil Cibles'!$U$18, 0)</f>
        <v>0</v>
      </c>
      <c r="T52">
        <f>IF(N52='Outil Cibles'!$V$7, 'Outil Cibles'!$V$18, 0)</f>
        <v>0</v>
      </c>
      <c r="U52">
        <f>IF(N52='Outil Cibles'!$W$7, 'Outil Cibles'!$W$18, 0)</f>
        <v>0</v>
      </c>
      <c r="V52">
        <f>IF(N52='Outil Cibles'!$X$7, 'Outil Cibles'!$X$18, 0)</f>
        <v>0</v>
      </c>
      <c r="W52">
        <f>IF(N52='Outil Cibles'!$Y$7, 'Outil Cibles'!$Y$18, 0)</f>
        <v>0</v>
      </c>
      <c r="X52">
        <f>IF(N52='Outil Cibles'!$Z$7, 'Outil Cibles'!$Z$18, 0)</f>
        <v>0</v>
      </c>
      <c r="Y52">
        <f t="shared" si="1"/>
        <v>0</v>
      </c>
    </row>
    <row r="53" spans="1:25" x14ac:dyDescent="0.3">
      <c r="A53">
        <v>2071</v>
      </c>
      <c r="B53">
        <f>IF(A53-'Outil Cibles'!D$7=30, ('Outil Cibles'!D$16-'Outil Cibles'!D$11)*0.5*'Outil Cibles'!D$8, IF(A53-'Outil Cibles'!D$7=60, ('Outil Cibles'!D$16-'Outil Cibles'!D$11)*0.5*'Outil Cibles'!D$8, 0))</f>
        <v>0</v>
      </c>
      <c r="C53">
        <f>IF($A53-'Outil Cibles'!E$7=30, ('Outil Cibles'!E$16-'Outil Cibles'!E$11)*0.5*'Outil Cibles'!E$8, IF(B53-'Outil Cibles'!E$7=60, ('Outil Cibles'!E$16-'Outil Cibles'!E$11)*0.5*'Outil Cibles'!E$8, 0))</f>
        <v>0</v>
      </c>
      <c r="D53">
        <f>IF($A53-'Outil Cibles'!F$7=30, ('Outil Cibles'!F$16-'Outil Cibles'!F$11)*0.5*'Outil Cibles'!F$8, IF(C53-'Outil Cibles'!F$7=60, ('Outil Cibles'!F$16-'Outil Cibles'!F$11)*0.5*'Outil Cibles'!F$8, 0))</f>
        <v>0</v>
      </c>
      <c r="E53">
        <f>IF($A53-'Outil Cibles'!G$7=30, ('Outil Cibles'!G$16-'Outil Cibles'!G$11)*0.5*'Outil Cibles'!G$8, IF(D53-'Outil Cibles'!G$7=60, ('Outil Cibles'!G$16-'Outil Cibles'!G$11)*0.5*'Outil Cibles'!G$8, 0))</f>
        <v>0</v>
      </c>
      <c r="F53">
        <f>IF($A53-'Outil Cibles'!H$7=30, ('Outil Cibles'!H$16-'Outil Cibles'!H$11)*0.5*'Outil Cibles'!H$8, IF(E53-'Outil Cibles'!H$7=60, ('Outil Cibles'!H$16-'Outil Cibles'!H$11)*0.5*'Outil Cibles'!H$8, 0))</f>
        <v>0</v>
      </c>
      <c r="G53">
        <f>IF($A53-'Outil Cibles'!I$7=30, ('Outil Cibles'!I$16-'Outil Cibles'!I$11)*0.5*'Outil Cibles'!I$8, IF(F53-'Outil Cibles'!I$7=60, ('Outil Cibles'!I$16-'Outil Cibles'!I$11)*0.5*'Outil Cibles'!I$8, 0))</f>
        <v>0</v>
      </c>
      <c r="H53">
        <f>IF($A53-'Outil Cibles'!J$7=30, ('Outil Cibles'!J$16-'Outil Cibles'!J$11)*0.5*'Outil Cibles'!J$8, IF(G53-'Outil Cibles'!J$7=60, ('Outil Cibles'!J$16-'Outil Cibles'!J$11)*0.5*'Outil Cibles'!J$8, 0))</f>
        <v>0</v>
      </c>
      <c r="I53">
        <f>IF($A53-'Outil Cibles'!K$7=30, ('Outil Cibles'!K$16-'Outil Cibles'!K$11)*0.5*'Outil Cibles'!K$8, IF(H53-'Outil Cibles'!K$7=60, ('Outil Cibles'!K$16-'Outil Cibles'!K$11)*0.5*'Outil Cibles'!K$8, 0))</f>
        <v>0</v>
      </c>
      <c r="J53">
        <f>IF($A53-'Outil Cibles'!L$7=30, ('Outil Cibles'!L$16-'Outil Cibles'!L$11)*0.5*'Outil Cibles'!L$8, IF(I53-'Outil Cibles'!L$7=60, ('Outil Cibles'!L$16-'Outil Cibles'!L$11)*0.5*'Outil Cibles'!L$8, 0))</f>
        <v>0</v>
      </c>
      <c r="K53">
        <f>IF($A53-'Outil Cibles'!M$7=30, ('Outil Cibles'!M$16-'Outil Cibles'!M$11)*0.5*'Outil Cibles'!M$8, IF(J53-'Outil Cibles'!M$7=60, ('Outil Cibles'!M$16-'Outil Cibles'!M$11)*0.5*'Outil Cibles'!M$8, 0))</f>
        <v>0</v>
      </c>
      <c r="L53">
        <f t="shared" si="0"/>
        <v>0</v>
      </c>
      <c r="N53">
        <v>2071</v>
      </c>
      <c r="O53">
        <f>IF(N53='Outil Cibles'!$Q$7, 'Outil Cibles'!$Q$18, 0)</f>
        <v>0</v>
      </c>
      <c r="P53">
        <f>IF(N53='Outil Cibles'!$R$7, 'Outil Cibles'!$R$18, 0)</f>
        <v>0</v>
      </c>
      <c r="Q53">
        <f>IF(N53='Outil Cibles'!$S$7, 'Outil Cibles'!$S$18, 0)</f>
        <v>0</v>
      </c>
      <c r="R53">
        <f>IF(N53='Outil Cibles'!$T$7, 'Outil Cibles'!$T$18, 0)</f>
        <v>0</v>
      </c>
      <c r="S53">
        <f>IF(N53='Outil Cibles'!$U$7, 'Outil Cibles'!$U$18, 0)</f>
        <v>0</v>
      </c>
      <c r="T53">
        <f>IF(N53='Outil Cibles'!$V$7, 'Outil Cibles'!$V$18, 0)</f>
        <v>0</v>
      </c>
      <c r="U53">
        <f>IF(N53='Outil Cibles'!$W$7, 'Outil Cibles'!$W$18, 0)</f>
        <v>0</v>
      </c>
      <c r="V53">
        <f>IF(N53='Outil Cibles'!$X$7, 'Outil Cibles'!$X$18, 0)</f>
        <v>0</v>
      </c>
      <c r="W53">
        <f>IF(N53='Outil Cibles'!$Y$7, 'Outil Cibles'!$Y$18, 0)</f>
        <v>0</v>
      </c>
      <c r="X53">
        <f>IF(N53='Outil Cibles'!$Z$7, 'Outil Cibles'!$Z$18, 0)</f>
        <v>0</v>
      </c>
      <c r="Y53">
        <f t="shared" si="1"/>
        <v>0</v>
      </c>
    </row>
    <row r="54" spans="1:25" x14ac:dyDescent="0.3">
      <c r="A54">
        <v>2072</v>
      </c>
      <c r="B54">
        <f>IF(A54-'Outil Cibles'!D$7=30, ('Outil Cibles'!D$16-'Outil Cibles'!D$11)*0.5*'Outil Cibles'!D$8, IF(A54-'Outil Cibles'!D$7=60, ('Outil Cibles'!D$16-'Outil Cibles'!D$11)*0.5*'Outil Cibles'!D$8, 0))</f>
        <v>0</v>
      </c>
      <c r="C54">
        <f>IF($A54-'Outil Cibles'!E$7=30, ('Outil Cibles'!E$16-'Outil Cibles'!E$11)*0.5*'Outil Cibles'!E$8, IF(B54-'Outil Cibles'!E$7=60, ('Outil Cibles'!E$16-'Outil Cibles'!E$11)*0.5*'Outil Cibles'!E$8, 0))</f>
        <v>0</v>
      </c>
      <c r="D54">
        <f>IF($A54-'Outil Cibles'!F$7=30, ('Outil Cibles'!F$16-'Outil Cibles'!F$11)*0.5*'Outil Cibles'!F$8, IF(C54-'Outil Cibles'!F$7=60, ('Outil Cibles'!F$16-'Outil Cibles'!F$11)*0.5*'Outil Cibles'!F$8, 0))</f>
        <v>0</v>
      </c>
      <c r="E54">
        <f>IF($A54-'Outil Cibles'!G$7=30, ('Outil Cibles'!G$16-'Outil Cibles'!G$11)*0.5*'Outil Cibles'!G$8, IF(D54-'Outil Cibles'!G$7=60, ('Outil Cibles'!G$16-'Outil Cibles'!G$11)*0.5*'Outil Cibles'!G$8, 0))</f>
        <v>0</v>
      </c>
      <c r="F54">
        <f>IF($A54-'Outil Cibles'!H$7=30, ('Outil Cibles'!H$16-'Outil Cibles'!H$11)*0.5*'Outil Cibles'!H$8, IF(E54-'Outil Cibles'!H$7=60, ('Outil Cibles'!H$16-'Outil Cibles'!H$11)*0.5*'Outil Cibles'!H$8, 0))</f>
        <v>0</v>
      </c>
      <c r="G54">
        <f>IF($A54-'Outil Cibles'!I$7=30, ('Outil Cibles'!I$16-'Outil Cibles'!I$11)*0.5*'Outil Cibles'!I$8, IF(F54-'Outil Cibles'!I$7=60, ('Outil Cibles'!I$16-'Outil Cibles'!I$11)*0.5*'Outil Cibles'!I$8, 0))</f>
        <v>0</v>
      </c>
      <c r="H54">
        <f>IF($A54-'Outil Cibles'!J$7=30, ('Outil Cibles'!J$16-'Outil Cibles'!J$11)*0.5*'Outil Cibles'!J$8, IF(G54-'Outil Cibles'!J$7=60, ('Outil Cibles'!J$16-'Outil Cibles'!J$11)*0.5*'Outil Cibles'!J$8, 0))</f>
        <v>945.78428003863735</v>
      </c>
      <c r="I54">
        <f>IF($A54-'Outil Cibles'!K$7=30, ('Outil Cibles'!K$16-'Outil Cibles'!K$11)*0.5*'Outil Cibles'!K$8, IF(H54-'Outil Cibles'!K$7=60, ('Outil Cibles'!K$16-'Outil Cibles'!K$11)*0.5*'Outil Cibles'!K$8, 0))</f>
        <v>0</v>
      </c>
      <c r="J54">
        <f>IF($A54-'Outil Cibles'!L$7=30, ('Outil Cibles'!L$16-'Outil Cibles'!L$11)*0.5*'Outil Cibles'!L$8, IF(I54-'Outil Cibles'!L$7=60, ('Outil Cibles'!L$16-'Outil Cibles'!L$11)*0.5*'Outil Cibles'!L$8, 0))</f>
        <v>0</v>
      </c>
      <c r="K54">
        <f>IF($A54-'Outil Cibles'!M$7=30, ('Outil Cibles'!M$16-'Outil Cibles'!M$11)*0.5*'Outil Cibles'!M$8, IF(J54-'Outil Cibles'!M$7=60, ('Outil Cibles'!M$16-'Outil Cibles'!M$11)*0.5*'Outil Cibles'!M$8, 0))</f>
        <v>0</v>
      </c>
      <c r="L54">
        <f t="shared" si="0"/>
        <v>945.78428003863735</v>
      </c>
      <c r="N54">
        <v>2072</v>
      </c>
      <c r="O54">
        <f>IF(N54='Outil Cibles'!$Q$7, 'Outil Cibles'!$Q$18, 0)</f>
        <v>0</v>
      </c>
      <c r="P54">
        <f>IF(N54='Outil Cibles'!$R$7, 'Outil Cibles'!$R$18, 0)</f>
        <v>0</v>
      </c>
      <c r="Q54">
        <f>IF(N54='Outil Cibles'!$S$7, 'Outil Cibles'!$S$18, 0)</f>
        <v>0</v>
      </c>
      <c r="R54">
        <f>IF(N54='Outil Cibles'!$T$7, 'Outil Cibles'!$T$18, 0)</f>
        <v>0</v>
      </c>
      <c r="S54">
        <f>IF(N54='Outil Cibles'!$U$7, 'Outil Cibles'!$U$18, 0)</f>
        <v>0</v>
      </c>
      <c r="T54">
        <f>IF(N54='Outil Cibles'!$V$7, 'Outil Cibles'!$V$18, 0)</f>
        <v>0</v>
      </c>
      <c r="U54">
        <f>IF(N54='Outil Cibles'!$W$7, 'Outil Cibles'!$W$18, 0)</f>
        <v>0</v>
      </c>
      <c r="V54">
        <f>IF(N54='Outil Cibles'!$X$7, 'Outil Cibles'!$X$18, 0)</f>
        <v>0</v>
      </c>
      <c r="W54">
        <f>IF(N54='Outil Cibles'!$Y$7, 'Outil Cibles'!$Y$18, 0)</f>
        <v>0</v>
      </c>
      <c r="X54">
        <f>IF(N54='Outil Cibles'!$Z$7, 'Outil Cibles'!$Z$18, 0)</f>
        <v>0</v>
      </c>
      <c r="Y54">
        <f t="shared" si="1"/>
        <v>0</v>
      </c>
    </row>
    <row r="55" spans="1:25" x14ac:dyDescent="0.3">
      <c r="A55" s="10">
        <v>2073</v>
      </c>
      <c r="B55">
        <f>IF(A55-'Outil Cibles'!D$7=30, ('Outil Cibles'!D$16-'Outil Cibles'!D$11)*0.5*'Outil Cibles'!D$8, IF(A55-'Outil Cibles'!D$7=60, ('Outil Cibles'!D$16-'Outil Cibles'!D$11)*0.5*'Outil Cibles'!D$8, 0))</f>
        <v>0</v>
      </c>
      <c r="C55">
        <f>IF($A55-'Outil Cibles'!E$7=30, ('Outil Cibles'!E$16-'Outil Cibles'!E$11)*0.5*'Outil Cibles'!E$8, IF(B55-'Outil Cibles'!E$7=60, ('Outil Cibles'!E$16-'Outil Cibles'!E$11)*0.5*'Outil Cibles'!E$8, 0))</f>
        <v>0</v>
      </c>
      <c r="D55">
        <f>IF($A55-'Outil Cibles'!F$7=30, ('Outil Cibles'!F$16-'Outil Cibles'!F$11)*0.5*'Outil Cibles'!F$8, IF(C55-'Outil Cibles'!F$7=60, ('Outil Cibles'!F$16-'Outil Cibles'!F$11)*0.5*'Outil Cibles'!F$8, 0))</f>
        <v>0</v>
      </c>
      <c r="E55">
        <f>IF($A55-'Outil Cibles'!G$7=30, ('Outil Cibles'!G$16-'Outil Cibles'!G$11)*0.5*'Outil Cibles'!G$8, IF(D55-'Outil Cibles'!G$7=60, ('Outil Cibles'!G$16-'Outil Cibles'!G$11)*0.5*'Outil Cibles'!G$8, 0))</f>
        <v>0</v>
      </c>
      <c r="F55">
        <f>IF($A55-'Outil Cibles'!H$7=30, ('Outil Cibles'!H$16-'Outil Cibles'!H$11)*0.5*'Outil Cibles'!H$8, IF(E55-'Outil Cibles'!H$7=60, ('Outil Cibles'!H$16-'Outil Cibles'!H$11)*0.5*'Outil Cibles'!H$8, 0))</f>
        <v>0</v>
      </c>
      <c r="G55">
        <f>IF($A55-'Outil Cibles'!I$7=30, ('Outil Cibles'!I$16-'Outil Cibles'!I$11)*0.5*'Outil Cibles'!I$8, IF(F55-'Outil Cibles'!I$7=60, ('Outil Cibles'!I$16-'Outil Cibles'!I$11)*0.5*'Outil Cibles'!I$8, 0))</f>
        <v>0</v>
      </c>
      <c r="H55">
        <f>IF($A55-'Outil Cibles'!J$7=30, ('Outil Cibles'!J$16-'Outil Cibles'!J$11)*0.5*'Outil Cibles'!J$8, IF(G55-'Outil Cibles'!J$7=60, ('Outil Cibles'!J$16-'Outil Cibles'!J$11)*0.5*'Outil Cibles'!J$8, 0))</f>
        <v>0</v>
      </c>
      <c r="I55">
        <f>IF($A55-'Outil Cibles'!K$7=30, ('Outil Cibles'!K$16-'Outil Cibles'!K$11)*0.5*'Outil Cibles'!K$8, IF(H55-'Outil Cibles'!K$7=60, ('Outil Cibles'!K$16-'Outil Cibles'!K$11)*0.5*'Outil Cibles'!K$8, 0))</f>
        <v>0</v>
      </c>
      <c r="J55">
        <f>IF($A55-'Outil Cibles'!L$7=30, ('Outil Cibles'!L$16-'Outil Cibles'!L$11)*0.5*'Outil Cibles'!L$8, IF(I55-'Outil Cibles'!L$7=60, ('Outil Cibles'!L$16-'Outil Cibles'!L$11)*0.5*'Outil Cibles'!L$8, 0))</f>
        <v>0</v>
      </c>
      <c r="K55">
        <f>IF($A55-'Outil Cibles'!M$7=30, ('Outil Cibles'!M$16-'Outil Cibles'!M$11)*0.5*'Outil Cibles'!M$8, IF(J55-'Outil Cibles'!M$7=60, ('Outil Cibles'!M$16-'Outil Cibles'!M$11)*0.5*'Outil Cibles'!M$8, 0))</f>
        <v>0</v>
      </c>
      <c r="L55">
        <f t="shared" si="0"/>
        <v>0</v>
      </c>
      <c r="N55" s="10">
        <v>2073</v>
      </c>
      <c r="O55">
        <f>IF(N55='Outil Cibles'!$Q$7, 'Outil Cibles'!$Q$18, 0)</f>
        <v>0</v>
      </c>
      <c r="P55">
        <f>IF(N55='Outil Cibles'!$R$7, 'Outil Cibles'!$R$18, 0)</f>
        <v>0</v>
      </c>
      <c r="Q55">
        <f>IF(N55='Outil Cibles'!$S$7, 'Outil Cibles'!$S$18, 0)</f>
        <v>0</v>
      </c>
      <c r="R55">
        <f>IF(N55='Outil Cibles'!$T$7, 'Outil Cibles'!$T$18, 0)</f>
        <v>0</v>
      </c>
      <c r="S55">
        <f>IF(N55='Outil Cibles'!$U$7, 'Outil Cibles'!$U$18, 0)</f>
        <v>0</v>
      </c>
      <c r="T55">
        <f>IF(N55='Outil Cibles'!$V$7, 'Outil Cibles'!$V$18, 0)</f>
        <v>0</v>
      </c>
      <c r="U55">
        <f>IF(N55='Outil Cibles'!$W$7, 'Outil Cibles'!$W$18, 0)</f>
        <v>0</v>
      </c>
      <c r="V55">
        <f>IF(N55='Outil Cibles'!$X$7, 'Outil Cibles'!$X$18, 0)</f>
        <v>0</v>
      </c>
      <c r="W55">
        <f>IF(N55='Outil Cibles'!$Y$7, 'Outil Cibles'!$Y$18, 0)</f>
        <v>0</v>
      </c>
      <c r="X55">
        <f>IF(N55='Outil Cibles'!$Z$7, 'Outil Cibles'!$Z$18, 0)</f>
        <v>0</v>
      </c>
      <c r="Y55">
        <f t="shared" si="1"/>
        <v>0</v>
      </c>
    </row>
    <row r="56" spans="1:25" x14ac:dyDescent="0.3">
      <c r="A56">
        <v>2074</v>
      </c>
      <c r="B56">
        <f>IF(A56-'Outil Cibles'!D$7=30, ('Outil Cibles'!D$16-'Outil Cibles'!D$11)*0.5*'Outil Cibles'!D$8, IF(A56-'Outil Cibles'!D$7=60, ('Outil Cibles'!D$16-'Outil Cibles'!D$11)*0.5*'Outil Cibles'!D$8, 0))</f>
        <v>0</v>
      </c>
      <c r="C56">
        <f>IF($A56-'Outil Cibles'!E$7=30, ('Outil Cibles'!E$16-'Outil Cibles'!E$11)*0.5*'Outil Cibles'!E$8, IF(B56-'Outil Cibles'!E$7=60, ('Outil Cibles'!E$16-'Outil Cibles'!E$11)*0.5*'Outil Cibles'!E$8, 0))</f>
        <v>0</v>
      </c>
      <c r="D56">
        <f>IF($A56-'Outil Cibles'!F$7=30, ('Outil Cibles'!F$16-'Outil Cibles'!F$11)*0.5*'Outil Cibles'!F$8, IF(C56-'Outil Cibles'!F$7=60, ('Outil Cibles'!F$16-'Outil Cibles'!F$11)*0.5*'Outil Cibles'!F$8, 0))</f>
        <v>0</v>
      </c>
      <c r="E56">
        <f>IF($A56-'Outil Cibles'!G$7=30, ('Outil Cibles'!G$16-'Outil Cibles'!G$11)*0.5*'Outil Cibles'!G$8, IF(D56-'Outil Cibles'!G$7=60, ('Outil Cibles'!G$16-'Outil Cibles'!G$11)*0.5*'Outil Cibles'!G$8, 0))</f>
        <v>0</v>
      </c>
      <c r="F56">
        <f>IF($A56-'Outil Cibles'!H$7=30, ('Outil Cibles'!H$16-'Outil Cibles'!H$11)*0.5*'Outil Cibles'!H$8, IF(E56-'Outil Cibles'!H$7=60, ('Outil Cibles'!H$16-'Outil Cibles'!H$11)*0.5*'Outil Cibles'!H$8, 0))</f>
        <v>0</v>
      </c>
      <c r="G56">
        <f>IF($A56-'Outil Cibles'!I$7=30, ('Outil Cibles'!I$16-'Outil Cibles'!I$11)*0.5*'Outil Cibles'!I$8, IF(F56-'Outil Cibles'!I$7=60, ('Outil Cibles'!I$16-'Outil Cibles'!I$11)*0.5*'Outil Cibles'!I$8, 0))</f>
        <v>0</v>
      </c>
      <c r="H56">
        <f>IF($A56-'Outil Cibles'!J$7=30, ('Outil Cibles'!J$16-'Outil Cibles'!J$11)*0.5*'Outil Cibles'!J$8, IF(G56-'Outil Cibles'!J$7=60, ('Outil Cibles'!J$16-'Outil Cibles'!J$11)*0.5*'Outil Cibles'!J$8, 0))</f>
        <v>0</v>
      </c>
      <c r="I56">
        <f>IF($A56-'Outil Cibles'!K$7=30, ('Outil Cibles'!K$16-'Outil Cibles'!K$11)*0.5*'Outil Cibles'!K$8, IF(H56-'Outil Cibles'!K$7=60, ('Outil Cibles'!K$16-'Outil Cibles'!K$11)*0.5*'Outil Cibles'!K$8, 0))</f>
        <v>706.72440481939702</v>
      </c>
      <c r="J56">
        <f>IF($A56-'Outil Cibles'!L$7=30, ('Outil Cibles'!L$16-'Outil Cibles'!L$11)*0.5*'Outil Cibles'!L$8, IF(I56-'Outil Cibles'!L$7=60, ('Outil Cibles'!L$16-'Outil Cibles'!L$11)*0.5*'Outil Cibles'!L$8, 0))</f>
        <v>0</v>
      </c>
      <c r="K56">
        <f>IF($A56-'Outil Cibles'!M$7=30, ('Outil Cibles'!M$16-'Outil Cibles'!M$11)*0.5*'Outil Cibles'!M$8, IF(J56-'Outil Cibles'!M$7=60, ('Outil Cibles'!M$16-'Outil Cibles'!M$11)*0.5*'Outil Cibles'!M$8, 0))</f>
        <v>0</v>
      </c>
      <c r="L56">
        <f t="shared" si="0"/>
        <v>706.72440481939702</v>
      </c>
      <c r="N56">
        <v>2074</v>
      </c>
      <c r="O56">
        <f>IF(N56='Outil Cibles'!$Q$7, 'Outil Cibles'!$Q$18, 0)</f>
        <v>0</v>
      </c>
      <c r="P56">
        <f>IF(N56='Outil Cibles'!$R$7, 'Outil Cibles'!$R$18, 0)</f>
        <v>0</v>
      </c>
      <c r="Q56">
        <f>IF(N56='Outil Cibles'!$S$7, 'Outil Cibles'!$S$18, 0)</f>
        <v>0</v>
      </c>
      <c r="R56">
        <f>IF(N56='Outil Cibles'!$T$7, 'Outil Cibles'!$T$18, 0)</f>
        <v>0</v>
      </c>
      <c r="S56">
        <f>IF(N56='Outil Cibles'!$U$7, 'Outil Cibles'!$U$18, 0)</f>
        <v>0</v>
      </c>
      <c r="T56">
        <f>IF(N56='Outil Cibles'!$V$7, 'Outil Cibles'!$V$18, 0)</f>
        <v>0</v>
      </c>
      <c r="U56">
        <f>IF(N56='Outil Cibles'!$W$7, 'Outil Cibles'!$W$18, 0)</f>
        <v>0</v>
      </c>
      <c r="V56">
        <f>IF(N56='Outil Cibles'!$X$7, 'Outil Cibles'!$X$18, 0)</f>
        <v>0</v>
      </c>
      <c r="W56">
        <f>IF(N56='Outil Cibles'!$Y$7, 'Outil Cibles'!$Y$18, 0)</f>
        <v>0</v>
      </c>
      <c r="X56">
        <f>IF(N56='Outil Cibles'!$Z$7, 'Outil Cibles'!$Z$18, 0)</f>
        <v>0</v>
      </c>
      <c r="Y56">
        <f t="shared" si="1"/>
        <v>0</v>
      </c>
    </row>
    <row r="57" spans="1:25" x14ac:dyDescent="0.3">
      <c r="A57">
        <v>2075</v>
      </c>
      <c r="B57">
        <f>IF(A57-'Outil Cibles'!D$7=30, ('Outil Cibles'!D$16-'Outil Cibles'!D$11)*0.5*'Outil Cibles'!D$8, IF(A57-'Outil Cibles'!D$7=60, ('Outil Cibles'!D$16-'Outil Cibles'!D$11)*0.5*'Outil Cibles'!D$8, 0))</f>
        <v>0</v>
      </c>
      <c r="C57">
        <f>IF($A57-'Outil Cibles'!E$7=30, ('Outil Cibles'!E$16-'Outil Cibles'!E$11)*0.5*'Outil Cibles'!E$8, IF(B57-'Outil Cibles'!E$7=60, ('Outil Cibles'!E$16-'Outil Cibles'!E$11)*0.5*'Outil Cibles'!E$8, 0))</f>
        <v>0</v>
      </c>
      <c r="D57">
        <f>IF($A57-'Outil Cibles'!F$7=30, ('Outil Cibles'!F$16-'Outil Cibles'!F$11)*0.5*'Outil Cibles'!F$8, IF(C57-'Outil Cibles'!F$7=60, ('Outil Cibles'!F$16-'Outil Cibles'!F$11)*0.5*'Outil Cibles'!F$8, 0))</f>
        <v>0</v>
      </c>
      <c r="E57">
        <f>IF($A57-'Outil Cibles'!G$7=30, ('Outil Cibles'!G$16-'Outil Cibles'!G$11)*0.5*'Outil Cibles'!G$8, IF(D57-'Outil Cibles'!G$7=60, ('Outil Cibles'!G$16-'Outil Cibles'!G$11)*0.5*'Outil Cibles'!G$8, 0))</f>
        <v>0</v>
      </c>
      <c r="F57">
        <f>IF($A57-'Outil Cibles'!H$7=30, ('Outil Cibles'!H$16-'Outil Cibles'!H$11)*0.5*'Outil Cibles'!H$8, IF(E57-'Outil Cibles'!H$7=60, ('Outil Cibles'!H$16-'Outil Cibles'!H$11)*0.5*'Outil Cibles'!H$8, 0))</f>
        <v>0</v>
      </c>
      <c r="G57">
        <f>IF($A57-'Outil Cibles'!I$7=30, ('Outil Cibles'!I$16-'Outil Cibles'!I$11)*0.5*'Outil Cibles'!I$8, IF(F57-'Outil Cibles'!I$7=60, ('Outil Cibles'!I$16-'Outil Cibles'!I$11)*0.5*'Outil Cibles'!I$8, 0))</f>
        <v>0</v>
      </c>
      <c r="H57">
        <f>IF($A57-'Outil Cibles'!J$7=30, ('Outil Cibles'!J$16-'Outil Cibles'!J$11)*0.5*'Outil Cibles'!J$8, IF(G57-'Outil Cibles'!J$7=60, ('Outil Cibles'!J$16-'Outil Cibles'!J$11)*0.5*'Outil Cibles'!J$8, 0))</f>
        <v>0</v>
      </c>
      <c r="I57">
        <f>IF($A57-'Outil Cibles'!K$7=30, ('Outil Cibles'!K$16-'Outil Cibles'!K$11)*0.5*'Outil Cibles'!K$8, IF(H57-'Outil Cibles'!K$7=60, ('Outil Cibles'!K$16-'Outil Cibles'!K$11)*0.5*'Outil Cibles'!K$8, 0))</f>
        <v>0</v>
      </c>
      <c r="J57">
        <f>IF($A57-'Outil Cibles'!L$7=30, ('Outil Cibles'!L$16-'Outil Cibles'!L$11)*0.5*'Outil Cibles'!L$8, IF(I57-'Outil Cibles'!L$7=60, ('Outil Cibles'!L$16-'Outil Cibles'!L$11)*0.5*'Outil Cibles'!L$8, 0))</f>
        <v>0</v>
      </c>
      <c r="K57">
        <f>IF($A57-'Outil Cibles'!M$7=30, ('Outil Cibles'!M$16-'Outil Cibles'!M$11)*0.5*'Outil Cibles'!M$8, IF(J57-'Outil Cibles'!M$7=60, ('Outil Cibles'!M$16-'Outil Cibles'!M$11)*0.5*'Outil Cibles'!M$8, 0))</f>
        <v>0</v>
      </c>
      <c r="L57">
        <f t="shared" si="0"/>
        <v>0</v>
      </c>
      <c r="N57">
        <v>2075</v>
      </c>
      <c r="O57">
        <f>IF(N57='Outil Cibles'!$Q$7, 'Outil Cibles'!$Q$18, 0)</f>
        <v>0</v>
      </c>
      <c r="P57">
        <f>IF(N57='Outil Cibles'!$R$7, 'Outil Cibles'!$R$18, 0)</f>
        <v>0</v>
      </c>
      <c r="Q57">
        <f>IF(N57='Outil Cibles'!$S$7, 'Outil Cibles'!$S$18, 0)</f>
        <v>0</v>
      </c>
      <c r="R57">
        <f>IF(N57='Outil Cibles'!$T$7, 'Outil Cibles'!$T$18, 0)</f>
        <v>0</v>
      </c>
      <c r="S57">
        <f>IF(N57='Outil Cibles'!$U$7, 'Outil Cibles'!$U$18, 0)</f>
        <v>0</v>
      </c>
      <c r="T57">
        <f>IF(N57='Outil Cibles'!$V$7, 'Outil Cibles'!$V$18, 0)</f>
        <v>0</v>
      </c>
      <c r="U57">
        <f>IF(N57='Outil Cibles'!$W$7, 'Outil Cibles'!$W$18, 0)</f>
        <v>0</v>
      </c>
      <c r="V57">
        <f>IF(N57='Outil Cibles'!$X$7, 'Outil Cibles'!$X$18, 0)</f>
        <v>0</v>
      </c>
      <c r="W57">
        <f>IF(N57='Outil Cibles'!$Y$7, 'Outil Cibles'!$Y$18, 0)</f>
        <v>0</v>
      </c>
      <c r="X57">
        <f>IF(N57='Outil Cibles'!$Z$7, 'Outil Cibles'!$Z$18, 0)</f>
        <v>0</v>
      </c>
      <c r="Y57">
        <f t="shared" si="1"/>
        <v>0</v>
      </c>
    </row>
    <row r="58" spans="1:25" x14ac:dyDescent="0.3">
      <c r="A58">
        <v>2076</v>
      </c>
      <c r="B58">
        <f>IF(A58-'Outil Cibles'!D$7=30, ('Outil Cibles'!D$16-'Outil Cibles'!D$11)*0.5*'Outil Cibles'!D$8, IF(A58-'Outil Cibles'!D$7=60, ('Outil Cibles'!D$16-'Outil Cibles'!D$11)*0.5*'Outil Cibles'!D$8, 0))</f>
        <v>0</v>
      </c>
      <c r="C58">
        <f>IF($A58-'Outil Cibles'!E$7=30, ('Outil Cibles'!E$16-'Outil Cibles'!E$11)*0.5*'Outil Cibles'!E$8, IF(B58-'Outil Cibles'!E$7=60, ('Outil Cibles'!E$16-'Outil Cibles'!E$11)*0.5*'Outil Cibles'!E$8, 0))</f>
        <v>0</v>
      </c>
      <c r="D58">
        <f>IF($A58-'Outil Cibles'!F$7=30, ('Outil Cibles'!F$16-'Outil Cibles'!F$11)*0.5*'Outil Cibles'!F$8, IF(C58-'Outil Cibles'!F$7=60, ('Outil Cibles'!F$16-'Outil Cibles'!F$11)*0.5*'Outil Cibles'!F$8, 0))</f>
        <v>0</v>
      </c>
      <c r="E58">
        <f>IF($A58-'Outil Cibles'!G$7=30, ('Outil Cibles'!G$16-'Outil Cibles'!G$11)*0.5*'Outil Cibles'!G$8, IF(D58-'Outil Cibles'!G$7=60, ('Outil Cibles'!G$16-'Outil Cibles'!G$11)*0.5*'Outil Cibles'!G$8, 0))</f>
        <v>0</v>
      </c>
      <c r="F58">
        <f>IF($A58-'Outil Cibles'!H$7=30, ('Outil Cibles'!H$16-'Outil Cibles'!H$11)*0.5*'Outil Cibles'!H$8, IF(E58-'Outil Cibles'!H$7=60, ('Outil Cibles'!H$16-'Outil Cibles'!H$11)*0.5*'Outil Cibles'!H$8, 0))</f>
        <v>0</v>
      </c>
      <c r="G58">
        <f>IF($A58-'Outil Cibles'!I$7=30, ('Outil Cibles'!I$16-'Outil Cibles'!I$11)*0.5*'Outil Cibles'!I$8, IF(F58-'Outil Cibles'!I$7=60, ('Outil Cibles'!I$16-'Outil Cibles'!I$11)*0.5*'Outil Cibles'!I$8, 0))</f>
        <v>0</v>
      </c>
      <c r="H58">
        <f>IF($A58-'Outil Cibles'!J$7=30, ('Outil Cibles'!J$16-'Outil Cibles'!J$11)*0.5*'Outil Cibles'!J$8, IF(G58-'Outil Cibles'!J$7=60, ('Outil Cibles'!J$16-'Outil Cibles'!J$11)*0.5*'Outil Cibles'!J$8, 0))</f>
        <v>0</v>
      </c>
      <c r="I58">
        <f>IF($A58-'Outil Cibles'!K$7=30, ('Outil Cibles'!K$16-'Outil Cibles'!K$11)*0.5*'Outil Cibles'!K$8, IF(H58-'Outil Cibles'!K$7=60, ('Outil Cibles'!K$16-'Outil Cibles'!K$11)*0.5*'Outil Cibles'!K$8, 0))</f>
        <v>0</v>
      </c>
      <c r="J58">
        <f>IF($A58-'Outil Cibles'!L$7=30, ('Outil Cibles'!L$16-'Outil Cibles'!L$11)*0.5*'Outil Cibles'!L$8, IF(I58-'Outil Cibles'!L$7=60, ('Outil Cibles'!L$16-'Outil Cibles'!L$11)*0.5*'Outil Cibles'!L$8, 0))</f>
        <v>0</v>
      </c>
      <c r="K58">
        <f>IF($A58-'Outil Cibles'!M$7=30, ('Outil Cibles'!M$16-'Outil Cibles'!M$11)*0.5*'Outil Cibles'!M$8, IF(J58-'Outil Cibles'!M$7=60, ('Outil Cibles'!M$16-'Outil Cibles'!M$11)*0.5*'Outil Cibles'!M$8, 0))</f>
        <v>0</v>
      </c>
      <c r="L58">
        <f t="shared" si="0"/>
        <v>0</v>
      </c>
      <c r="N58">
        <v>2076</v>
      </c>
      <c r="O58">
        <f>IF(N58='Outil Cibles'!$Q$7, 'Outil Cibles'!$Q$18, 0)</f>
        <v>0</v>
      </c>
      <c r="P58">
        <f>IF(N58='Outil Cibles'!$R$7, 'Outil Cibles'!$R$18, 0)</f>
        <v>0</v>
      </c>
      <c r="Q58">
        <f>IF(N58='Outil Cibles'!$S$7, 'Outil Cibles'!$S$18, 0)</f>
        <v>0</v>
      </c>
      <c r="R58">
        <f>IF(N58='Outil Cibles'!$T$7, 'Outil Cibles'!$T$18, 0)</f>
        <v>0</v>
      </c>
      <c r="S58">
        <f>IF(N58='Outil Cibles'!$U$7, 'Outil Cibles'!$U$18, 0)</f>
        <v>0</v>
      </c>
      <c r="T58">
        <f>IF(N58='Outil Cibles'!$V$7, 'Outil Cibles'!$V$18, 0)</f>
        <v>0</v>
      </c>
      <c r="U58">
        <f>IF(N58='Outil Cibles'!$W$7, 'Outil Cibles'!$W$18, 0)</f>
        <v>0</v>
      </c>
      <c r="V58">
        <f>IF(N58='Outil Cibles'!$X$7, 'Outil Cibles'!$X$18, 0)</f>
        <v>0</v>
      </c>
      <c r="W58">
        <f>IF(N58='Outil Cibles'!$Y$7, 'Outil Cibles'!$Y$18, 0)</f>
        <v>0</v>
      </c>
      <c r="X58">
        <f>IF(N58='Outil Cibles'!$Z$7, 'Outil Cibles'!$Z$18, 0)</f>
        <v>0</v>
      </c>
      <c r="Y58">
        <f t="shared" si="1"/>
        <v>0</v>
      </c>
    </row>
    <row r="59" spans="1:25" x14ac:dyDescent="0.3">
      <c r="A59" s="10">
        <v>2077</v>
      </c>
      <c r="B59">
        <f>IF(A59-'Outil Cibles'!D$7=30, ('Outil Cibles'!D$16-'Outil Cibles'!D$11)*0.5*'Outil Cibles'!D$8, IF(A59-'Outil Cibles'!D$7=60, ('Outil Cibles'!D$16-'Outil Cibles'!D$11)*0.5*'Outil Cibles'!D$8, 0))</f>
        <v>0</v>
      </c>
      <c r="C59">
        <f>IF($A59-'Outil Cibles'!E$7=30, ('Outil Cibles'!E$16-'Outil Cibles'!E$11)*0.5*'Outil Cibles'!E$8, IF(B59-'Outil Cibles'!E$7=60, ('Outil Cibles'!E$16-'Outil Cibles'!E$11)*0.5*'Outil Cibles'!E$8, 0))</f>
        <v>0</v>
      </c>
      <c r="D59">
        <f>IF($A59-'Outil Cibles'!F$7=30, ('Outil Cibles'!F$16-'Outil Cibles'!F$11)*0.5*'Outil Cibles'!F$8, IF(C59-'Outil Cibles'!F$7=60, ('Outil Cibles'!F$16-'Outil Cibles'!F$11)*0.5*'Outil Cibles'!F$8, 0))</f>
        <v>0</v>
      </c>
      <c r="E59">
        <f>IF($A59-'Outil Cibles'!G$7=30, ('Outil Cibles'!G$16-'Outil Cibles'!G$11)*0.5*'Outil Cibles'!G$8, IF(D59-'Outil Cibles'!G$7=60, ('Outil Cibles'!G$16-'Outil Cibles'!G$11)*0.5*'Outil Cibles'!G$8, 0))</f>
        <v>0</v>
      </c>
      <c r="F59">
        <f>IF($A59-'Outil Cibles'!H$7=30, ('Outil Cibles'!H$16-'Outil Cibles'!H$11)*0.5*'Outil Cibles'!H$8, IF(E59-'Outil Cibles'!H$7=60, ('Outil Cibles'!H$16-'Outil Cibles'!H$11)*0.5*'Outil Cibles'!H$8, 0))</f>
        <v>0</v>
      </c>
      <c r="G59">
        <f>IF($A59-'Outil Cibles'!I$7=30, ('Outil Cibles'!I$16-'Outil Cibles'!I$11)*0.5*'Outil Cibles'!I$8, IF(F59-'Outil Cibles'!I$7=60, ('Outil Cibles'!I$16-'Outil Cibles'!I$11)*0.5*'Outil Cibles'!I$8, 0))</f>
        <v>0</v>
      </c>
      <c r="H59">
        <f>IF($A59-'Outil Cibles'!J$7=30, ('Outil Cibles'!J$16-'Outil Cibles'!J$11)*0.5*'Outil Cibles'!J$8, IF(G59-'Outil Cibles'!J$7=60, ('Outil Cibles'!J$16-'Outil Cibles'!J$11)*0.5*'Outil Cibles'!J$8, 0))</f>
        <v>0</v>
      </c>
      <c r="I59">
        <f>IF($A59-'Outil Cibles'!K$7=30, ('Outil Cibles'!K$16-'Outil Cibles'!K$11)*0.5*'Outil Cibles'!K$8, IF(H59-'Outil Cibles'!K$7=60, ('Outil Cibles'!K$16-'Outil Cibles'!K$11)*0.5*'Outil Cibles'!K$8, 0))</f>
        <v>0</v>
      </c>
      <c r="J59">
        <f>IF($A59-'Outil Cibles'!L$7=30, ('Outil Cibles'!L$16-'Outil Cibles'!L$11)*0.5*'Outil Cibles'!L$8, IF(I59-'Outil Cibles'!L$7=60, ('Outil Cibles'!L$16-'Outil Cibles'!L$11)*0.5*'Outil Cibles'!L$8, 0))</f>
        <v>0</v>
      </c>
      <c r="K59">
        <f>IF($A59-'Outil Cibles'!M$7=30, ('Outil Cibles'!M$16-'Outil Cibles'!M$11)*0.5*'Outil Cibles'!M$8, IF(J59-'Outil Cibles'!M$7=60, ('Outil Cibles'!M$16-'Outil Cibles'!M$11)*0.5*'Outil Cibles'!M$8, 0))</f>
        <v>0</v>
      </c>
      <c r="L59">
        <f t="shared" si="0"/>
        <v>0</v>
      </c>
      <c r="N59" s="10">
        <v>2077</v>
      </c>
      <c r="O59">
        <f>IF(N59='Outil Cibles'!$Q$7, 'Outil Cibles'!$Q$18, 0)</f>
        <v>0</v>
      </c>
      <c r="P59">
        <f>IF(N59='Outil Cibles'!$R$7, 'Outil Cibles'!$R$18, 0)</f>
        <v>0</v>
      </c>
      <c r="Q59">
        <f>IF(N59='Outil Cibles'!$S$7, 'Outil Cibles'!$S$18, 0)</f>
        <v>0</v>
      </c>
      <c r="R59">
        <f>IF(N59='Outil Cibles'!$T$7, 'Outil Cibles'!$T$18, 0)</f>
        <v>0</v>
      </c>
      <c r="S59">
        <f>IF(N59='Outil Cibles'!$U$7, 'Outil Cibles'!$U$18, 0)</f>
        <v>0</v>
      </c>
      <c r="T59">
        <f>IF(N59='Outil Cibles'!$V$7, 'Outil Cibles'!$V$18, 0)</f>
        <v>0</v>
      </c>
      <c r="U59">
        <f>IF(N59='Outil Cibles'!$W$7, 'Outil Cibles'!$W$18, 0)</f>
        <v>0</v>
      </c>
      <c r="V59">
        <f>IF(N59='Outil Cibles'!$X$7, 'Outil Cibles'!$X$18, 0)</f>
        <v>0</v>
      </c>
      <c r="W59">
        <f>IF(N59='Outil Cibles'!$Y$7, 'Outil Cibles'!$Y$18, 0)</f>
        <v>0</v>
      </c>
      <c r="X59">
        <f>IF(N59='Outil Cibles'!$Z$7, 'Outil Cibles'!$Z$18, 0)</f>
        <v>0</v>
      </c>
      <c r="Y59">
        <f t="shared" si="1"/>
        <v>0</v>
      </c>
    </row>
    <row r="60" spans="1:25" x14ac:dyDescent="0.3">
      <c r="A60">
        <v>2078</v>
      </c>
      <c r="B60">
        <f>IF(A60-'Outil Cibles'!D$7=30, ('Outil Cibles'!D$16-'Outil Cibles'!D$11)*0.5*'Outil Cibles'!D$8, IF(A60-'Outil Cibles'!D$7=60, ('Outil Cibles'!D$16-'Outil Cibles'!D$11)*0.5*'Outil Cibles'!D$8, 0))</f>
        <v>0</v>
      </c>
      <c r="C60">
        <f>IF($A60-'Outil Cibles'!E$7=30, ('Outil Cibles'!E$16-'Outil Cibles'!E$11)*0.5*'Outil Cibles'!E$8, IF(B60-'Outil Cibles'!E$7=60, ('Outil Cibles'!E$16-'Outil Cibles'!E$11)*0.5*'Outil Cibles'!E$8, 0))</f>
        <v>0</v>
      </c>
      <c r="D60">
        <f>IF($A60-'Outil Cibles'!F$7=30, ('Outil Cibles'!F$16-'Outil Cibles'!F$11)*0.5*'Outil Cibles'!F$8, IF(C60-'Outil Cibles'!F$7=60, ('Outil Cibles'!F$16-'Outil Cibles'!F$11)*0.5*'Outil Cibles'!F$8, 0))</f>
        <v>0</v>
      </c>
      <c r="E60">
        <f>IF($A60-'Outil Cibles'!G$7=30, ('Outil Cibles'!G$16-'Outil Cibles'!G$11)*0.5*'Outil Cibles'!G$8, IF(D60-'Outil Cibles'!G$7=60, ('Outil Cibles'!G$16-'Outil Cibles'!G$11)*0.5*'Outil Cibles'!G$8, 0))</f>
        <v>0</v>
      </c>
      <c r="F60">
        <f>IF($A60-'Outil Cibles'!H$7=30, ('Outil Cibles'!H$16-'Outil Cibles'!H$11)*0.5*'Outil Cibles'!H$8, IF(E60-'Outil Cibles'!H$7=60, ('Outil Cibles'!H$16-'Outil Cibles'!H$11)*0.5*'Outil Cibles'!H$8, 0))</f>
        <v>0</v>
      </c>
      <c r="G60">
        <f>IF($A60-'Outil Cibles'!I$7=30, ('Outil Cibles'!I$16-'Outil Cibles'!I$11)*0.5*'Outil Cibles'!I$8, IF(F60-'Outil Cibles'!I$7=60, ('Outil Cibles'!I$16-'Outil Cibles'!I$11)*0.5*'Outil Cibles'!I$8, 0))</f>
        <v>0</v>
      </c>
      <c r="H60">
        <f>IF($A60-'Outil Cibles'!J$7=30, ('Outil Cibles'!J$16-'Outil Cibles'!J$11)*0.5*'Outil Cibles'!J$8, IF(G60-'Outil Cibles'!J$7=60, ('Outil Cibles'!J$16-'Outil Cibles'!J$11)*0.5*'Outil Cibles'!J$8, 0))</f>
        <v>0</v>
      </c>
      <c r="I60">
        <f>IF($A60-'Outil Cibles'!K$7=30, ('Outil Cibles'!K$16-'Outil Cibles'!K$11)*0.5*'Outil Cibles'!K$8, IF(H60-'Outil Cibles'!K$7=60, ('Outil Cibles'!K$16-'Outil Cibles'!K$11)*0.5*'Outil Cibles'!K$8, 0))</f>
        <v>0</v>
      </c>
      <c r="J60">
        <f>IF($A60-'Outil Cibles'!L$7=30, ('Outil Cibles'!L$16-'Outil Cibles'!L$11)*0.5*'Outil Cibles'!L$8, IF(I60-'Outil Cibles'!L$7=60, ('Outil Cibles'!L$16-'Outil Cibles'!L$11)*0.5*'Outil Cibles'!L$8, 0))</f>
        <v>243.50977213855174</v>
      </c>
      <c r="K60">
        <f>IF($A60-'Outil Cibles'!M$7=30, ('Outil Cibles'!M$16-'Outil Cibles'!M$11)*0.5*'Outil Cibles'!M$8, IF(J60-'Outil Cibles'!M$7=60, ('Outil Cibles'!M$16-'Outil Cibles'!M$11)*0.5*'Outil Cibles'!M$8, 0))</f>
        <v>0</v>
      </c>
      <c r="L60">
        <f t="shared" si="0"/>
        <v>243.50977213855174</v>
      </c>
      <c r="N60">
        <v>2078</v>
      </c>
      <c r="O60">
        <f>IF(N60='Outil Cibles'!$Q$7, 'Outil Cibles'!$Q$18, 0)</f>
        <v>0</v>
      </c>
      <c r="P60">
        <f>IF(N60='Outil Cibles'!$R$7, 'Outil Cibles'!$R$18, 0)</f>
        <v>0</v>
      </c>
      <c r="Q60">
        <f>IF(N60='Outil Cibles'!$S$7, 'Outil Cibles'!$S$18, 0)</f>
        <v>0</v>
      </c>
      <c r="R60">
        <f>IF(N60='Outil Cibles'!$T$7, 'Outil Cibles'!$T$18, 0)</f>
        <v>0</v>
      </c>
      <c r="S60">
        <f>IF(N60='Outil Cibles'!$U$7, 'Outil Cibles'!$U$18, 0)</f>
        <v>0</v>
      </c>
      <c r="T60">
        <f>IF(N60='Outil Cibles'!$V$7, 'Outil Cibles'!$V$18, 0)</f>
        <v>0</v>
      </c>
      <c r="U60">
        <f>IF(N60='Outil Cibles'!$W$7, 'Outil Cibles'!$W$18, 0)</f>
        <v>0</v>
      </c>
      <c r="V60">
        <f>IF(N60='Outil Cibles'!$X$7, 'Outil Cibles'!$X$18, 0)</f>
        <v>0</v>
      </c>
      <c r="W60">
        <f>IF(N60='Outil Cibles'!$Y$7, 'Outil Cibles'!$Y$18, 0)</f>
        <v>0</v>
      </c>
      <c r="X60">
        <f>IF(N60='Outil Cibles'!$Z$7, 'Outil Cibles'!$Z$18, 0)</f>
        <v>0</v>
      </c>
      <c r="Y60">
        <f t="shared" si="1"/>
        <v>0</v>
      </c>
    </row>
    <row r="61" spans="1:25" x14ac:dyDescent="0.3">
      <c r="A61">
        <v>2079</v>
      </c>
      <c r="B61">
        <f>IF(A61-'Outil Cibles'!D$7=30, ('Outil Cibles'!D$16-'Outil Cibles'!D$11)*0.5*'Outil Cibles'!D$8, IF(A61-'Outil Cibles'!D$7=60, ('Outil Cibles'!D$16-'Outil Cibles'!D$11)*0.5*'Outil Cibles'!D$8, 0))</f>
        <v>0</v>
      </c>
      <c r="C61">
        <f>IF($A61-'Outil Cibles'!E$7=30, ('Outil Cibles'!E$16-'Outil Cibles'!E$11)*0.5*'Outil Cibles'!E$8, IF(B61-'Outil Cibles'!E$7=60, ('Outil Cibles'!E$16-'Outil Cibles'!E$11)*0.5*'Outil Cibles'!E$8, 0))</f>
        <v>0</v>
      </c>
      <c r="D61">
        <f>IF($A61-'Outil Cibles'!F$7=30, ('Outil Cibles'!F$16-'Outil Cibles'!F$11)*0.5*'Outil Cibles'!F$8, IF(C61-'Outil Cibles'!F$7=60, ('Outil Cibles'!F$16-'Outil Cibles'!F$11)*0.5*'Outil Cibles'!F$8, 0))</f>
        <v>0</v>
      </c>
      <c r="E61">
        <f>IF($A61-'Outil Cibles'!G$7=30, ('Outil Cibles'!G$16-'Outil Cibles'!G$11)*0.5*'Outil Cibles'!G$8, IF(D61-'Outil Cibles'!G$7=60, ('Outil Cibles'!G$16-'Outil Cibles'!G$11)*0.5*'Outil Cibles'!G$8, 0))</f>
        <v>0</v>
      </c>
      <c r="F61">
        <f>IF($A61-'Outil Cibles'!H$7=30, ('Outil Cibles'!H$16-'Outil Cibles'!H$11)*0.5*'Outil Cibles'!H$8, IF(E61-'Outil Cibles'!H$7=60, ('Outil Cibles'!H$16-'Outil Cibles'!H$11)*0.5*'Outil Cibles'!H$8, 0))</f>
        <v>0</v>
      </c>
      <c r="G61">
        <f>IF($A61-'Outil Cibles'!I$7=30, ('Outil Cibles'!I$16-'Outil Cibles'!I$11)*0.5*'Outil Cibles'!I$8, IF(F61-'Outil Cibles'!I$7=60, ('Outil Cibles'!I$16-'Outil Cibles'!I$11)*0.5*'Outil Cibles'!I$8, 0))</f>
        <v>0</v>
      </c>
      <c r="H61">
        <f>IF($A61-'Outil Cibles'!J$7=30, ('Outil Cibles'!J$16-'Outil Cibles'!J$11)*0.5*'Outil Cibles'!J$8, IF(G61-'Outil Cibles'!J$7=60, ('Outil Cibles'!J$16-'Outil Cibles'!J$11)*0.5*'Outil Cibles'!J$8, 0))</f>
        <v>0</v>
      </c>
      <c r="I61">
        <f>IF($A61-'Outil Cibles'!K$7=30, ('Outil Cibles'!K$16-'Outil Cibles'!K$11)*0.5*'Outil Cibles'!K$8, IF(H61-'Outil Cibles'!K$7=60, ('Outil Cibles'!K$16-'Outil Cibles'!K$11)*0.5*'Outil Cibles'!K$8, 0))</f>
        <v>0</v>
      </c>
      <c r="J61">
        <f>IF($A61-'Outil Cibles'!L$7=30, ('Outil Cibles'!L$16-'Outil Cibles'!L$11)*0.5*'Outil Cibles'!L$8, IF(I61-'Outil Cibles'!L$7=60, ('Outil Cibles'!L$16-'Outil Cibles'!L$11)*0.5*'Outil Cibles'!L$8, 0))</f>
        <v>0</v>
      </c>
      <c r="K61">
        <f>IF($A61-'Outil Cibles'!M$7=30, ('Outil Cibles'!M$16-'Outil Cibles'!M$11)*0.5*'Outil Cibles'!M$8, IF(J61-'Outil Cibles'!M$7=60, ('Outil Cibles'!M$16-'Outil Cibles'!M$11)*0.5*'Outil Cibles'!M$8, 0))</f>
        <v>0</v>
      </c>
      <c r="L61">
        <f t="shared" si="0"/>
        <v>0</v>
      </c>
      <c r="N61">
        <v>2079</v>
      </c>
      <c r="O61">
        <f>IF(N61='Outil Cibles'!$Q$7, 'Outil Cibles'!$Q$18, 0)</f>
        <v>0</v>
      </c>
      <c r="P61">
        <f>IF(N61='Outil Cibles'!$R$7, 'Outil Cibles'!$R$18, 0)</f>
        <v>0</v>
      </c>
      <c r="Q61">
        <f>IF(N61='Outil Cibles'!$S$7, 'Outil Cibles'!$S$18, 0)</f>
        <v>0</v>
      </c>
      <c r="R61">
        <f>IF(N61='Outil Cibles'!$T$7, 'Outil Cibles'!$T$18, 0)</f>
        <v>0</v>
      </c>
      <c r="S61">
        <f>IF(N61='Outil Cibles'!$U$7, 'Outil Cibles'!$U$18, 0)</f>
        <v>0</v>
      </c>
      <c r="T61">
        <f>IF(N61='Outil Cibles'!$V$7, 'Outil Cibles'!$V$18, 0)</f>
        <v>0</v>
      </c>
      <c r="U61">
        <f>IF(N61='Outil Cibles'!$W$7, 'Outil Cibles'!$W$18, 0)</f>
        <v>0</v>
      </c>
      <c r="V61">
        <f>IF(N61='Outil Cibles'!$X$7, 'Outil Cibles'!$X$18, 0)</f>
        <v>0</v>
      </c>
      <c r="W61">
        <f>IF(N61='Outil Cibles'!$Y$7, 'Outil Cibles'!$Y$18, 0)</f>
        <v>0</v>
      </c>
      <c r="X61">
        <f>IF(N61='Outil Cibles'!$Z$7, 'Outil Cibles'!$Z$18, 0)</f>
        <v>0</v>
      </c>
      <c r="Y61">
        <f t="shared" si="1"/>
        <v>0</v>
      </c>
    </row>
    <row r="62" spans="1:25" x14ac:dyDescent="0.3">
      <c r="A62">
        <v>2080</v>
      </c>
      <c r="B62">
        <f>IF(A62-'Outil Cibles'!D$7=30, ('Outil Cibles'!D$16-'Outil Cibles'!D$11)*0.5*'Outil Cibles'!D$8, IF(A62-'Outil Cibles'!D$7=60, ('Outil Cibles'!D$16-'Outil Cibles'!D$11)*0.5*'Outil Cibles'!D$8, 0))</f>
        <v>0</v>
      </c>
      <c r="C62">
        <f>IF($A62-'Outil Cibles'!E$7=30, ('Outil Cibles'!E$16-'Outil Cibles'!E$11)*0.5*'Outil Cibles'!E$8, IF(B62-'Outil Cibles'!E$7=60, ('Outil Cibles'!E$16-'Outil Cibles'!E$11)*0.5*'Outil Cibles'!E$8, 0))</f>
        <v>0</v>
      </c>
      <c r="D62">
        <f>IF($A62-'Outil Cibles'!F$7=30, ('Outil Cibles'!F$16-'Outil Cibles'!F$11)*0.5*'Outil Cibles'!F$8, IF(C62-'Outil Cibles'!F$7=60, ('Outil Cibles'!F$16-'Outil Cibles'!F$11)*0.5*'Outil Cibles'!F$8, 0))</f>
        <v>0</v>
      </c>
      <c r="E62">
        <f>IF($A62-'Outil Cibles'!G$7=30, ('Outil Cibles'!G$16-'Outil Cibles'!G$11)*0.5*'Outil Cibles'!G$8, IF(D62-'Outil Cibles'!G$7=60, ('Outil Cibles'!G$16-'Outil Cibles'!G$11)*0.5*'Outil Cibles'!G$8, 0))</f>
        <v>0</v>
      </c>
      <c r="F62">
        <f>IF($A62-'Outil Cibles'!H$7=30, ('Outil Cibles'!H$16-'Outil Cibles'!H$11)*0.5*'Outil Cibles'!H$8, IF(E62-'Outil Cibles'!H$7=60, ('Outil Cibles'!H$16-'Outil Cibles'!H$11)*0.5*'Outil Cibles'!H$8, 0))</f>
        <v>0</v>
      </c>
      <c r="G62">
        <f>IF($A62-'Outil Cibles'!I$7=30, ('Outil Cibles'!I$16-'Outil Cibles'!I$11)*0.5*'Outil Cibles'!I$8, IF(F62-'Outil Cibles'!I$7=60, ('Outil Cibles'!I$16-'Outil Cibles'!I$11)*0.5*'Outil Cibles'!I$8, 0))</f>
        <v>0</v>
      </c>
      <c r="H62">
        <f>IF($A62-'Outil Cibles'!J$7=30, ('Outil Cibles'!J$16-'Outil Cibles'!J$11)*0.5*'Outil Cibles'!J$8, IF(G62-'Outil Cibles'!J$7=60, ('Outil Cibles'!J$16-'Outil Cibles'!J$11)*0.5*'Outil Cibles'!J$8, 0))</f>
        <v>0</v>
      </c>
      <c r="I62">
        <f>IF($A62-'Outil Cibles'!K$7=30, ('Outil Cibles'!K$16-'Outil Cibles'!K$11)*0.5*'Outil Cibles'!K$8, IF(H62-'Outil Cibles'!K$7=60, ('Outil Cibles'!K$16-'Outil Cibles'!K$11)*0.5*'Outil Cibles'!K$8, 0))</f>
        <v>0</v>
      </c>
      <c r="J62">
        <f>IF($A62-'Outil Cibles'!L$7=30, ('Outil Cibles'!L$16-'Outil Cibles'!L$11)*0.5*'Outil Cibles'!L$8, IF(I62-'Outil Cibles'!L$7=60, ('Outil Cibles'!L$16-'Outil Cibles'!L$11)*0.5*'Outil Cibles'!L$8, 0))</f>
        <v>0</v>
      </c>
      <c r="K62">
        <f>IF($A62-'Outil Cibles'!M$7=30, ('Outil Cibles'!M$16-'Outil Cibles'!M$11)*0.5*'Outil Cibles'!M$8, IF(J62-'Outil Cibles'!M$7=60, ('Outil Cibles'!M$16-'Outil Cibles'!M$11)*0.5*'Outil Cibles'!M$8, 0))</f>
        <v>19.048428052585109</v>
      </c>
      <c r="L62">
        <f t="shared" si="0"/>
        <v>19.048428052585109</v>
      </c>
      <c r="N62">
        <v>2080</v>
      </c>
      <c r="O62">
        <f>IF(N62='Outil Cibles'!$Q$7, 'Outil Cibles'!$Q$18, 0)</f>
        <v>0</v>
      </c>
      <c r="P62">
        <f>IF(N62='Outil Cibles'!$R$7, 'Outil Cibles'!$R$18, 0)</f>
        <v>0</v>
      </c>
      <c r="Q62">
        <f>IF(N62='Outil Cibles'!$S$7, 'Outil Cibles'!$S$18, 0)</f>
        <v>0</v>
      </c>
      <c r="R62">
        <f>IF(N62='Outil Cibles'!$T$7, 'Outil Cibles'!$T$18, 0)</f>
        <v>0</v>
      </c>
      <c r="S62">
        <f>IF(N62='Outil Cibles'!$U$7, 'Outil Cibles'!$U$18, 0)</f>
        <v>0</v>
      </c>
      <c r="T62">
        <f>IF(N62='Outil Cibles'!$V$7, 'Outil Cibles'!$V$18, 0)</f>
        <v>0</v>
      </c>
      <c r="U62">
        <f>IF(N62='Outil Cibles'!$W$7, 'Outil Cibles'!$W$18, 0)</f>
        <v>0</v>
      </c>
      <c r="V62">
        <f>IF(N62='Outil Cibles'!$X$7, 'Outil Cibles'!$X$18, 0)</f>
        <v>0</v>
      </c>
      <c r="W62">
        <f>IF(N62='Outil Cibles'!$Y$7, 'Outil Cibles'!$Y$18, 0)</f>
        <v>0</v>
      </c>
      <c r="X62">
        <f>IF(N62='Outil Cibles'!$Z$7, 'Outil Cibles'!$Z$18, 0)</f>
        <v>0</v>
      </c>
      <c r="Y62">
        <f t="shared" si="1"/>
        <v>0</v>
      </c>
    </row>
    <row r="63" spans="1:25" x14ac:dyDescent="0.3">
      <c r="A63" s="10">
        <v>2081</v>
      </c>
      <c r="B63">
        <f>IF(A63-'Outil Cibles'!D$7=30, ('Outil Cibles'!D$16-'Outil Cibles'!D$11)*0.5*'Outil Cibles'!D$8, IF(A63-'Outil Cibles'!D$7=60, ('Outil Cibles'!D$16-'Outil Cibles'!D$11)*0.5*'Outil Cibles'!D$8, 0))</f>
        <v>0</v>
      </c>
      <c r="C63">
        <f>IF($A63-'Outil Cibles'!E$7=30, ('Outil Cibles'!E$16-'Outil Cibles'!E$11)*0.5*'Outil Cibles'!E$8, IF(B63-'Outil Cibles'!E$7=60, ('Outil Cibles'!E$16-'Outil Cibles'!E$11)*0.5*'Outil Cibles'!E$8, 0))</f>
        <v>0</v>
      </c>
      <c r="D63">
        <f>IF($A63-'Outil Cibles'!F$7=30, ('Outil Cibles'!F$16-'Outil Cibles'!F$11)*0.5*'Outil Cibles'!F$8, IF(C63-'Outil Cibles'!F$7=60, ('Outil Cibles'!F$16-'Outil Cibles'!F$11)*0.5*'Outil Cibles'!F$8, 0))</f>
        <v>0</v>
      </c>
      <c r="E63">
        <f>IF($A63-'Outil Cibles'!G$7=30, ('Outil Cibles'!G$16-'Outil Cibles'!G$11)*0.5*'Outil Cibles'!G$8, IF(D63-'Outil Cibles'!G$7=60, ('Outil Cibles'!G$16-'Outil Cibles'!G$11)*0.5*'Outil Cibles'!G$8, 0))</f>
        <v>0</v>
      </c>
      <c r="F63">
        <f>IF($A63-'Outil Cibles'!H$7=30, ('Outil Cibles'!H$16-'Outil Cibles'!H$11)*0.5*'Outil Cibles'!H$8, IF(E63-'Outil Cibles'!H$7=60, ('Outil Cibles'!H$16-'Outil Cibles'!H$11)*0.5*'Outil Cibles'!H$8, 0))</f>
        <v>0</v>
      </c>
      <c r="G63">
        <f>IF($A63-'Outil Cibles'!I$7=30, ('Outil Cibles'!I$16-'Outil Cibles'!I$11)*0.5*'Outil Cibles'!I$8, IF(F63-'Outil Cibles'!I$7=60, ('Outil Cibles'!I$16-'Outil Cibles'!I$11)*0.5*'Outil Cibles'!I$8, 0))</f>
        <v>0</v>
      </c>
      <c r="H63">
        <f>IF($A63-'Outil Cibles'!J$7=30, ('Outil Cibles'!J$16-'Outil Cibles'!J$11)*0.5*'Outil Cibles'!J$8, IF(G63-'Outil Cibles'!J$7=60, ('Outil Cibles'!J$16-'Outil Cibles'!J$11)*0.5*'Outil Cibles'!J$8, 0))</f>
        <v>0</v>
      </c>
      <c r="I63">
        <f>IF($A63-'Outil Cibles'!K$7=30, ('Outil Cibles'!K$16-'Outil Cibles'!K$11)*0.5*'Outil Cibles'!K$8, IF(H63-'Outil Cibles'!K$7=60, ('Outil Cibles'!K$16-'Outil Cibles'!K$11)*0.5*'Outil Cibles'!K$8, 0))</f>
        <v>0</v>
      </c>
      <c r="J63">
        <f>IF($A63-'Outil Cibles'!L$7=30, ('Outil Cibles'!L$16-'Outil Cibles'!L$11)*0.5*'Outil Cibles'!L$8, IF(I63-'Outil Cibles'!L$7=60, ('Outil Cibles'!L$16-'Outil Cibles'!L$11)*0.5*'Outil Cibles'!L$8, 0))</f>
        <v>0</v>
      </c>
      <c r="K63">
        <f>IF($A63-'Outil Cibles'!M$7=30, ('Outil Cibles'!M$16-'Outil Cibles'!M$11)*0.5*'Outil Cibles'!M$8, IF(J63-'Outil Cibles'!M$7=60, ('Outil Cibles'!M$16-'Outil Cibles'!M$11)*0.5*'Outil Cibles'!M$8, 0))</f>
        <v>0</v>
      </c>
      <c r="L63">
        <f t="shared" si="0"/>
        <v>0</v>
      </c>
      <c r="N63" s="10">
        <v>2081</v>
      </c>
      <c r="O63">
        <f>IF(N63='Outil Cibles'!$Q$7, 'Outil Cibles'!$Q$18, 0)</f>
        <v>0</v>
      </c>
      <c r="P63">
        <f>IF(N63='Outil Cibles'!$R$7, 'Outil Cibles'!$R$18, 0)</f>
        <v>0</v>
      </c>
      <c r="Q63">
        <f>IF(N63='Outil Cibles'!$S$7, 'Outil Cibles'!$S$18, 0)</f>
        <v>0</v>
      </c>
      <c r="R63">
        <f>IF(N63='Outil Cibles'!$T$7, 'Outil Cibles'!$T$18, 0)</f>
        <v>0</v>
      </c>
      <c r="S63">
        <f>IF(N63='Outil Cibles'!$U$7, 'Outil Cibles'!$U$18, 0)</f>
        <v>0</v>
      </c>
      <c r="T63">
        <f>IF(N63='Outil Cibles'!$V$7, 'Outil Cibles'!$V$18, 0)</f>
        <v>0</v>
      </c>
      <c r="U63">
        <f>IF(N63='Outil Cibles'!$W$7, 'Outil Cibles'!$W$18, 0)</f>
        <v>0</v>
      </c>
      <c r="V63">
        <f>IF(N63='Outil Cibles'!$X$7, 'Outil Cibles'!$X$18, 0)</f>
        <v>0</v>
      </c>
      <c r="W63">
        <f>IF(N63='Outil Cibles'!$Y$7, 'Outil Cibles'!$Y$18, 0)</f>
        <v>0</v>
      </c>
      <c r="X63">
        <f>IF(N63='Outil Cibles'!$Z$7, 'Outil Cibles'!$Z$18, 0)</f>
        <v>0</v>
      </c>
      <c r="Y63">
        <f t="shared" si="1"/>
        <v>0</v>
      </c>
    </row>
    <row r="64" spans="1:25" x14ac:dyDescent="0.3">
      <c r="A64">
        <v>2082</v>
      </c>
      <c r="B64">
        <f>IF(A64-'Outil Cibles'!D$7=30, ('Outil Cibles'!D$16-'Outil Cibles'!D$11)*0.5*'Outil Cibles'!D$8, IF(A64-'Outil Cibles'!D$7=60, ('Outil Cibles'!D$16-'Outil Cibles'!D$11)*0.5*'Outil Cibles'!D$8, 0))</f>
        <v>0</v>
      </c>
      <c r="C64">
        <f>IF($A64-'Outil Cibles'!E$7=30, ('Outil Cibles'!E$16-'Outil Cibles'!E$11)*0.5*'Outil Cibles'!E$8, IF(B64-'Outil Cibles'!E$7=60, ('Outil Cibles'!E$16-'Outil Cibles'!E$11)*0.5*'Outil Cibles'!E$8, 0))</f>
        <v>0</v>
      </c>
      <c r="D64">
        <f>IF($A64-'Outil Cibles'!F$7=30, ('Outil Cibles'!F$16-'Outil Cibles'!F$11)*0.5*'Outil Cibles'!F$8, IF(C64-'Outil Cibles'!F$7=60, ('Outil Cibles'!F$16-'Outil Cibles'!F$11)*0.5*'Outil Cibles'!F$8, 0))</f>
        <v>0</v>
      </c>
      <c r="E64">
        <f>IF($A64-'Outil Cibles'!G$7=30, ('Outil Cibles'!G$16-'Outil Cibles'!G$11)*0.5*'Outil Cibles'!G$8, IF(D64-'Outil Cibles'!G$7=60, ('Outil Cibles'!G$16-'Outil Cibles'!G$11)*0.5*'Outil Cibles'!G$8, 0))</f>
        <v>0</v>
      </c>
      <c r="F64">
        <f>IF($A64-'Outil Cibles'!H$7=30, ('Outil Cibles'!H$16-'Outil Cibles'!H$11)*0.5*'Outil Cibles'!H$8, IF(E64-'Outil Cibles'!H$7=60, ('Outil Cibles'!H$16-'Outil Cibles'!H$11)*0.5*'Outil Cibles'!H$8, 0))</f>
        <v>0</v>
      </c>
      <c r="G64">
        <f>IF($A64-'Outil Cibles'!I$7=30, ('Outil Cibles'!I$16-'Outil Cibles'!I$11)*0.5*'Outil Cibles'!I$8, IF(F64-'Outil Cibles'!I$7=60, ('Outil Cibles'!I$16-'Outil Cibles'!I$11)*0.5*'Outil Cibles'!I$8, 0))</f>
        <v>0</v>
      </c>
      <c r="H64">
        <f>IF($A64-'Outil Cibles'!J$7=30, ('Outil Cibles'!J$16-'Outil Cibles'!J$11)*0.5*'Outil Cibles'!J$8, IF(G64-'Outil Cibles'!J$7=60, ('Outil Cibles'!J$16-'Outil Cibles'!J$11)*0.5*'Outil Cibles'!J$8, 0))</f>
        <v>0</v>
      </c>
      <c r="I64">
        <f>IF($A64-'Outil Cibles'!K$7=30, ('Outil Cibles'!K$16-'Outil Cibles'!K$11)*0.5*'Outil Cibles'!K$8, IF(H64-'Outil Cibles'!K$7=60, ('Outil Cibles'!K$16-'Outil Cibles'!K$11)*0.5*'Outil Cibles'!K$8, 0))</f>
        <v>0</v>
      </c>
      <c r="J64">
        <f>IF($A64-'Outil Cibles'!L$7=30, ('Outil Cibles'!L$16-'Outil Cibles'!L$11)*0.5*'Outil Cibles'!L$8, IF(I64-'Outil Cibles'!L$7=60, ('Outil Cibles'!L$16-'Outil Cibles'!L$11)*0.5*'Outil Cibles'!L$8, 0))</f>
        <v>0</v>
      </c>
      <c r="K64">
        <f>IF($A64-'Outil Cibles'!M$7=30, ('Outil Cibles'!M$16-'Outil Cibles'!M$11)*0.5*'Outil Cibles'!M$8, IF(J64-'Outil Cibles'!M$7=60, ('Outil Cibles'!M$16-'Outil Cibles'!M$11)*0.5*'Outil Cibles'!M$8, 0))</f>
        <v>0</v>
      </c>
      <c r="L64">
        <f t="shared" si="0"/>
        <v>0</v>
      </c>
      <c r="N64">
        <v>2082</v>
      </c>
      <c r="O64">
        <f>IF(N64='Outil Cibles'!$Q$7, 'Outil Cibles'!$Q$18, 0)</f>
        <v>0</v>
      </c>
      <c r="P64">
        <f>IF(N64='Outil Cibles'!$R$7, 'Outil Cibles'!$R$18, 0)</f>
        <v>0</v>
      </c>
      <c r="Q64">
        <f>IF(N64='Outil Cibles'!$S$7, 'Outil Cibles'!$S$18, 0)</f>
        <v>0</v>
      </c>
      <c r="R64">
        <f>IF(N64='Outil Cibles'!$T$7, 'Outil Cibles'!$T$18, 0)</f>
        <v>0</v>
      </c>
      <c r="S64">
        <f>IF(N64='Outil Cibles'!$U$7, 'Outil Cibles'!$U$18, 0)</f>
        <v>0</v>
      </c>
      <c r="T64">
        <f>IF(N64='Outil Cibles'!$V$7, 'Outil Cibles'!$V$18, 0)</f>
        <v>0</v>
      </c>
      <c r="U64">
        <f>IF(N64='Outil Cibles'!$W$7, 'Outil Cibles'!$W$18, 0)</f>
        <v>0</v>
      </c>
      <c r="V64">
        <f>IF(N64='Outil Cibles'!$X$7, 'Outil Cibles'!$X$18, 0)</f>
        <v>0</v>
      </c>
      <c r="W64">
        <f>IF(N64='Outil Cibles'!$Y$7, 'Outil Cibles'!$Y$18, 0)</f>
        <v>0</v>
      </c>
      <c r="X64">
        <f>IF(N64='Outil Cibles'!$Z$7, 'Outil Cibles'!$Z$18, 0)</f>
        <v>0</v>
      </c>
      <c r="Y64">
        <f t="shared" si="1"/>
        <v>0</v>
      </c>
    </row>
    <row r="65" spans="1:25" x14ac:dyDescent="0.3">
      <c r="A65">
        <v>2083</v>
      </c>
      <c r="B65">
        <f>IF(A65-'Outil Cibles'!D$7=30, ('Outil Cibles'!D$16-'Outil Cibles'!D$11)*0.5*'Outil Cibles'!D$8, IF(A65-'Outil Cibles'!D$7=60, ('Outil Cibles'!D$16-'Outil Cibles'!D$11)*0.5*'Outil Cibles'!D$8, 0))</f>
        <v>0</v>
      </c>
      <c r="C65">
        <f>IF($A65-'Outil Cibles'!E$7=30, ('Outil Cibles'!E$16-'Outil Cibles'!E$11)*0.5*'Outil Cibles'!E$8, IF(B65-'Outil Cibles'!E$7=60, ('Outil Cibles'!E$16-'Outil Cibles'!E$11)*0.5*'Outil Cibles'!E$8, 0))</f>
        <v>0</v>
      </c>
      <c r="D65">
        <f>IF($A65-'Outil Cibles'!F$7=30, ('Outil Cibles'!F$16-'Outil Cibles'!F$11)*0.5*'Outil Cibles'!F$8, IF(C65-'Outil Cibles'!F$7=60, ('Outil Cibles'!F$16-'Outil Cibles'!F$11)*0.5*'Outil Cibles'!F$8, 0))</f>
        <v>0</v>
      </c>
      <c r="E65">
        <f>IF($A65-'Outil Cibles'!G$7=30, ('Outil Cibles'!G$16-'Outil Cibles'!G$11)*0.5*'Outil Cibles'!G$8, IF(D65-'Outil Cibles'!G$7=60, ('Outil Cibles'!G$16-'Outil Cibles'!G$11)*0.5*'Outil Cibles'!G$8, 0))</f>
        <v>0</v>
      </c>
      <c r="F65">
        <f>IF($A65-'Outil Cibles'!H$7=30, ('Outil Cibles'!H$16-'Outil Cibles'!H$11)*0.5*'Outil Cibles'!H$8, IF(E65-'Outil Cibles'!H$7=60, ('Outil Cibles'!H$16-'Outil Cibles'!H$11)*0.5*'Outil Cibles'!H$8, 0))</f>
        <v>0</v>
      </c>
      <c r="G65">
        <f>IF($A65-'Outil Cibles'!I$7=30, ('Outil Cibles'!I$16-'Outil Cibles'!I$11)*0.5*'Outil Cibles'!I$8, IF(F65-'Outil Cibles'!I$7=60, ('Outil Cibles'!I$16-'Outil Cibles'!I$11)*0.5*'Outil Cibles'!I$8, 0))</f>
        <v>0</v>
      </c>
      <c r="H65">
        <f>IF($A65-'Outil Cibles'!J$7=30, ('Outil Cibles'!J$16-'Outil Cibles'!J$11)*0.5*'Outil Cibles'!J$8, IF(G65-'Outil Cibles'!J$7=60, ('Outil Cibles'!J$16-'Outil Cibles'!J$11)*0.5*'Outil Cibles'!J$8, 0))</f>
        <v>0</v>
      </c>
      <c r="I65">
        <f>IF($A65-'Outil Cibles'!K$7=30, ('Outil Cibles'!K$16-'Outil Cibles'!K$11)*0.5*'Outil Cibles'!K$8, IF(H65-'Outil Cibles'!K$7=60, ('Outil Cibles'!K$16-'Outil Cibles'!K$11)*0.5*'Outil Cibles'!K$8, 0))</f>
        <v>0</v>
      </c>
      <c r="J65">
        <f>IF($A65-'Outil Cibles'!L$7=30, ('Outil Cibles'!L$16-'Outil Cibles'!L$11)*0.5*'Outil Cibles'!L$8, IF(I65-'Outil Cibles'!L$7=60, ('Outil Cibles'!L$16-'Outil Cibles'!L$11)*0.5*'Outil Cibles'!L$8, 0))</f>
        <v>0</v>
      </c>
      <c r="K65">
        <f>IF($A65-'Outil Cibles'!M$7=30, ('Outil Cibles'!M$16-'Outil Cibles'!M$11)*0.5*'Outil Cibles'!M$8, IF(J65-'Outil Cibles'!M$7=60, ('Outil Cibles'!M$16-'Outil Cibles'!M$11)*0.5*'Outil Cibles'!M$8, 0))</f>
        <v>0</v>
      </c>
      <c r="L65">
        <f t="shared" si="0"/>
        <v>0</v>
      </c>
      <c r="N65">
        <v>2083</v>
      </c>
      <c r="O65">
        <f>IF(N65='Outil Cibles'!$Q$7, 'Outil Cibles'!$Q$18, 0)</f>
        <v>0</v>
      </c>
      <c r="P65">
        <f>IF(N65='Outil Cibles'!$R$7, 'Outil Cibles'!$R$18, 0)</f>
        <v>0</v>
      </c>
      <c r="Q65">
        <f>IF(N65='Outil Cibles'!$S$7, 'Outil Cibles'!$S$18, 0)</f>
        <v>0</v>
      </c>
      <c r="R65">
        <f>IF(N65='Outil Cibles'!$T$7, 'Outil Cibles'!$T$18, 0)</f>
        <v>0</v>
      </c>
      <c r="S65">
        <f>IF(N65='Outil Cibles'!$U$7, 'Outil Cibles'!$U$18, 0)</f>
        <v>0</v>
      </c>
      <c r="T65">
        <f>IF(N65='Outil Cibles'!$V$7, 'Outil Cibles'!$V$18, 0)</f>
        <v>0</v>
      </c>
      <c r="U65">
        <f>IF(N65='Outil Cibles'!$W$7, 'Outil Cibles'!$W$18, 0)</f>
        <v>0</v>
      </c>
      <c r="V65">
        <f>IF(N65='Outil Cibles'!$X$7, 'Outil Cibles'!$X$18, 0)</f>
        <v>0</v>
      </c>
      <c r="W65">
        <f>IF(N65='Outil Cibles'!$Y$7, 'Outil Cibles'!$Y$18, 0)</f>
        <v>0</v>
      </c>
      <c r="X65">
        <f>IF(N65='Outil Cibles'!$Z$7, 'Outil Cibles'!$Z$18, 0)</f>
        <v>0</v>
      </c>
      <c r="Y65">
        <f t="shared" si="1"/>
        <v>0</v>
      </c>
    </row>
    <row r="66" spans="1:25" x14ac:dyDescent="0.3">
      <c r="A66">
        <v>2084</v>
      </c>
      <c r="B66">
        <f>IF(A66-'Outil Cibles'!D$7=30, ('Outil Cibles'!D$16-'Outil Cibles'!D$11)*0.5*'Outil Cibles'!D$8, IF(A66-'Outil Cibles'!D$7=60, ('Outil Cibles'!D$16-'Outil Cibles'!D$11)*0.5*'Outil Cibles'!D$8, 0))</f>
        <v>23392.425177095844</v>
      </c>
      <c r="C66">
        <f>IF($A66-'Outil Cibles'!E$7=30, ('Outil Cibles'!E$16-'Outil Cibles'!E$11)*0.5*'Outil Cibles'!E$8, IF(B66-'Outil Cibles'!E$7=60, ('Outil Cibles'!E$16-'Outil Cibles'!E$11)*0.5*'Outil Cibles'!E$8, 0))</f>
        <v>0</v>
      </c>
      <c r="D66">
        <f>IF($A66-'Outil Cibles'!F$7=30, ('Outil Cibles'!F$16-'Outil Cibles'!F$11)*0.5*'Outil Cibles'!F$8, IF(C66-'Outil Cibles'!F$7=60, ('Outil Cibles'!F$16-'Outil Cibles'!F$11)*0.5*'Outil Cibles'!F$8, 0))</f>
        <v>0</v>
      </c>
      <c r="E66">
        <f>IF($A66-'Outil Cibles'!G$7=30, ('Outil Cibles'!G$16-'Outil Cibles'!G$11)*0.5*'Outil Cibles'!G$8, IF(D66-'Outil Cibles'!G$7=60, ('Outil Cibles'!G$16-'Outil Cibles'!G$11)*0.5*'Outil Cibles'!G$8, 0))</f>
        <v>0</v>
      </c>
      <c r="F66">
        <f>IF($A66-'Outil Cibles'!H$7=30, ('Outil Cibles'!H$16-'Outil Cibles'!H$11)*0.5*'Outil Cibles'!H$8, IF(E66-'Outil Cibles'!H$7=60, ('Outil Cibles'!H$16-'Outil Cibles'!H$11)*0.5*'Outil Cibles'!H$8, 0))</f>
        <v>0</v>
      </c>
      <c r="G66">
        <f>IF($A66-'Outil Cibles'!I$7=30, ('Outil Cibles'!I$16-'Outil Cibles'!I$11)*0.5*'Outil Cibles'!I$8, IF(F66-'Outil Cibles'!I$7=60, ('Outil Cibles'!I$16-'Outil Cibles'!I$11)*0.5*'Outil Cibles'!I$8, 0))</f>
        <v>0</v>
      </c>
      <c r="H66">
        <f>IF($A66-'Outil Cibles'!J$7=30, ('Outil Cibles'!J$16-'Outil Cibles'!J$11)*0.5*'Outil Cibles'!J$8, IF(G66-'Outil Cibles'!J$7=60, ('Outil Cibles'!J$16-'Outil Cibles'!J$11)*0.5*'Outil Cibles'!J$8, 0))</f>
        <v>0</v>
      </c>
      <c r="I66">
        <f>IF($A66-'Outil Cibles'!K$7=30, ('Outil Cibles'!K$16-'Outil Cibles'!K$11)*0.5*'Outil Cibles'!K$8, IF(H66-'Outil Cibles'!K$7=60, ('Outil Cibles'!K$16-'Outil Cibles'!K$11)*0.5*'Outil Cibles'!K$8, 0))</f>
        <v>0</v>
      </c>
      <c r="J66">
        <f>IF($A66-'Outil Cibles'!L$7=30, ('Outil Cibles'!L$16-'Outil Cibles'!L$11)*0.5*'Outil Cibles'!L$8, IF(I66-'Outil Cibles'!L$7=60, ('Outil Cibles'!L$16-'Outil Cibles'!L$11)*0.5*'Outil Cibles'!L$8, 0))</f>
        <v>0</v>
      </c>
      <c r="K66">
        <f>IF($A66-'Outil Cibles'!M$7=30, ('Outil Cibles'!M$16-'Outil Cibles'!M$11)*0.5*'Outil Cibles'!M$8, IF(J66-'Outil Cibles'!M$7=60, ('Outil Cibles'!M$16-'Outil Cibles'!M$11)*0.5*'Outil Cibles'!M$8, 0))</f>
        <v>0</v>
      </c>
      <c r="L66">
        <f t="shared" si="0"/>
        <v>23392.425177095844</v>
      </c>
      <c r="N66">
        <v>2084</v>
      </c>
      <c r="O66">
        <f>IF(N66='Outil Cibles'!$Q$7, 'Outil Cibles'!$Q$18, 0)</f>
        <v>0</v>
      </c>
      <c r="P66">
        <f>IF(N66='Outil Cibles'!$R$7, 'Outil Cibles'!$R$18, 0)</f>
        <v>0</v>
      </c>
      <c r="Q66">
        <f>IF(N66='Outil Cibles'!$S$7, 'Outil Cibles'!$S$18, 0)</f>
        <v>0</v>
      </c>
      <c r="R66">
        <f>IF(N66='Outil Cibles'!$T$7, 'Outil Cibles'!$T$18, 0)</f>
        <v>0</v>
      </c>
      <c r="S66">
        <f>IF(N66='Outil Cibles'!$U$7, 'Outil Cibles'!$U$18, 0)</f>
        <v>0</v>
      </c>
      <c r="T66">
        <f>IF(N66='Outil Cibles'!$V$7, 'Outil Cibles'!$V$18, 0)</f>
        <v>0</v>
      </c>
      <c r="U66">
        <f>IF(N66='Outil Cibles'!$W$7, 'Outil Cibles'!$W$18, 0)</f>
        <v>0</v>
      </c>
      <c r="V66">
        <f>IF(N66='Outil Cibles'!$X$7, 'Outil Cibles'!$X$18, 0)</f>
        <v>0</v>
      </c>
      <c r="W66">
        <f>IF(N66='Outil Cibles'!$Y$7, 'Outil Cibles'!$Y$18, 0)</f>
        <v>0</v>
      </c>
      <c r="X66">
        <f>IF(N66='Outil Cibles'!$Z$7, 'Outil Cibles'!$Z$18, 0)</f>
        <v>0</v>
      </c>
      <c r="Y66">
        <f t="shared" si="1"/>
        <v>0</v>
      </c>
    </row>
    <row r="67" spans="1:25" x14ac:dyDescent="0.3">
      <c r="A67" s="10">
        <v>2085</v>
      </c>
      <c r="B67">
        <f>IF(A67-'Outil Cibles'!D$7=30, ('Outil Cibles'!D$16-'Outil Cibles'!D$11)*0.5*'Outil Cibles'!D$8, IF(A67-'Outil Cibles'!D$7=60, ('Outil Cibles'!D$16-'Outil Cibles'!D$11)*0.5*'Outil Cibles'!D$8, 0))</f>
        <v>0</v>
      </c>
      <c r="C67">
        <f>IF($A67-'Outil Cibles'!E$7=30, ('Outil Cibles'!E$16-'Outil Cibles'!E$11)*0.5*'Outil Cibles'!E$8, IF(B67-'Outil Cibles'!E$7=60, ('Outil Cibles'!E$16-'Outil Cibles'!E$11)*0.5*'Outil Cibles'!E$8, 0))</f>
        <v>0</v>
      </c>
      <c r="D67">
        <f>IF($A67-'Outil Cibles'!F$7=30, ('Outil Cibles'!F$16-'Outil Cibles'!F$11)*0.5*'Outil Cibles'!F$8, IF(C67-'Outil Cibles'!F$7=60, ('Outil Cibles'!F$16-'Outil Cibles'!F$11)*0.5*'Outil Cibles'!F$8, 0))</f>
        <v>0</v>
      </c>
      <c r="E67">
        <f>IF($A67-'Outil Cibles'!G$7=30, ('Outil Cibles'!G$16-'Outil Cibles'!G$11)*0.5*'Outil Cibles'!G$8, IF(D67-'Outil Cibles'!G$7=60, ('Outil Cibles'!G$16-'Outil Cibles'!G$11)*0.5*'Outil Cibles'!G$8, 0))</f>
        <v>0</v>
      </c>
      <c r="F67">
        <f>IF($A67-'Outil Cibles'!H$7=30, ('Outil Cibles'!H$16-'Outil Cibles'!H$11)*0.5*'Outil Cibles'!H$8, IF(E67-'Outil Cibles'!H$7=60, ('Outil Cibles'!H$16-'Outil Cibles'!H$11)*0.5*'Outil Cibles'!H$8, 0))</f>
        <v>0</v>
      </c>
      <c r="G67">
        <f>IF($A67-'Outil Cibles'!I$7=30, ('Outil Cibles'!I$16-'Outil Cibles'!I$11)*0.5*'Outil Cibles'!I$8, IF(F67-'Outil Cibles'!I$7=60, ('Outil Cibles'!I$16-'Outil Cibles'!I$11)*0.5*'Outil Cibles'!I$8, 0))</f>
        <v>0</v>
      </c>
      <c r="H67">
        <f>IF($A67-'Outil Cibles'!J$7=30, ('Outil Cibles'!J$16-'Outil Cibles'!J$11)*0.5*'Outil Cibles'!J$8, IF(G67-'Outil Cibles'!J$7=60, ('Outil Cibles'!J$16-'Outil Cibles'!J$11)*0.5*'Outil Cibles'!J$8, 0))</f>
        <v>0</v>
      </c>
      <c r="I67">
        <f>IF($A67-'Outil Cibles'!K$7=30, ('Outil Cibles'!K$16-'Outil Cibles'!K$11)*0.5*'Outil Cibles'!K$8, IF(H67-'Outil Cibles'!K$7=60, ('Outil Cibles'!K$16-'Outil Cibles'!K$11)*0.5*'Outil Cibles'!K$8, 0))</f>
        <v>0</v>
      </c>
      <c r="J67">
        <f>IF($A67-'Outil Cibles'!L$7=30, ('Outil Cibles'!L$16-'Outil Cibles'!L$11)*0.5*'Outil Cibles'!L$8, IF(I67-'Outil Cibles'!L$7=60, ('Outil Cibles'!L$16-'Outil Cibles'!L$11)*0.5*'Outil Cibles'!L$8, 0))</f>
        <v>0</v>
      </c>
      <c r="K67">
        <f>IF($A67-'Outil Cibles'!M$7=30, ('Outil Cibles'!M$16-'Outil Cibles'!M$11)*0.5*'Outil Cibles'!M$8, IF(J67-'Outil Cibles'!M$7=60, ('Outil Cibles'!M$16-'Outil Cibles'!M$11)*0.5*'Outil Cibles'!M$8, 0))</f>
        <v>0</v>
      </c>
      <c r="L67">
        <f t="shared" si="0"/>
        <v>0</v>
      </c>
      <c r="N67" s="10">
        <v>2085</v>
      </c>
      <c r="O67">
        <f>IF(N67='Outil Cibles'!$Q$7, 'Outil Cibles'!$Q$18, 0)</f>
        <v>0</v>
      </c>
      <c r="P67">
        <f>IF(N67='Outil Cibles'!$R$7, 'Outil Cibles'!$R$18, 0)</f>
        <v>0</v>
      </c>
      <c r="Q67">
        <f>IF(N67='Outil Cibles'!$S$7, 'Outil Cibles'!$S$18, 0)</f>
        <v>0</v>
      </c>
      <c r="R67">
        <f>IF(N67='Outil Cibles'!$T$7, 'Outil Cibles'!$T$18, 0)</f>
        <v>0</v>
      </c>
      <c r="S67">
        <f>IF(N67='Outil Cibles'!$U$7, 'Outil Cibles'!$U$18, 0)</f>
        <v>0</v>
      </c>
      <c r="T67">
        <f>IF(N67='Outil Cibles'!$V$7, 'Outil Cibles'!$V$18, 0)</f>
        <v>0</v>
      </c>
      <c r="U67">
        <f>IF(N67='Outil Cibles'!$W$7, 'Outil Cibles'!$W$18, 0)</f>
        <v>0</v>
      </c>
      <c r="V67">
        <f>IF(N67='Outil Cibles'!$X$7, 'Outil Cibles'!$X$18, 0)</f>
        <v>0</v>
      </c>
      <c r="W67">
        <f>IF(N67='Outil Cibles'!$Y$7, 'Outil Cibles'!$Y$18, 0)</f>
        <v>0</v>
      </c>
      <c r="X67">
        <f>IF(N67='Outil Cibles'!$Z$7, 'Outil Cibles'!$Z$18, 0)</f>
        <v>0</v>
      </c>
      <c r="Y67">
        <f t="shared" si="1"/>
        <v>0</v>
      </c>
    </row>
    <row r="68" spans="1:25" x14ac:dyDescent="0.3">
      <c r="A68">
        <v>2086</v>
      </c>
      <c r="B68">
        <f>IF(A68-'Outil Cibles'!D$7=30, ('Outil Cibles'!D$16-'Outil Cibles'!D$11)*0.5*'Outil Cibles'!D$8, IF(A68-'Outil Cibles'!D$7=60, ('Outil Cibles'!D$16-'Outil Cibles'!D$11)*0.5*'Outil Cibles'!D$8, 0))</f>
        <v>0</v>
      </c>
      <c r="C68">
        <f>IF($A68-'Outil Cibles'!E$7=30, ('Outil Cibles'!E$16-'Outil Cibles'!E$11)*0.5*'Outil Cibles'!E$8, IF(B68-'Outil Cibles'!E$7=60, ('Outil Cibles'!E$16-'Outil Cibles'!E$11)*0.5*'Outil Cibles'!E$8, 0))</f>
        <v>0</v>
      </c>
      <c r="D68">
        <f>IF($A68-'Outil Cibles'!F$7=30, ('Outil Cibles'!F$16-'Outil Cibles'!F$11)*0.5*'Outil Cibles'!F$8, IF(C68-'Outil Cibles'!F$7=60, ('Outil Cibles'!F$16-'Outil Cibles'!F$11)*0.5*'Outil Cibles'!F$8, 0))</f>
        <v>0</v>
      </c>
      <c r="E68">
        <f>IF($A68-'Outil Cibles'!G$7=30, ('Outil Cibles'!G$16-'Outil Cibles'!G$11)*0.5*'Outil Cibles'!G$8, IF(D68-'Outil Cibles'!G$7=60, ('Outil Cibles'!G$16-'Outil Cibles'!G$11)*0.5*'Outil Cibles'!G$8, 0))</f>
        <v>0</v>
      </c>
      <c r="F68">
        <f>IF($A68-'Outil Cibles'!H$7=30, ('Outil Cibles'!H$16-'Outil Cibles'!H$11)*0.5*'Outil Cibles'!H$8, IF(E68-'Outil Cibles'!H$7=60, ('Outil Cibles'!H$16-'Outil Cibles'!H$11)*0.5*'Outil Cibles'!H$8, 0))</f>
        <v>0</v>
      </c>
      <c r="G68">
        <f>IF($A68-'Outil Cibles'!I$7=30, ('Outil Cibles'!I$16-'Outil Cibles'!I$11)*0.5*'Outil Cibles'!I$8, IF(F68-'Outil Cibles'!I$7=60, ('Outil Cibles'!I$16-'Outil Cibles'!I$11)*0.5*'Outil Cibles'!I$8, 0))</f>
        <v>0</v>
      </c>
      <c r="H68">
        <f>IF($A68-'Outil Cibles'!J$7=30, ('Outil Cibles'!J$16-'Outil Cibles'!J$11)*0.5*'Outil Cibles'!J$8, IF(G68-'Outil Cibles'!J$7=60, ('Outil Cibles'!J$16-'Outil Cibles'!J$11)*0.5*'Outil Cibles'!J$8, 0))</f>
        <v>0</v>
      </c>
      <c r="I68">
        <f>IF($A68-'Outil Cibles'!K$7=30, ('Outil Cibles'!K$16-'Outil Cibles'!K$11)*0.5*'Outil Cibles'!K$8, IF(H68-'Outil Cibles'!K$7=60, ('Outil Cibles'!K$16-'Outil Cibles'!K$11)*0.5*'Outil Cibles'!K$8, 0))</f>
        <v>0</v>
      </c>
      <c r="J68">
        <f>IF($A68-'Outil Cibles'!L$7=30, ('Outil Cibles'!L$16-'Outil Cibles'!L$11)*0.5*'Outil Cibles'!L$8, IF(I68-'Outil Cibles'!L$7=60, ('Outil Cibles'!L$16-'Outil Cibles'!L$11)*0.5*'Outil Cibles'!L$8, 0))</f>
        <v>0</v>
      </c>
      <c r="K68">
        <f>IF($A68-'Outil Cibles'!M$7=30, ('Outil Cibles'!M$16-'Outil Cibles'!M$11)*0.5*'Outil Cibles'!M$8, IF(J68-'Outil Cibles'!M$7=60, ('Outil Cibles'!M$16-'Outil Cibles'!M$11)*0.5*'Outil Cibles'!M$8, 0))</f>
        <v>0</v>
      </c>
      <c r="L68">
        <f t="shared" si="0"/>
        <v>0</v>
      </c>
      <c r="N68">
        <v>2086</v>
      </c>
      <c r="O68">
        <f>IF(N68='Outil Cibles'!$Q$7, 'Outil Cibles'!$Q$18, 0)</f>
        <v>0</v>
      </c>
      <c r="P68">
        <f>IF(N68='Outil Cibles'!$R$7, 'Outil Cibles'!$R$18, 0)</f>
        <v>0</v>
      </c>
      <c r="Q68">
        <f>IF(N68='Outil Cibles'!$S$7, 'Outil Cibles'!$S$18, 0)</f>
        <v>0</v>
      </c>
      <c r="R68">
        <f>IF(N68='Outil Cibles'!$T$7, 'Outil Cibles'!$T$18, 0)</f>
        <v>0</v>
      </c>
      <c r="S68">
        <f>IF(N68='Outil Cibles'!$U$7, 'Outil Cibles'!$U$18, 0)</f>
        <v>0</v>
      </c>
      <c r="T68">
        <f>IF(N68='Outil Cibles'!$V$7, 'Outil Cibles'!$V$18, 0)</f>
        <v>0</v>
      </c>
      <c r="U68">
        <f>IF(N68='Outil Cibles'!$W$7, 'Outil Cibles'!$W$18, 0)</f>
        <v>0</v>
      </c>
      <c r="V68">
        <f>IF(N68='Outil Cibles'!$X$7, 'Outil Cibles'!$X$18, 0)</f>
        <v>0</v>
      </c>
      <c r="W68">
        <f>IF(N68='Outil Cibles'!$Y$7, 'Outil Cibles'!$Y$18, 0)</f>
        <v>0</v>
      </c>
      <c r="X68">
        <f>IF(N68='Outil Cibles'!$Z$7, 'Outil Cibles'!$Z$18, 0)</f>
        <v>0</v>
      </c>
      <c r="Y68">
        <f t="shared" si="1"/>
        <v>0</v>
      </c>
    </row>
    <row r="69" spans="1:25" x14ac:dyDescent="0.3">
      <c r="A69">
        <v>2087</v>
      </c>
      <c r="B69">
        <f>IF(A69-'Outil Cibles'!D$7=30, ('Outil Cibles'!D$16-'Outil Cibles'!D$11)*0.5*'Outil Cibles'!D$8, IF(A69-'Outil Cibles'!D$7=60, ('Outil Cibles'!D$16-'Outil Cibles'!D$11)*0.5*'Outil Cibles'!D$8, 0))</f>
        <v>0</v>
      </c>
      <c r="C69">
        <f>IF($A69-'Outil Cibles'!E$7=30, ('Outil Cibles'!E$16-'Outil Cibles'!E$11)*0.5*'Outil Cibles'!E$8, IF(B69-'Outil Cibles'!E$7=60, ('Outil Cibles'!E$16-'Outil Cibles'!E$11)*0.5*'Outil Cibles'!E$8, 0))</f>
        <v>0</v>
      </c>
      <c r="D69">
        <f>IF($A69-'Outil Cibles'!F$7=30, ('Outil Cibles'!F$16-'Outil Cibles'!F$11)*0.5*'Outil Cibles'!F$8, IF(C69-'Outil Cibles'!F$7=60, ('Outil Cibles'!F$16-'Outil Cibles'!F$11)*0.5*'Outil Cibles'!F$8, 0))</f>
        <v>0</v>
      </c>
      <c r="E69">
        <f>IF($A69-'Outil Cibles'!G$7=30, ('Outil Cibles'!G$16-'Outil Cibles'!G$11)*0.5*'Outil Cibles'!G$8, IF(D69-'Outil Cibles'!G$7=60, ('Outil Cibles'!G$16-'Outil Cibles'!G$11)*0.5*'Outil Cibles'!G$8, 0))</f>
        <v>0</v>
      </c>
      <c r="F69">
        <f>IF($A69-'Outil Cibles'!H$7=30, ('Outil Cibles'!H$16-'Outil Cibles'!H$11)*0.5*'Outil Cibles'!H$8, IF(E69-'Outil Cibles'!H$7=60, ('Outil Cibles'!H$16-'Outil Cibles'!H$11)*0.5*'Outil Cibles'!H$8, 0))</f>
        <v>0</v>
      </c>
      <c r="G69">
        <f>IF($A69-'Outil Cibles'!I$7=30, ('Outil Cibles'!I$16-'Outil Cibles'!I$11)*0.5*'Outil Cibles'!I$8, IF(F69-'Outil Cibles'!I$7=60, ('Outil Cibles'!I$16-'Outil Cibles'!I$11)*0.5*'Outil Cibles'!I$8, 0))</f>
        <v>0</v>
      </c>
      <c r="H69">
        <f>IF($A69-'Outil Cibles'!J$7=30, ('Outil Cibles'!J$16-'Outil Cibles'!J$11)*0.5*'Outil Cibles'!J$8, IF(G69-'Outil Cibles'!J$7=60, ('Outil Cibles'!J$16-'Outil Cibles'!J$11)*0.5*'Outil Cibles'!J$8, 0))</f>
        <v>0</v>
      </c>
      <c r="I69">
        <f>IF($A69-'Outil Cibles'!K$7=30, ('Outil Cibles'!K$16-'Outil Cibles'!K$11)*0.5*'Outil Cibles'!K$8, IF(H69-'Outil Cibles'!K$7=60, ('Outil Cibles'!K$16-'Outil Cibles'!K$11)*0.5*'Outil Cibles'!K$8, 0))</f>
        <v>0</v>
      </c>
      <c r="J69">
        <f>IF($A69-'Outil Cibles'!L$7=30, ('Outil Cibles'!L$16-'Outil Cibles'!L$11)*0.5*'Outil Cibles'!L$8, IF(I69-'Outil Cibles'!L$7=60, ('Outil Cibles'!L$16-'Outil Cibles'!L$11)*0.5*'Outil Cibles'!L$8, 0))</f>
        <v>0</v>
      </c>
      <c r="K69">
        <f>IF($A69-'Outil Cibles'!M$7=30, ('Outil Cibles'!M$16-'Outil Cibles'!M$11)*0.5*'Outil Cibles'!M$8, IF(J69-'Outil Cibles'!M$7=60, ('Outil Cibles'!M$16-'Outil Cibles'!M$11)*0.5*'Outil Cibles'!M$8, 0))</f>
        <v>0</v>
      </c>
      <c r="L69">
        <f t="shared" ref="L69:L82" si="2">SUM(B69:K69)</f>
        <v>0</v>
      </c>
      <c r="N69">
        <v>2087</v>
      </c>
      <c r="O69">
        <f>IF(N69='Outil Cibles'!$Q$7, 'Outil Cibles'!$Q$18, 0)</f>
        <v>0</v>
      </c>
      <c r="P69">
        <f>IF(N69='Outil Cibles'!$R$7, 'Outil Cibles'!$R$18, 0)</f>
        <v>0</v>
      </c>
      <c r="Q69">
        <f>IF(N69='Outil Cibles'!$S$7, 'Outil Cibles'!$S$18, 0)</f>
        <v>0</v>
      </c>
      <c r="R69">
        <f>IF(N69='Outil Cibles'!$T$7, 'Outil Cibles'!$T$18, 0)</f>
        <v>0</v>
      </c>
      <c r="S69">
        <f>IF(N69='Outil Cibles'!$U$7, 'Outil Cibles'!$U$18, 0)</f>
        <v>0</v>
      </c>
      <c r="T69">
        <f>IF(N69='Outil Cibles'!$V$7, 'Outil Cibles'!$V$18, 0)</f>
        <v>0</v>
      </c>
      <c r="U69">
        <f>IF(N69='Outil Cibles'!$W$7, 'Outil Cibles'!$W$18, 0)</f>
        <v>0</v>
      </c>
      <c r="V69">
        <f>IF(N69='Outil Cibles'!$X$7, 'Outil Cibles'!$X$18, 0)</f>
        <v>0</v>
      </c>
      <c r="W69">
        <f>IF(N69='Outil Cibles'!$Y$7, 'Outil Cibles'!$Y$18, 0)</f>
        <v>0</v>
      </c>
      <c r="X69">
        <f>IF(N69='Outil Cibles'!$Z$7, 'Outil Cibles'!$Z$18, 0)</f>
        <v>0</v>
      </c>
      <c r="Y69">
        <f t="shared" ref="Y69:Y82" si="3">SUM(O69:X69)</f>
        <v>0</v>
      </c>
    </row>
    <row r="70" spans="1:25" x14ac:dyDescent="0.3">
      <c r="A70">
        <v>2088</v>
      </c>
      <c r="B70">
        <f>IF(A70-'Outil Cibles'!D$7=30, ('Outil Cibles'!D$16-'Outil Cibles'!D$11)*0.5*'Outil Cibles'!D$8, IF(A70-'Outil Cibles'!D$7=60, ('Outil Cibles'!D$16-'Outil Cibles'!D$11)*0.5*'Outil Cibles'!D$8, 0))</f>
        <v>0</v>
      </c>
      <c r="C70">
        <f>IF($A70-'Outil Cibles'!E$7=30, ('Outil Cibles'!E$16-'Outil Cibles'!E$11)*0.5*'Outil Cibles'!E$8, IF(B70-'Outil Cibles'!E$7=60, ('Outil Cibles'!E$16-'Outil Cibles'!E$11)*0.5*'Outil Cibles'!E$8, 0))</f>
        <v>0</v>
      </c>
      <c r="D70">
        <f>IF($A70-'Outil Cibles'!F$7=30, ('Outil Cibles'!F$16-'Outil Cibles'!F$11)*0.5*'Outil Cibles'!F$8, IF(C70-'Outil Cibles'!F$7=60, ('Outil Cibles'!F$16-'Outil Cibles'!F$11)*0.5*'Outil Cibles'!F$8, 0))</f>
        <v>0</v>
      </c>
      <c r="E70">
        <f>IF($A70-'Outil Cibles'!G$7=30, ('Outil Cibles'!G$16-'Outil Cibles'!G$11)*0.5*'Outil Cibles'!G$8, IF(D70-'Outil Cibles'!G$7=60, ('Outil Cibles'!G$16-'Outil Cibles'!G$11)*0.5*'Outil Cibles'!G$8, 0))</f>
        <v>0</v>
      </c>
      <c r="F70">
        <f>IF($A70-'Outil Cibles'!H$7=30, ('Outil Cibles'!H$16-'Outil Cibles'!H$11)*0.5*'Outil Cibles'!H$8, IF(E70-'Outil Cibles'!H$7=60, ('Outil Cibles'!H$16-'Outil Cibles'!H$11)*0.5*'Outil Cibles'!H$8, 0))</f>
        <v>0</v>
      </c>
      <c r="G70">
        <f>IF($A70-'Outil Cibles'!I$7=30, ('Outil Cibles'!I$16-'Outil Cibles'!I$11)*0.5*'Outil Cibles'!I$8, IF(F70-'Outil Cibles'!I$7=60, ('Outil Cibles'!I$16-'Outil Cibles'!I$11)*0.5*'Outil Cibles'!I$8, 0))</f>
        <v>0</v>
      </c>
      <c r="H70">
        <f>IF($A70-'Outil Cibles'!J$7=30, ('Outil Cibles'!J$16-'Outil Cibles'!J$11)*0.5*'Outil Cibles'!J$8, IF(G70-'Outil Cibles'!J$7=60, ('Outil Cibles'!J$16-'Outil Cibles'!J$11)*0.5*'Outil Cibles'!J$8, 0))</f>
        <v>0</v>
      </c>
      <c r="I70">
        <f>IF($A70-'Outil Cibles'!K$7=30, ('Outil Cibles'!K$16-'Outil Cibles'!K$11)*0.5*'Outil Cibles'!K$8, IF(H70-'Outil Cibles'!K$7=60, ('Outil Cibles'!K$16-'Outil Cibles'!K$11)*0.5*'Outil Cibles'!K$8, 0))</f>
        <v>0</v>
      </c>
      <c r="J70">
        <f>IF($A70-'Outil Cibles'!L$7=30, ('Outil Cibles'!L$16-'Outil Cibles'!L$11)*0.5*'Outil Cibles'!L$8, IF(I70-'Outil Cibles'!L$7=60, ('Outil Cibles'!L$16-'Outil Cibles'!L$11)*0.5*'Outil Cibles'!L$8, 0))</f>
        <v>0</v>
      </c>
      <c r="K70">
        <f>IF($A70-'Outil Cibles'!M$7=30, ('Outil Cibles'!M$16-'Outil Cibles'!M$11)*0.5*'Outil Cibles'!M$8, IF(J70-'Outil Cibles'!M$7=60, ('Outil Cibles'!M$16-'Outil Cibles'!M$11)*0.5*'Outil Cibles'!M$8, 0))</f>
        <v>0</v>
      </c>
      <c r="L70">
        <f t="shared" si="2"/>
        <v>0</v>
      </c>
      <c r="N70">
        <v>2088</v>
      </c>
      <c r="O70">
        <f>IF(N70='Outil Cibles'!$Q$7, 'Outil Cibles'!$Q$18, 0)</f>
        <v>0</v>
      </c>
      <c r="P70">
        <f>IF(N70='Outil Cibles'!$R$7, 'Outil Cibles'!$R$18, 0)</f>
        <v>0</v>
      </c>
      <c r="Q70">
        <f>IF(N70='Outil Cibles'!$S$7, 'Outil Cibles'!$S$18, 0)</f>
        <v>0</v>
      </c>
      <c r="R70">
        <f>IF(N70='Outil Cibles'!$T$7, 'Outil Cibles'!$T$18, 0)</f>
        <v>0</v>
      </c>
      <c r="S70">
        <f>IF(N70='Outil Cibles'!$U$7, 'Outil Cibles'!$U$18, 0)</f>
        <v>0</v>
      </c>
      <c r="T70">
        <f>IF(N70='Outil Cibles'!$V$7, 'Outil Cibles'!$V$18, 0)</f>
        <v>0</v>
      </c>
      <c r="U70">
        <f>IF(N70='Outil Cibles'!$W$7, 'Outil Cibles'!$W$18, 0)</f>
        <v>0</v>
      </c>
      <c r="V70">
        <f>IF(N70='Outil Cibles'!$X$7, 'Outil Cibles'!$X$18, 0)</f>
        <v>0</v>
      </c>
      <c r="W70">
        <f>IF(N70='Outil Cibles'!$Y$7, 'Outil Cibles'!$Y$18, 0)</f>
        <v>0</v>
      </c>
      <c r="X70">
        <f>IF(N70='Outil Cibles'!$Z$7, 'Outil Cibles'!$Z$18, 0)</f>
        <v>0</v>
      </c>
      <c r="Y70">
        <f t="shared" si="3"/>
        <v>0</v>
      </c>
    </row>
    <row r="71" spans="1:25" x14ac:dyDescent="0.3">
      <c r="A71" s="10">
        <v>2089</v>
      </c>
      <c r="B71">
        <f>IF(A71-'Outil Cibles'!D$7=30, ('Outil Cibles'!D$16-'Outil Cibles'!D$11)*0.5*'Outil Cibles'!D$8, IF(A71-'Outil Cibles'!D$7=60, ('Outil Cibles'!D$16-'Outil Cibles'!D$11)*0.5*'Outil Cibles'!D$8, 0))</f>
        <v>0</v>
      </c>
      <c r="C71">
        <f>IF($A71-'Outil Cibles'!E$7=30, ('Outil Cibles'!E$16-'Outil Cibles'!E$11)*0.5*'Outil Cibles'!E$8, IF(B71-'Outil Cibles'!E$7=60, ('Outil Cibles'!E$16-'Outil Cibles'!E$11)*0.5*'Outil Cibles'!E$8, 0))</f>
        <v>0</v>
      </c>
      <c r="D71">
        <f>IF($A71-'Outil Cibles'!F$7=30, ('Outil Cibles'!F$16-'Outil Cibles'!F$11)*0.5*'Outil Cibles'!F$8, IF(C71-'Outil Cibles'!F$7=60, ('Outil Cibles'!F$16-'Outil Cibles'!F$11)*0.5*'Outil Cibles'!F$8, 0))</f>
        <v>0</v>
      </c>
      <c r="E71">
        <f>IF($A71-'Outil Cibles'!G$7=30, ('Outil Cibles'!G$16-'Outil Cibles'!G$11)*0.5*'Outil Cibles'!G$8, IF(D71-'Outil Cibles'!G$7=60, ('Outil Cibles'!G$16-'Outil Cibles'!G$11)*0.5*'Outil Cibles'!G$8, 0))</f>
        <v>0</v>
      </c>
      <c r="F71">
        <f>IF($A71-'Outil Cibles'!H$7=30, ('Outil Cibles'!H$16-'Outil Cibles'!H$11)*0.5*'Outil Cibles'!H$8, IF(E71-'Outil Cibles'!H$7=60, ('Outil Cibles'!H$16-'Outil Cibles'!H$11)*0.5*'Outil Cibles'!H$8, 0))</f>
        <v>0</v>
      </c>
      <c r="G71">
        <f>IF($A71-'Outil Cibles'!I$7=30, ('Outil Cibles'!I$16-'Outil Cibles'!I$11)*0.5*'Outil Cibles'!I$8, IF(F71-'Outil Cibles'!I$7=60, ('Outil Cibles'!I$16-'Outil Cibles'!I$11)*0.5*'Outil Cibles'!I$8, 0))</f>
        <v>0</v>
      </c>
      <c r="H71">
        <f>IF($A71-'Outil Cibles'!J$7=30, ('Outil Cibles'!J$16-'Outil Cibles'!J$11)*0.5*'Outil Cibles'!J$8, IF(G71-'Outil Cibles'!J$7=60, ('Outil Cibles'!J$16-'Outil Cibles'!J$11)*0.5*'Outil Cibles'!J$8, 0))</f>
        <v>0</v>
      </c>
      <c r="I71">
        <f>IF($A71-'Outil Cibles'!K$7=30, ('Outil Cibles'!K$16-'Outil Cibles'!K$11)*0.5*'Outil Cibles'!K$8, IF(H71-'Outil Cibles'!K$7=60, ('Outil Cibles'!K$16-'Outil Cibles'!K$11)*0.5*'Outil Cibles'!K$8, 0))</f>
        <v>0</v>
      </c>
      <c r="J71">
        <f>IF($A71-'Outil Cibles'!L$7=30, ('Outil Cibles'!L$16-'Outil Cibles'!L$11)*0.5*'Outil Cibles'!L$8, IF(I71-'Outil Cibles'!L$7=60, ('Outil Cibles'!L$16-'Outil Cibles'!L$11)*0.5*'Outil Cibles'!L$8, 0))</f>
        <v>0</v>
      </c>
      <c r="K71">
        <f>IF($A71-'Outil Cibles'!M$7=30, ('Outil Cibles'!M$16-'Outil Cibles'!M$11)*0.5*'Outil Cibles'!M$8, IF(J71-'Outil Cibles'!M$7=60, ('Outil Cibles'!M$16-'Outil Cibles'!M$11)*0.5*'Outil Cibles'!M$8, 0))</f>
        <v>0</v>
      </c>
      <c r="L71">
        <f t="shared" si="2"/>
        <v>0</v>
      </c>
      <c r="N71" s="10">
        <v>2089</v>
      </c>
      <c r="O71">
        <f>IF(N71='Outil Cibles'!$Q$7, 'Outil Cibles'!$Q$18, 0)</f>
        <v>0</v>
      </c>
      <c r="P71">
        <f>IF(N71='Outil Cibles'!$R$7, 'Outil Cibles'!$R$18, 0)</f>
        <v>0</v>
      </c>
      <c r="Q71">
        <f>IF(N71='Outil Cibles'!$S$7, 'Outil Cibles'!$S$18, 0)</f>
        <v>0</v>
      </c>
      <c r="R71">
        <f>IF(N71='Outil Cibles'!$T$7, 'Outil Cibles'!$T$18, 0)</f>
        <v>0</v>
      </c>
      <c r="S71">
        <f>IF(N71='Outil Cibles'!$U$7, 'Outil Cibles'!$U$18, 0)</f>
        <v>0</v>
      </c>
      <c r="T71">
        <f>IF(N71='Outil Cibles'!$V$7, 'Outil Cibles'!$V$18, 0)</f>
        <v>0</v>
      </c>
      <c r="U71">
        <f>IF(N71='Outil Cibles'!$W$7, 'Outil Cibles'!$W$18, 0)</f>
        <v>0</v>
      </c>
      <c r="V71">
        <f>IF(N71='Outil Cibles'!$X$7, 'Outil Cibles'!$X$18, 0)</f>
        <v>0</v>
      </c>
      <c r="W71">
        <f>IF(N71='Outil Cibles'!$Y$7, 'Outil Cibles'!$Y$18, 0)</f>
        <v>0</v>
      </c>
      <c r="X71">
        <f>IF(N71='Outil Cibles'!$Z$7, 'Outil Cibles'!$Z$18, 0)</f>
        <v>0</v>
      </c>
      <c r="Y71">
        <f t="shared" si="3"/>
        <v>0</v>
      </c>
    </row>
    <row r="72" spans="1:25" x14ac:dyDescent="0.3">
      <c r="A72">
        <v>2090</v>
      </c>
      <c r="B72">
        <f>IF(A72-'Outil Cibles'!D$7=30, ('Outil Cibles'!D$16-'Outil Cibles'!D$11)*0.5*'Outil Cibles'!D$8, IF(A72-'Outil Cibles'!D$7=60, ('Outil Cibles'!D$16-'Outil Cibles'!D$11)*0.5*'Outil Cibles'!D$8, 0))</f>
        <v>0</v>
      </c>
      <c r="C72">
        <f>IF($A72-'Outil Cibles'!E$7=30, ('Outil Cibles'!E$16-'Outil Cibles'!E$11)*0.5*'Outil Cibles'!E$8, IF(B72-'Outil Cibles'!E$7=60, ('Outil Cibles'!E$16-'Outil Cibles'!E$11)*0.5*'Outil Cibles'!E$8, 0))</f>
        <v>0</v>
      </c>
      <c r="D72">
        <f>IF($A72-'Outil Cibles'!F$7=30, ('Outil Cibles'!F$16-'Outil Cibles'!F$11)*0.5*'Outil Cibles'!F$8, IF(C72-'Outil Cibles'!F$7=60, ('Outil Cibles'!F$16-'Outil Cibles'!F$11)*0.5*'Outil Cibles'!F$8, 0))</f>
        <v>0</v>
      </c>
      <c r="E72">
        <f>IF($A72-'Outil Cibles'!G$7=30, ('Outil Cibles'!G$16-'Outil Cibles'!G$11)*0.5*'Outil Cibles'!G$8, IF(D72-'Outil Cibles'!G$7=60, ('Outil Cibles'!G$16-'Outil Cibles'!G$11)*0.5*'Outil Cibles'!G$8, 0))</f>
        <v>0</v>
      </c>
      <c r="F72">
        <f>IF($A72-'Outil Cibles'!H$7=30, ('Outil Cibles'!H$16-'Outil Cibles'!H$11)*0.5*'Outil Cibles'!H$8, IF(E72-'Outil Cibles'!H$7=60, ('Outil Cibles'!H$16-'Outil Cibles'!H$11)*0.5*'Outil Cibles'!H$8, 0))</f>
        <v>0</v>
      </c>
      <c r="G72">
        <f>IF($A72-'Outil Cibles'!I$7=30, ('Outil Cibles'!I$16-'Outil Cibles'!I$11)*0.5*'Outil Cibles'!I$8, IF(F72-'Outil Cibles'!I$7=60, ('Outil Cibles'!I$16-'Outil Cibles'!I$11)*0.5*'Outil Cibles'!I$8, 0))</f>
        <v>0</v>
      </c>
      <c r="H72">
        <f>IF($A72-'Outil Cibles'!J$7=30, ('Outil Cibles'!J$16-'Outil Cibles'!J$11)*0.5*'Outil Cibles'!J$8, IF(G72-'Outil Cibles'!J$7=60, ('Outil Cibles'!J$16-'Outil Cibles'!J$11)*0.5*'Outil Cibles'!J$8, 0))</f>
        <v>0</v>
      </c>
      <c r="I72">
        <f>IF($A72-'Outil Cibles'!K$7=30, ('Outil Cibles'!K$16-'Outil Cibles'!K$11)*0.5*'Outil Cibles'!K$8, IF(H72-'Outil Cibles'!K$7=60, ('Outil Cibles'!K$16-'Outil Cibles'!K$11)*0.5*'Outil Cibles'!K$8, 0))</f>
        <v>0</v>
      </c>
      <c r="J72">
        <f>IF($A72-'Outil Cibles'!L$7=30, ('Outil Cibles'!L$16-'Outil Cibles'!L$11)*0.5*'Outil Cibles'!L$8, IF(I72-'Outil Cibles'!L$7=60, ('Outil Cibles'!L$16-'Outil Cibles'!L$11)*0.5*'Outil Cibles'!L$8, 0))</f>
        <v>0</v>
      </c>
      <c r="K72">
        <f>IF($A72-'Outil Cibles'!M$7=30, ('Outil Cibles'!M$16-'Outil Cibles'!M$11)*0.5*'Outil Cibles'!M$8, IF(J72-'Outil Cibles'!M$7=60, ('Outil Cibles'!M$16-'Outil Cibles'!M$11)*0.5*'Outil Cibles'!M$8, 0))</f>
        <v>0</v>
      </c>
      <c r="L72">
        <f t="shared" si="2"/>
        <v>0</v>
      </c>
      <c r="N72">
        <v>2090</v>
      </c>
      <c r="O72">
        <f>IF(N72='Outil Cibles'!$Q$7, 'Outil Cibles'!$Q$18, 0)</f>
        <v>0</v>
      </c>
      <c r="P72">
        <f>IF(N72='Outil Cibles'!$R$7, 'Outil Cibles'!$R$18, 0)</f>
        <v>0</v>
      </c>
      <c r="Q72">
        <f>IF(N72='Outil Cibles'!$S$7, 'Outil Cibles'!$S$18, 0)</f>
        <v>0</v>
      </c>
      <c r="R72">
        <f>IF(N72='Outil Cibles'!$T$7, 'Outil Cibles'!$T$18, 0)</f>
        <v>0</v>
      </c>
      <c r="S72">
        <f>IF(N72='Outil Cibles'!$U$7, 'Outil Cibles'!$U$18, 0)</f>
        <v>0</v>
      </c>
      <c r="T72">
        <f>IF(N72='Outil Cibles'!$V$7, 'Outil Cibles'!$V$18, 0)</f>
        <v>0</v>
      </c>
      <c r="U72">
        <f>IF(N72='Outil Cibles'!$W$7, 'Outil Cibles'!$W$18, 0)</f>
        <v>0</v>
      </c>
      <c r="V72">
        <f>IF(N72='Outil Cibles'!$X$7, 'Outil Cibles'!$X$18, 0)</f>
        <v>0</v>
      </c>
      <c r="W72">
        <f>IF(N72='Outil Cibles'!$Y$7, 'Outil Cibles'!$Y$18, 0)</f>
        <v>0</v>
      </c>
      <c r="X72">
        <f>IF(N72='Outil Cibles'!$Z$7, 'Outil Cibles'!$Z$18, 0)</f>
        <v>0</v>
      </c>
      <c r="Y72">
        <f t="shared" si="3"/>
        <v>0</v>
      </c>
    </row>
    <row r="73" spans="1:25" x14ac:dyDescent="0.3">
      <c r="A73">
        <v>2091</v>
      </c>
      <c r="B73">
        <f>IF(A73-'Outil Cibles'!D$7=30, ('Outil Cibles'!D$16-'Outil Cibles'!D$11)*0.5*'Outil Cibles'!D$8, IF(A73-'Outil Cibles'!D$7=60, ('Outil Cibles'!D$16-'Outil Cibles'!D$11)*0.5*'Outil Cibles'!D$8, 0))</f>
        <v>0</v>
      </c>
      <c r="C73">
        <f>IF($A73-'Outil Cibles'!E$7=30, ('Outil Cibles'!E$16-'Outil Cibles'!E$11)*0.5*'Outil Cibles'!E$8, IF(B73-'Outil Cibles'!E$7=60, ('Outil Cibles'!E$16-'Outil Cibles'!E$11)*0.5*'Outil Cibles'!E$8, 0))</f>
        <v>0</v>
      </c>
      <c r="D73">
        <f>IF($A73-'Outil Cibles'!F$7=30, ('Outil Cibles'!F$16-'Outil Cibles'!F$11)*0.5*'Outil Cibles'!F$8, IF(C73-'Outil Cibles'!F$7=60, ('Outil Cibles'!F$16-'Outil Cibles'!F$11)*0.5*'Outil Cibles'!F$8, 0))</f>
        <v>0</v>
      </c>
      <c r="E73">
        <f>IF($A73-'Outil Cibles'!G$7=30, ('Outil Cibles'!G$16-'Outil Cibles'!G$11)*0.5*'Outil Cibles'!G$8, IF(D73-'Outil Cibles'!G$7=60, ('Outil Cibles'!G$16-'Outil Cibles'!G$11)*0.5*'Outil Cibles'!G$8, 0))</f>
        <v>0</v>
      </c>
      <c r="F73">
        <f>IF($A73-'Outil Cibles'!H$7=30, ('Outil Cibles'!H$16-'Outil Cibles'!H$11)*0.5*'Outil Cibles'!H$8, IF(E73-'Outil Cibles'!H$7=60, ('Outil Cibles'!H$16-'Outil Cibles'!H$11)*0.5*'Outil Cibles'!H$8, 0))</f>
        <v>0</v>
      </c>
      <c r="G73">
        <f>IF($A73-'Outil Cibles'!I$7=30, ('Outil Cibles'!I$16-'Outil Cibles'!I$11)*0.5*'Outil Cibles'!I$8, IF(F73-'Outil Cibles'!I$7=60, ('Outil Cibles'!I$16-'Outil Cibles'!I$11)*0.5*'Outil Cibles'!I$8, 0))</f>
        <v>0</v>
      </c>
      <c r="H73">
        <f>IF($A73-'Outil Cibles'!J$7=30, ('Outil Cibles'!J$16-'Outil Cibles'!J$11)*0.5*'Outil Cibles'!J$8, IF(G73-'Outil Cibles'!J$7=60, ('Outil Cibles'!J$16-'Outil Cibles'!J$11)*0.5*'Outil Cibles'!J$8, 0))</f>
        <v>0</v>
      </c>
      <c r="I73">
        <f>IF($A73-'Outil Cibles'!K$7=30, ('Outil Cibles'!K$16-'Outil Cibles'!K$11)*0.5*'Outil Cibles'!K$8, IF(H73-'Outil Cibles'!K$7=60, ('Outil Cibles'!K$16-'Outil Cibles'!K$11)*0.5*'Outil Cibles'!K$8, 0))</f>
        <v>0</v>
      </c>
      <c r="J73">
        <f>IF($A73-'Outil Cibles'!L$7=30, ('Outil Cibles'!L$16-'Outil Cibles'!L$11)*0.5*'Outil Cibles'!L$8, IF(I73-'Outil Cibles'!L$7=60, ('Outil Cibles'!L$16-'Outil Cibles'!L$11)*0.5*'Outil Cibles'!L$8, 0))</f>
        <v>0</v>
      </c>
      <c r="K73">
        <f>IF($A73-'Outil Cibles'!M$7=30, ('Outil Cibles'!M$16-'Outil Cibles'!M$11)*0.5*'Outil Cibles'!M$8, IF(J73-'Outil Cibles'!M$7=60, ('Outil Cibles'!M$16-'Outil Cibles'!M$11)*0.5*'Outil Cibles'!M$8, 0))</f>
        <v>0</v>
      </c>
      <c r="L73">
        <f t="shared" si="2"/>
        <v>0</v>
      </c>
      <c r="N73">
        <v>2091</v>
      </c>
      <c r="O73">
        <f>IF(N73='Outil Cibles'!$Q$7, 'Outil Cibles'!$Q$18, 0)</f>
        <v>0</v>
      </c>
      <c r="P73">
        <f>IF(N73='Outil Cibles'!$R$7, 'Outil Cibles'!$R$18, 0)</f>
        <v>0</v>
      </c>
      <c r="Q73">
        <f>IF(N73='Outil Cibles'!$S$7, 'Outil Cibles'!$S$18, 0)</f>
        <v>0</v>
      </c>
      <c r="R73">
        <f>IF(N73='Outil Cibles'!$T$7, 'Outil Cibles'!$T$18, 0)</f>
        <v>0</v>
      </c>
      <c r="S73">
        <f>IF(N73='Outil Cibles'!$U$7, 'Outil Cibles'!$U$18, 0)</f>
        <v>0</v>
      </c>
      <c r="T73">
        <f>IF(N73='Outil Cibles'!$V$7, 'Outil Cibles'!$V$18, 0)</f>
        <v>0</v>
      </c>
      <c r="U73">
        <f>IF(N73='Outil Cibles'!$W$7, 'Outil Cibles'!$W$18, 0)</f>
        <v>0</v>
      </c>
      <c r="V73">
        <f>IF(N73='Outil Cibles'!$X$7, 'Outil Cibles'!$X$18, 0)</f>
        <v>0</v>
      </c>
      <c r="W73">
        <f>IF(N73='Outil Cibles'!$Y$7, 'Outil Cibles'!$Y$18, 0)</f>
        <v>0</v>
      </c>
      <c r="X73">
        <f>IF(N73='Outil Cibles'!$Z$7, 'Outil Cibles'!$Z$18, 0)</f>
        <v>0</v>
      </c>
      <c r="Y73">
        <f t="shared" si="3"/>
        <v>0</v>
      </c>
    </row>
    <row r="74" spans="1:25" x14ac:dyDescent="0.3">
      <c r="A74">
        <v>2092</v>
      </c>
      <c r="B74">
        <f>IF(A74-'Outil Cibles'!D$7=30, ('Outil Cibles'!D$16-'Outil Cibles'!D$11)*0.5*'Outil Cibles'!D$8, IF(A74-'Outil Cibles'!D$7=60, ('Outil Cibles'!D$16-'Outil Cibles'!D$11)*0.5*'Outil Cibles'!D$8, 0))</f>
        <v>0</v>
      </c>
      <c r="C74">
        <f>IF($A74-'Outil Cibles'!E$7=30, ('Outil Cibles'!E$16-'Outil Cibles'!E$11)*0.5*'Outil Cibles'!E$8, IF(B74-'Outil Cibles'!E$7=60, ('Outil Cibles'!E$16-'Outil Cibles'!E$11)*0.5*'Outil Cibles'!E$8, 0))</f>
        <v>0</v>
      </c>
      <c r="D74">
        <f>IF($A74-'Outil Cibles'!F$7=30, ('Outil Cibles'!F$16-'Outil Cibles'!F$11)*0.5*'Outil Cibles'!F$8, IF(C74-'Outil Cibles'!F$7=60, ('Outil Cibles'!F$16-'Outil Cibles'!F$11)*0.5*'Outil Cibles'!F$8, 0))</f>
        <v>0</v>
      </c>
      <c r="E74">
        <f>IF($A74-'Outil Cibles'!G$7=30, ('Outil Cibles'!G$16-'Outil Cibles'!G$11)*0.5*'Outil Cibles'!G$8, IF(D74-'Outil Cibles'!G$7=60, ('Outil Cibles'!G$16-'Outil Cibles'!G$11)*0.5*'Outil Cibles'!G$8, 0))</f>
        <v>0</v>
      </c>
      <c r="F74">
        <f>IF($A74-'Outil Cibles'!H$7=30, ('Outil Cibles'!H$16-'Outil Cibles'!H$11)*0.5*'Outil Cibles'!H$8, IF(E74-'Outil Cibles'!H$7=60, ('Outil Cibles'!H$16-'Outil Cibles'!H$11)*0.5*'Outil Cibles'!H$8, 0))</f>
        <v>0</v>
      </c>
      <c r="G74">
        <f>IF($A74-'Outil Cibles'!I$7=30, ('Outil Cibles'!I$16-'Outil Cibles'!I$11)*0.5*'Outil Cibles'!I$8, IF(F74-'Outil Cibles'!I$7=60, ('Outil Cibles'!I$16-'Outil Cibles'!I$11)*0.5*'Outil Cibles'!I$8, 0))</f>
        <v>0</v>
      </c>
      <c r="H74">
        <f>IF($A74-'Outil Cibles'!J$7=30, ('Outil Cibles'!J$16-'Outil Cibles'!J$11)*0.5*'Outil Cibles'!J$8, IF(G74-'Outil Cibles'!J$7=60, ('Outil Cibles'!J$16-'Outil Cibles'!J$11)*0.5*'Outil Cibles'!J$8, 0))</f>
        <v>0</v>
      </c>
      <c r="I74">
        <f>IF($A74-'Outil Cibles'!K$7=30, ('Outil Cibles'!K$16-'Outil Cibles'!K$11)*0.5*'Outil Cibles'!K$8, IF(H74-'Outil Cibles'!K$7=60, ('Outil Cibles'!K$16-'Outil Cibles'!K$11)*0.5*'Outil Cibles'!K$8, 0))</f>
        <v>0</v>
      </c>
      <c r="J74">
        <f>IF($A74-'Outil Cibles'!L$7=30, ('Outil Cibles'!L$16-'Outil Cibles'!L$11)*0.5*'Outil Cibles'!L$8, IF(I74-'Outil Cibles'!L$7=60, ('Outil Cibles'!L$16-'Outil Cibles'!L$11)*0.5*'Outil Cibles'!L$8, 0))</f>
        <v>0</v>
      </c>
      <c r="K74">
        <f>IF($A74-'Outil Cibles'!M$7=30, ('Outil Cibles'!M$16-'Outil Cibles'!M$11)*0.5*'Outil Cibles'!M$8, IF(J74-'Outil Cibles'!M$7=60, ('Outil Cibles'!M$16-'Outil Cibles'!M$11)*0.5*'Outil Cibles'!M$8, 0))</f>
        <v>0</v>
      </c>
      <c r="L74">
        <f t="shared" si="2"/>
        <v>0</v>
      </c>
      <c r="N74">
        <v>2092</v>
      </c>
      <c r="O74">
        <f>IF(N74='Outil Cibles'!$Q$7, 'Outil Cibles'!$Q$18, 0)</f>
        <v>0</v>
      </c>
      <c r="P74">
        <f>IF(N74='Outil Cibles'!$R$7, 'Outil Cibles'!$R$18, 0)</f>
        <v>0</v>
      </c>
      <c r="Q74">
        <f>IF(N74='Outil Cibles'!$S$7, 'Outil Cibles'!$S$18, 0)</f>
        <v>0</v>
      </c>
      <c r="R74">
        <f>IF(N74='Outil Cibles'!$T$7, 'Outil Cibles'!$T$18, 0)</f>
        <v>0</v>
      </c>
      <c r="S74">
        <f>IF(N74='Outil Cibles'!$U$7, 'Outil Cibles'!$U$18, 0)</f>
        <v>0</v>
      </c>
      <c r="T74">
        <f>IF(N74='Outil Cibles'!$V$7, 'Outil Cibles'!$V$18, 0)</f>
        <v>0</v>
      </c>
      <c r="U74">
        <f>IF(N74='Outil Cibles'!$W$7, 'Outil Cibles'!$W$18, 0)</f>
        <v>0</v>
      </c>
      <c r="V74">
        <f>IF(N74='Outil Cibles'!$X$7, 'Outil Cibles'!$X$18, 0)</f>
        <v>0</v>
      </c>
      <c r="W74">
        <f>IF(N74='Outil Cibles'!$Y$7, 'Outil Cibles'!$Y$18, 0)</f>
        <v>0</v>
      </c>
      <c r="X74">
        <f>IF(N74='Outil Cibles'!$Z$7, 'Outil Cibles'!$Z$18, 0)</f>
        <v>0</v>
      </c>
      <c r="Y74">
        <f t="shared" si="3"/>
        <v>0</v>
      </c>
    </row>
    <row r="75" spans="1:25" x14ac:dyDescent="0.3">
      <c r="A75">
        <v>2093</v>
      </c>
      <c r="B75">
        <f>IF(A75-'Outil Cibles'!D$7=30, ('Outil Cibles'!D$16-'Outil Cibles'!D$11)*0.5*'Outil Cibles'!D$8, IF(A75-'Outil Cibles'!D$7=60, ('Outil Cibles'!D$16-'Outil Cibles'!D$11)*0.5*'Outil Cibles'!D$8, 0))</f>
        <v>0</v>
      </c>
      <c r="C75">
        <f>IF($A75-'Outil Cibles'!E$7=30, ('Outil Cibles'!E$16-'Outil Cibles'!E$11)*0.5*'Outil Cibles'!E$8, IF(B75-'Outil Cibles'!E$7=60, ('Outil Cibles'!E$16-'Outil Cibles'!E$11)*0.5*'Outil Cibles'!E$8, 0))</f>
        <v>0</v>
      </c>
      <c r="D75">
        <f>IF($A75-'Outil Cibles'!F$7=30, ('Outil Cibles'!F$16-'Outil Cibles'!F$11)*0.5*'Outil Cibles'!F$8, IF(C75-'Outil Cibles'!F$7=60, ('Outil Cibles'!F$16-'Outil Cibles'!F$11)*0.5*'Outil Cibles'!F$8, 0))</f>
        <v>0</v>
      </c>
      <c r="E75">
        <f>IF($A75-'Outil Cibles'!G$7=30, ('Outil Cibles'!G$16-'Outil Cibles'!G$11)*0.5*'Outil Cibles'!G$8, IF(D75-'Outil Cibles'!G$7=60, ('Outil Cibles'!G$16-'Outil Cibles'!G$11)*0.5*'Outil Cibles'!G$8, 0))</f>
        <v>0</v>
      </c>
      <c r="F75">
        <f>IF($A75-'Outil Cibles'!H$7=30, ('Outil Cibles'!H$16-'Outil Cibles'!H$11)*0.5*'Outil Cibles'!H$8, IF(E75-'Outil Cibles'!H$7=60, ('Outil Cibles'!H$16-'Outil Cibles'!H$11)*0.5*'Outil Cibles'!H$8, 0))</f>
        <v>0</v>
      </c>
      <c r="G75">
        <f>IF($A75-'Outil Cibles'!I$7=30, ('Outil Cibles'!I$16-'Outil Cibles'!I$11)*0.5*'Outil Cibles'!I$8, IF(F75-'Outil Cibles'!I$7=60, ('Outil Cibles'!I$16-'Outil Cibles'!I$11)*0.5*'Outil Cibles'!I$8, 0))</f>
        <v>0</v>
      </c>
      <c r="H75">
        <f>IF($A75-'Outil Cibles'!J$7=30, ('Outil Cibles'!J$16-'Outil Cibles'!J$11)*0.5*'Outil Cibles'!J$8, IF(G75-'Outil Cibles'!J$7=60, ('Outil Cibles'!J$16-'Outil Cibles'!J$11)*0.5*'Outil Cibles'!J$8, 0))</f>
        <v>0</v>
      </c>
      <c r="I75">
        <f>IF($A75-'Outil Cibles'!K$7=30, ('Outil Cibles'!K$16-'Outil Cibles'!K$11)*0.5*'Outil Cibles'!K$8, IF(H75-'Outil Cibles'!K$7=60, ('Outil Cibles'!K$16-'Outil Cibles'!K$11)*0.5*'Outil Cibles'!K$8, 0))</f>
        <v>0</v>
      </c>
      <c r="J75">
        <f>IF($A75-'Outil Cibles'!L$7=30, ('Outil Cibles'!L$16-'Outil Cibles'!L$11)*0.5*'Outil Cibles'!L$8, IF(I75-'Outil Cibles'!L$7=60, ('Outil Cibles'!L$16-'Outil Cibles'!L$11)*0.5*'Outil Cibles'!L$8, 0))</f>
        <v>0</v>
      </c>
      <c r="K75">
        <f>IF($A75-'Outil Cibles'!M$7=30, ('Outil Cibles'!M$16-'Outil Cibles'!M$11)*0.5*'Outil Cibles'!M$8, IF(J75-'Outil Cibles'!M$7=60, ('Outil Cibles'!M$16-'Outil Cibles'!M$11)*0.5*'Outil Cibles'!M$8, 0))</f>
        <v>0</v>
      </c>
      <c r="L75">
        <f t="shared" si="2"/>
        <v>0</v>
      </c>
      <c r="N75">
        <v>2093</v>
      </c>
      <c r="O75">
        <f>IF(N75='Outil Cibles'!$Q$7, 'Outil Cibles'!$Q$18, 0)</f>
        <v>0</v>
      </c>
      <c r="P75">
        <f>IF(N75='Outil Cibles'!$R$7, 'Outil Cibles'!$R$18, 0)</f>
        <v>0</v>
      </c>
      <c r="Q75">
        <f>IF(N75='Outil Cibles'!$S$7, 'Outil Cibles'!$S$18, 0)</f>
        <v>0</v>
      </c>
      <c r="R75">
        <f>IF(N75='Outil Cibles'!$T$7, 'Outil Cibles'!$T$18, 0)</f>
        <v>0</v>
      </c>
      <c r="S75">
        <f>IF(N75='Outil Cibles'!$U$7, 'Outil Cibles'!$U$18, 0)</f>
        <v>0</v>
      </c>
      <c r="T75">
        <f>IF(N75='Outil Cibles'!$V$7, 'Outil Cibles'!$V$18, 0)</f>
        <v>0</v>
      </c>
      <c r="U75">
        <f>IF(N75='Outil Cibles'!$W$7, 'Outil Cibles'!$W$18, 0)</f>
        <v>0</v>
      </c>
      <c r="V75">
        <f>IF(N75='Outil Cibles'!$X$7, 'Outil Cibles'!$X$18, 0)</f>
        <v>0</v>
      </c>
      <c r="W75">
        <f>IF(N75='Outil Cibles'!$Y$7, 'Outil Cibles'!$Y$18, 0)</f>
        <v>0</v>
      </c>
      <c r="X75">
        <f>IF(N75='Outil Cibles'!$Z$7, 'Outil Cibles'!$Z$18, 0)</f>
        <v>0</v>
      </c>
      <c r="Y75">
        <f t="shared" si="3"/>
        <v>0</v>
      </c>
    </row>
    <row r="76" spans="1:25" x14ac:dyDescent="0.3">
      <c r="A76">
        <v>2094</v>
      </c>
      <c r="B76">
        <f>IF(A76-'Outil Cibles'!D$7=30, ('Outil Cibles'!D$16-'Outil Cibles'!D$11)*0.5*'Outil Cibles'!D$8, IF(A76-'Outil Cibles'!D$7=60, ('Outil Cibles'!D$16-'Outil Cibles'!D$11)*0.5*'Outil Cibles'!D$8, 0))</f>
        <v>0</v>
      </c>
      <c r="C76">
        <f>IF($A76-'Outil Cibles'!E$7=30, ('Outil Cibles'!E$16-'Outil Cibles'!E$11)*0.5*'Outil Cibles'!E$8, IF(B76-'Outil Cibles'!E$7=60, ('Outil Cibles'!E$16-'Outil Cibles'!E$11)*0.5*'Outil Cibles'!E$8, 0))</f>
        <v>0</v>
      </c>
      <c r="D76">
        <f>IF($A76-'Outil Cibles'!F$7=30, ('Outil Cibles'!F$16-'Outil Cibles'!F$11)*0.5*'Outil Cibles'!F$8, IF(C76-'Outil Cibles'!F$7=60, ('Outil Cibles'!F$16-'Outil Cibles'!F$11)*0.5*'Outil Cibles'!F$8, 0))</f>
        <v>0</v>
      </c>
      <c r="E76">
        <f>IF($A76-'Outil Cibles'!G$7=30, ('Outil Cibles'!G$16-'Outil Cibles'!G$11)*0.5*'Outil Cibles'!G$8, IF(D76-'Outil Cibles'!G$7=60, ('Outil Cibles'!G$16-'Outil Cibles'!G$11)*0.5*'Outil Cibles'!G$8, 0))</f>
        <v>0</v>
      </c>
      <c r="F76">
        <f>IF($A76-'Outil Cibles'!H$7=30, ('Outil Cibles'!H$16-'Outil Cibles'!H$11)*0.5*'Outil Cibles'!H$8, IF(E76-'Outil Cibles'!H$7=60, ('Outil Cibles'!H$16-'Outil Cibles'!H$11)*0.5*'Outil Cibles'!H$8, 0))</f>
        <v>0</v>
      </c>
      <c r="G76">
        <f>IF($A76-'Outil Cibles'!I$7=30, ('Outil Cibles'!I$16-'Outil Cibles'!I$11)*0.5*'Outil Cibles'!I$8, IF(F76-'Outil Cibles'!I$7=60, ('Outil Cibles'!I$16-'Outil Cibles'!I$11)*0.5*'Outil Cibles'!I$8, 0))</f>
        <v>0</v>
      </c>
      <c r="H76">
        <f>IF($A76-'Outil Cibles'!J$7=30, ('Outil Cibles'!J$16-'Outil Cibles'!J$11)*0.5*'Outil Cibles'!J$8, IF(G76-'Outil Cibles'!J$7=60, ('Outil Cibles'!J$16-'Outil Cibles'!J$11)*0.5*'Outil Cibles'!J$8, 0))</f>
        <v>0</v>
      </c>
      <c r="I76">
        <f>IF($A76-'Outil Cibles'!K$7=30, ('Outil Cibles'!K$16-'Outil Cibles'!K$11)*0.5*'Outil Cibles'!K$8, IF(H76-'Outil Cibles'!K$7=60, ('Outil Cibles'!K$16-'Outil Cibles'!K$11)*0.5*'Outil Cibles'!K$8, 0))</f>
        <v>0</v>
      </c>
      <c r="J76">
        <f>IF($A76-'Outil Cibles'!L$7=30, ('Outil Cibles'!L$16-'Outil Cibles'!L$11)*0.5*'Outil Cibles'!L$8, IF(I76-'Outil Cibles'!L$7=60, ('Outil Cibles'!L$16-'Outil Cibles'!L$11)*0.5*'Outil Cibles'!L$8, 0))</f>
        <v>0</v>
      </c>
      <c r="K76">
        <f>IF($A76-'Outil Cibles'!M$7=30, ('Outil Cibles'!M$16-'Outil Cibles'!M$11)*0.5*'Outil Cibles'!M$8, IF(J76-'Outil Cibles'!M$7=60, ('Outil Cibles'!M$16-'Outil Cibles'!M$11)*0.5*'Outil Cibles'!M$8, 0))</f>
        <v>0</v>
      </c>
      <c r="L76">
        <f t="shared" si="2"/>
        <v>0</v>
      </c>
      <c r="N76">
        <v>2094</v>
      </c>
      <c r="O76">
        <f>IF(N76='Outil Cibles'!$Q$7, 'Outil Cibles'!$Q$18, 0)</f>
        <v>0</v>
      </c>
      <c r="P76">
        <f>IF(N76='Outil Cibles'!$R$7, 'Outil Cibles'!$R$18, 0)</f>
        <v>0</v>
      </c>
      <c r="Q76">
        <f>IF(N76='Outil Cibles'!$S$7, 'Outil Cibles'!$S$18, 0)</f>
        <v>0</v>
      </c>
      <c r="R76">
        <f>IF(N76='Outil Cibles'!$T$7, 'Outil Cibles'!$T$18, 0)</f>
        <v>0</v>
      </c>
      <c r="S76">
        <f>IF(N76='Outil Cibles'!$U$7, 'Outil Cibles'!$U$18, 0)</f>
        <v>0</v>
      </c>
      <c r="T76">
        <f>IF(N76='Outil Cibles'!$V$7, 'Outil Cibles'!$V$18, 0)</f>
        <v>0</v>
      </c>
      <c r="U76">
        <f>IF(N76='Outil Cibles'!$W$7, 'Outil Cibles'!$W$18, 0)</f>
        <v>0</v>
      </c>
      <c r="V76">
        <f>IF(N76='Outil Cibles'!$X$7, 'Outil Cibles'!$X$18, 0)</f>
        <v>0</v>
      </c>
      <c r="W76">
        <f>IF(N76='Outil Cibles'!$Y$7, 'Outil Cibles'!$Y$18, 0)</f>
        <v>0</v>
      </c>
      <c r="X76">
        <f>IF(N76='Outil Cibles'!$Z$7, 'Outil Cibles'!$Z$18, 0)</f>
        <v>0</v>
      </c>
      <c r="Y76">
        <f t="shared" si="3"/>
        <v>0</v>
      </c>
    </row>
    <row r="77" spans="1:25" x14ac:dyDescent="0.3">
      <c r="A77">
        <v>2095</v>
      </c>
      <c r="B77">
        <f>IF(A77-'Outil Cibles'!D$7=30, ('Outil Cibles'!D$16-'Outil Cibles'!D$11)*0.5*'Outil Cibles'!D$8, IF(A77-'Outil Cibles'!D$7=60, ('Outil Cibles'!D$16-'Outil Cibles'!D$11)*0.5*'Outil Cibles'!D$8, 0))</f>
        <v>0</v>
      </c>
      <c r="C77">
        <f>IF($A77-'Outil Cibles'!E$7=30, ('Outil Cibles'!E$16-'Outil Cibles'!E$11)*0.5*'Outil Cibles'!E$8, IF(B77-'Outil Cibles'!E$7=60, ('Outil Cibles'!E$16-'Outil Cibles'!E$11)*0.5*'Outil Cibles'!E$8, 0))</f>
        <v>0</v>
      </c>
      <c r="D77">
        <f>IF($A77-'Outil Cibles'!F$7=30, ('Outil Cibles'!F$16-'Outil Cibles'!F$11)*0.5*'Outil Cibles'!F$8, IF(C77-'Outil Cibles'!F$7=60, ('Outil Cibles'!F$16-'Outil Cibles'!F$11)*0.5*'Outil Cibles'!F$8, 0))</f>
        <v>0</v>
      </c>
      <c r="E77">
        <f>IF($A77-'Outil Cibles'!G$7=30, ('Outil Cibles'!G$16-'Outil Cibles'!G$11)*0.5*'Outil Cibles'!G$8, IF(D77-'Outil Cibles'!G$7=60, ('Outil Cibles'!G$16-'Outil Cibles'!G$11)*0.5*'Outil Cibles'!G$8, 0))</f>
        <v>0</v>
      </c>
      <c r="F77">
        <f>IF($A77-'Outil Cibles'!H$7=30, ('Outil Cibles'!H$16-'Outil Cibles'!H$11)*0.5*'Outil Cibles'!H$8, IF(E77-'Outil Cibles'!H$7=60, ('Outil Cibles'!H$16-'Outil Cibles'!H$11)*0.5*'Outil Cibles'!H$8, 0))</f>
        <v>0</v>
      </c>
      <c r="G77">
        <f>IF($A77-'Outil Cibles'!I$7=30, ('Outil Cibles'!I$16-'Outil Cibles'!I$11)*0.5*'Outil Cibles'!I$8, IF(F77-'Outil Cibles'!I$7=60, ('Outil Cibles'!I$16-'Outil Cibles'!I$11)*0.5*'Outil Cibles'!I$8, 0))</f>
        <v>0</v>
      </c>
      <c r="H77">
        <f>IF($A77-'Outil Cibles'!J$7=30, ('Outil Cibles'!J$16-'Outil Cibles'!J$11)*0.5*'Outil Cibles'!J$8, IF(G77-'Outil Cibles'!J$7=60, ('Outil Cibles'!J$16-'Outil Cibles'!J$11)*0.5*'Outil Cibles'!J$8, 0))</f>
        <v>0</v>
      </c>
      <c r="I77">
        <f>IF($A77-'Outil Cibles'!K$7=30, ('Outil Cibles'!K$16-'Outil Cibles'!K$11)*0.5*'Outil Cibles'!K$8, IF(H77-'Outil Cibles'!K$7=60, ('Outil Cibles'!K$16-'Outil Cibles'!K$11)*0.5*'Outil Cibles'!K$8, 0))</f>
        <v>0</v>
      </c>
      <c r="J77">
        <f>IF($A77-'Outil Cibles'!L$7=30, ('Outil Cibles'!L$16-'Outil Cibles'!L$11)*0.5*'Outil Cibles'!L$8, IF(I77-'Outil Cibles'!L$7=60, ('Outil Cibles'!L$16-'Outil Cibles'!L$11)*0.5*'Outil Cibles'!L$8, 0))</f>
        <v>0</v>
      </c>
      <c r="K77">
        <f>IF($A77-'Outil Cibles'!M$7=30, ('Outil Cibles'!M$16-'Outil Cibles'!M$11)*0.5*'Outil Cibles'!M$8, IF(J77-'Outil Cibles'!M$7=60, ('Outil Cibles'!M$16-'Outil Cibles'!M$11)*0.5*'Outil Cibles'!M$8, 0))</f>
        <v>0</v>
      </c>
      <c r="L77">
        <f t="shared" si="2"/>
        <v>0</v>
      </c>
      <c r="N77">
        <v>2095</v>
      </c>
      <c r="O77">
        <f>IF(N77='Outil Cibles'!$Q$7, 'Outil Cibles'!$Q$18, 0)</f>
        <v>0</v>
      </c>
      <c r="P77">
        <f>IF(N77='Outil Cibles'!$R$7, 'Outil Cibles'!$R$18, 0)</f>
        <v>0</v>
      </c>
      <c r="Q77">
        <f>IF(N77='Outil Cibles'!$S$7, 'Outil Cibles'!$S$18, 0)</f>
        <v>0</v>
      </c>
      <c r="R77">
        <f>IF(N77='Outil Cibles'!$T$7, 'Outil Cibles'!$T$18, 0)</f>
        <v>0</v>
      </c>
      <c r="S77">
        <f>IF(N77='Outil Cibles'!$U$7, 'Outil Cibles'!$U$18, 0)</f>
        <v>0</v>
      </c>
      <c r="T77">
        <f>IF(N77='Outil Cibles'!$V$7, 'Outil Cibles'!$V$18, 0)</f>
        <v>0</v>
      </c>
      <c r="U77">
        <f>IF(N77='Outil Cibles'!$W$7, 'Outil Cibles'!$W$18, 0)</f>
        <v>0</v>
      </c>
      <c r="V77">
        <f>IF(N77='Outil Cibles'!$X$7, 'Outil Cibles'!$X$18, 0)</f>
        <v>0</v>
      </c>
      <c r="W77">
        <f>IF(N77='Outil Cibles'!$Y$7, 'Outil Cibles'!$Y$18, 0)</f>
        <v>0</v>
      </c>
      <c r="X77">
        <f>IF(N77='Outil Cibles'!$Z$7, 'Outil Cibles'!$Z$18, 0)</f>
        <v>0</v>
      </c>
      <c r="Y77">
        <f t="shared" si="3"/>
        <v>0</v>
      </c>
    </row>
    <row r="78" spans="1:25" x14ac:dyDescent="0.3">
      <c r="A78">
        <v>2096</v>
      </c>
      <c r="B78">
        <f>IF(A78-'Outil Cibles'!D$7=30, ('Outil Cibles'!D$16-'Outil Cibles'!D$11)*0.5*'Outil Cibles'!D$8, IF(A78-'Outil Cibles'!D$7=60, ('Outil Cibles'!D$16-'Outil Cibles'!D$11)*0.5*'Outil Cibles'!D$8, 0))</f>
        <v>0</v>
      </c>
      <c r="C78">
        <f>IF($A78-'Outil Cibles'!E$7=30, ('Outil Cibles'!E$16-'Outil Cibles'!E$11)*0.5*'Outil Cibles'!E$8, IF(B78-'Outil Cibles'!E$7=60, ('Outil Cibles'!E$16-'Outil Cibles'!E$11)*0.5*'Outil Cibles'!E$8, 0))</f>
        <v>0</v>
      </c>
      <c r="D78">
        <f>IF($A78-'Outil Cibles'!F$7=30, ('Outil Cibles'!F$16-'Outil Cibles'!F$11)*0.5*'Outil Cibles'!F$8, IF(C78-'Outil Cibles'!F$7=60, ('Outil Cibles'!F$16-'Outil Cibles'!F$11)*0.5*'Outil Cibles'!F$8, 0))</f>
        <v>0</v>
      </c>
      <c r="E78">
        <f>IF($A78-'Outil Cibles'!G$7=30, ('Outil Cibles'!G$16-'Outil Cibles'!G$11)*0.5*'Outil Cibles'!G$8, IF(D78-'Outil Cibles'!G$7=60, ('Outil Cibles'!G$16-'Outil Cibles'!G$11)*0.5*'Outil Cibles'!G$8, 0))</f>
        <v>0</v>
      </c>
      <c r="F78">
        <f>IF($A78-'Outil Cibles'!H$7=30, ('Outil Cibles'!H$16-'Outil Cibles'!H$11)*0.5*'Outil Cibles'!H$8, IF(E78-'Outil Cibles'!H$7=60, ('Outil Cibles'!H$16-'Outil Cibles'!H$11)*0.5*'Outil Cibles'!H$8, 0))</f>
        <v>0</v>
      </c>
      <c r="G78">
        <f>IF($A78-'Outil Cibles'!I$7=30, ('Outil Cibles'!I$16-'Outil Cibles'!I$11)*0.5*'Outil Cibles'!I$8, IF(F78-'Outil Cibles'!I$7=60, ('Outil Cibles'!I$16-'Outil Cibles'!I$11)*0.5*'Outil Cibles'!I$8, 0))</f>
        <v>0</v>
      </c>
      <c r="H78">
        <f>IF($A78-'Outil Cibles'!J$7=30, ('Outil Cibles'!J$16-'Outil Cibles'!J$11)*0.5*'Outil Cibles'!J$8, IF(G78-'Outil Cibles'!J$7=60, ('Outil Cibles'!J$16-'Outil Cibles'!J$11)*0.5*'Outil Cibles'!J$8, 0))</f>
        <v>0</v>
      </c>
      <c r="I78">
        <f>IF($A78-'Outil Cibles'!K$7=30, ('Outil Cibles'!K$16-'Outil Cibles'!K$11)*0.5*'Outil Cibles'!K$8, IF(H78-'Outil Cibles'!K$7=60, ('Outil Cibles'!K$16-'Outil Cibles'!K$11)*0.5*'Outil Cibles'!K$8, 0))</f>
        <v>0</v>
      </c>
      <c r="J78">
        <f>IF($A78-'Outil Cibles'!L$7=30, ('Outil Cibles'!L$16-'Outil Cibles'!L$11)*0.5*'Outil Cibles'!L$8, IF(I78-'Outil Cibles'!L$7=60, ('Outil Cibles'!L$16-'Outil Cibles'!L$11)*0.5*'Outil Cibles'!L$8, 0))</f>
        <v>0</v>
      </c>
      <c r="K78">
        <f>IF($A78-'Outil Cibles'!M$7=30, ('Outil Cibles'!M$16-'Outil Cibles'!M$11)*0.5*'Outil Cibles'!M$8, IF(J78-'Outil Cibles'!M$7=60, ('Outil Cibles'!M$16-'Outil Cibles'!M$11)*0.5*'Outil Cibles'!M$8, 0))</f>
        <v>0</v>
      </c>
      <c r="L78">
        <f t="shared" si="2"/>
        <v>0</v>
      </c>
      <c r="N78">
        <v>2096</v>
      </c>
      <c r="O78">
        <f>IF(N78='Outil Cibles'!$Q$7, 'Outil Cibles'!$Q$18, 0)</f>
        <v>0</v>
      </c>
      <c r="P78">
        <f>IF(N78='Outil Cibles'!$R$7, 'Outil Cibles'!$R$18, 0)</f>
        <v>0</v>
      </c>
      <c r="Q78">
        <f>IF(N78='Outil Cibles'!$S$7, 'Outil Cibles'!$S$18, 0)</f>
        <v>0</v>
      </c>
      <c r="R78">
        <f>IF(N78='Outil Cibles'!$T$7, 'Outil Cibles'!$T$18, 0)</f>
        <v>0</v>
      </c>
      <c r="S78">
        <f>IF(N78='Outil Cibles'!$U$7, 'Outil Cibles'!$U$18, 0)</f>
        <v>0</v>
      </c>
      <c r="T78">
        <f>IF(N78='Outil Cibles'!$V$7, 'Outil Cibles'!$V$18, 0)</f>
        <v>0</v>
      </c>
      <c r="U78">
        <f>IF(N78='Outil Cibles'!$W$7, 'Outil Cibles'!$W$18, 0)</f>
        <v>0</v>
      </c>
      <c r="V78">
        <f>IF(N78='Outil Cibles'!$X$7, 'Outil Cibles'!$X$18, 0)</f>
        <v>0</v>
      </c>
      <c r="W78">
        <f>IF(N78='Outil Cibles'!$Y$7, 'Outil Cibles'!$Y$18, 0)</f>
        <v>0</v>
      </c>
      <c r="X78">
        <f>IF(N78='Outil Cibles'!$Z$7, 'Outil Cibles'!$Z$18, 0)</f>
        <v>0</v>
      </c>
      <c r="Y78">
        <f t="shared" si="3"/>
        <v>0</v>
      </c>
    </row>
    <row r="79" spans="1:25" x14ac:dyDescent="0.3">
      <c r="A79">
        <v>2097</v>
      </c>
      <c r="B79">
        <f>IF(A79-'Outil Cibles'!D$7=30, ('Outil Cibles'!D$16-'Outil Cibles'!D$11)*0.5*'Outil Cibles'!D$8, IF(A79-'Outil Cibles'!D$7=60, ('Outil Cibles'!D$16-'Outil Cibles'!D$11)*0.5*'Outil Cibles'!D$8, 0))</f>
        <v>0</v>
      </c>
      <c r="C79">
        <f>IF($A79-'Outil Cibles'!E$7=30, ('Outil Cibles'!E$16-'Outil Cibles'!E$11)*0.5*'Outil Cibles'!E$8, IF(B79-'Outil Cibles'!E$7=60, ('Outil Cibles'!E$16-'Outil Cibles'!E$11)*0.5*'Outil Cibles'!E$8, 0))</f>
        <v>0</v>
      </c>
      <c r="D79">
        <f>IF($A79-'Outil Cibles'!F$7=30, ('Outil Cibles'!F$16-'Outil Cibles'!F$11)*0.5*'Outil Cibles'!F$8, IF(C79-'Outil Cibles'!F$7=60, ('Outil Cibles'!F$16-'Outil Cibles'!F$11)*0.5*'Outil Cibles'!F$8, 0))</f>
        <v>0</v>
      </c>
      <c r="E79">
        <f>IF($A79-'Outil Cibles'!G$7=30, ('Outil Cibles'!G$16-'Outil Cibles'!G$11)*0.5*'Outil Cibles'!G$8, IF(D79-'Outil Cibles'!G$7=60, ('Outil Cibles'!G$16-'Outil Cibles'!G$11)*0.5*'Outil Cibles'!G$8, 0))</f>
        <v>0</v>
      </c>
      <c r="F79">
        <f>IF($A79-'Outil Cibles'!H$7=30, ('Outil Cibles'!H$16-'Outil Cibles'!H$11)*0.5*'Outil Cibles'!H$8, IF(E79-'Outil Cibles'!H$7=60, ('Outil Cibles'!H$16-'Outil Cibles'!H$11)*0.5*'Outil Cibles'!H$8, 0))</f>
        <v>0</v>
      </c>
      <c r="G79">
        <f>IF($A79-'Outil Cibles'!I$7=30, ('Outil Cibles'!I$16-'Outil Cibles'!I$11)*0.5*'Outil Cibles'!I$8, IF(F79-'Outil Cibles'!I$7=60, ('Outil Cibles'!I$16-'Outil Cibles'!I$11)*0.5*'Outil Cibles'!I$8, 0))</f>
        <v>0</v>
      </c>
      <c r="H79">
        <f>IF($A79-'Outil Cibles'!J$7=30, ('Outil Cibles'!J$16-'Outil Cibles'!J$11)*0.5*'Outil Cibles'!J$8, IF(G79-'Outil Cibles'!J$7=60, ('Outil Cibles'!J$16-'Outil Cibles'!J$11)*0.5*'Outil Cibles'!J$8, 0))</f>
        <v>0</v>
      </c>
      <c r="I79">
        <f>IF($A79-'Outil Cibles'!K$7=30, ('Outil Cibles'!K$16-'Outil Cibles'!K$11)*0.5*'Outil Cibles'!K$8, IF(H79-'Outil Cibles'!K$7=60, ('Outil Cibles'!K$16-'Outil Cibles'!K$11)*0.5*'Outil Cibles'!K$8, 0))</f>
        <v>0</v>
      </c>
      <c r="J79">
        <f>IF($A79-'Outil Cibles'!L$7=30, ('Outil Cibles'!L$16-'Outil Cibles'!L$11)*0.5*'Outil Cibles'!L$8, IF(I79-'Outil Cibles'!L$7=60, ('Outil Cibles'!L$16-'Outil Cibles'!L$11)*0.5*'Outil Cibles'!L$8, 0))</f>
        <v>0</v>
      </c>
      <c r="K79">
        <f>IF($A79-'Outil Cibles'!M$7=30, ('Outil Cibles'!M$16-'Outil Cibles'!M$11)*0.5*'Outil Cibles'!M$8, IF(J79-'Outil Cibles'!M$7=60, ('Outil Cibles'!M$16-'Outil Cibles'!M$11)*0.5*'Outil Cibles'!M$8, 0))</f>
        <v>0</v>
      </c>
      <c r="L79">
        <f t="shared" si="2"/>
        <v>0</v>
      </c>
      <c r="N79">
        <v>2097</v>
      </c>
      <c r="O79">
        <f>IF(N79='Outil Cibles'!$Q$7, 'Outil Cibles'!$Q$18, 0)</f>
        <v>0</v>
      </c>
      <c r="P79">
        <f>IF(N79='Outil Cibles'!$R$7, 'Outil Cibles'!$R$18, 0)</f>
        <v>0</v>
      </c>
      <c r="Q79">
        <f>IF(N79='Outil Cibles'!$S$7, 'Outil Cibles'!$S$18, 0)</f>
        <v>0</v>
      </c>
      <c r="R79">
        <f>IF(N79='Outil Cibles'!$T$7, 'Outil Cibles'!$T$18, 0)</f>
        <v>0</v>
      </c>
      <c r="S79">
        <f>IF(N79='Outil Cibles'!$U$7, 'Outil Cibles'!$U$18, 0)</f>
        <v>0</v>
      </c>
      <c r="T79">
        <f>IF(N79='Outil Cibles'!$V$7, 'Outil Cibles'!$V$18, 0)</f>
        <v>0</v>
      </c>
      <c r="U79">
        <f>IF(N79='Outil Cibles'!$W$7, 'Outil Cibles'!$W$18, 0)</f>
        <v>0</v>
      </c>
      <c r="V79">
        <f>IF(N79='Outil Cibles'!$X$7, 'Outil Cibles'!$X$18, 0)</f>
        <v>0</v>
      </c>
      <c r="W79">
        <f>IF(N79='Outil Cibles'!$Y$7, 'Outil Cibles'!$Y$18, 0)</f>
        <v>0</v>
      </c>
      <c r="X79">
        <f>IF(N79='Outil Cibles'!$Z$7, 'Outil Cibles'!$Z$18, 0)</f>
        <v>0</v>
      </c>
      <c r="Y79">
        <f t="shared" si="3"/>
        <v>0</v>
      </c>
    </row>
    <row r="80" spans="1:25" x14ac:dyDescent="0.3">
      <c r="A80" s="10">
        <v>2098</v>
      </c>
      <c r="B80">
        <f>IF(A80-'Outil Cibles'!D$7=30, ('Outil Cibles'!D$16-'Outil Cibles'!D$11)*0.5*'Outil Cibles'!D$8, IF(A80-'Outil Cibles'!D$7=60, ('Outil Cibles'!D$16-'Outil Cibles'!D$11)*0.5*'Outil Cibles'!D$8, 0))</f>
        <v>0</v>
      </c>
      <c r="C80">
        <f>IF($A80-'Outil Cibles'!E$7=30, ('Outil Cibles'!E$16-'Outil Cibles'!E$11)*0.5*'Outil Cibles'!E$8, IF(B80-'Outil Cibles'!E$7=60, ('Outil Cibles'!E$16-'Outil Cibles'!E$11)*0.5*'Outil Cibles'!E$8, 0))</f>
        <v>0</v>
      </c>
      <c r="D80">
        <f>IF($A80-'Outil Cibles'!F$7=30, ('Outil Cibles'!F$16-'Outil Cibles'!F$11)*0.5*'Outil Cibles'!F$8, IF(C80-'Outil Cibles'!F$7=60, ('Outil Cibles'!F$16-'Outil Cibles'!F$11)*0.5*'Outil Cibles'!F$8, 0))</f>
        <v>0</v>
      </c>
      <c r="E80">
        <f>IF($A80-'Outil Cibles'!G$7=30, ('Outil Cibles'!G$16-'Outil Cibles'!G$11)*0.5*'Outil Cibles'!G$8, IF(D80-'Outil Cibles'!G$7=60, ('Outil Cibles'!G$16-'Outil Cibles'!G$11)*0.5*'Outil Cibles'!G$8, 0))</f>
        <v>0</v>
      </c>
      <c r="F80">
        <f>IF($A80-'Outil Cibles'!H$7=30, ('Outil Cibles'!H$16-'Outil Cibles'!H$11)*0.5*'Outil Cibles'!H$8, IF(E80-'Outil Cibles'!H$7=60, ('Outil Cibles'!H$16-'Outil Cibles'!H$11)*0.5*'Outil Cibles'!H$8, 0))</f>
        <v>0</v>
      </c>
      <c r="G80">
        <f>IF($A80-'Outil Cibles'!I$7=30, ('Outil Cibles'!I$16-'Outil Cibles'!I$11)*0.5*'Outil Cibles'!I$8, IF(F80-'Outil Cibles'!I$7=60, ('Outil Cibles'!I$16-'Outil Cibles'!I$11)*0.5*'Outil Cibles'!I$8, 0))</f>
        <v>0</v>
      </c>
      <c r="H80">
        <f>IF($A80-'Outil Cibles'!J$7=30, ('Outil Cibles'!J$16-'Outil Cibles'!J$11)*0.5*'Outil Cibles'!J$8, IF(G80-'Outil Cibles'!J$7=60, ('Outil Cibles'!J$16-'Outil Cibles'!J$11)*0.5*'Outil Cibles'!J$8, 0))</f>
        <v>0</v>
      </c>
      <c r="I80">
        <f>IF($A80-'Outil Cibles'!K$7=30, ('Outil Cibles'!K$16-'Outil Cibles'!K$11)*0.5*'Outil Cibles'!K$8, IF(H80-'Outil Cibles'!K$7=60, ('Outil Cibles'!K$16-'Outil Cibles'!K$11)*0.5*'Outil Cibles'!K$8, 0))</f>
        <v>0</v>
      </c>
      <c r="J80">
        <f>IF($A80-'Outil Cibles'!L$7=30, ('Outil Cibles'!L$16-'Outil Cibles'!L$11)*0.5*'Outil Cibles'!L$8, IF(I80-'Outil Cibles'!L$7=60, ('Outil Cibles'!L$16-'Outil Cibles'!L$11)*0.5*'Outil Cibles'!L$8, 0))</f>
        <v>0</v>
      </c>
      <c r="K80">
        <f>IF($A80-'Outil Cibles'!M$7=30, ('Outil Cibles'!M$16-'Outil Cibles'!M$11)*0.5*'Outil Cibles'!M$8, IF(J80-'Outil Cibles'!M$7=60, ('Outil Cibles'!M$16-'Outil Cibles'!M$11)*0.5*'Outil Cibles'!M$8, 0))</f>
        <v>0</v>
      </c>
      <c r="L80">
        <f t="shared" si="2"/>
        <v>0</v>
      </c>
      <c r="N80" s="10">
        <v>2098</v>
      </c>
      <c r="O80">
        <f>IF(N80='Outil Cibles'!$Q$7, 'Outil Cibles'!$Q$18, 0)</f>
        <v>0</v>
      </c>
      <c r="P80">
        <f>IF(N80='Outil Cibles'!$R$7, 'Outil Cibles'!$R$18, 0)</f>
        <v>0</v>
      </c>
      <c r="Q80">
        <f>IF(N80='Outil Cibles'!$S$7, 'Outil Cibles'!$S$18, 0)</f>
        <v>0</v>
      </c>
      <c r="R80">
        <f>IF(N80='Outil Cibles'!$T$7, 'Outil Cibles'!$T$18, 0)</f>
        <v>0</v>
      </c>
      <c r="S80">
        <f>IF(N80='Outil Cibles'!$U$7, 'Outil Cibles'!$U$18, 0)</f>
        <v>0</v>
      </c>
      <c r="T80">
        <f>IF(N80='Outil Cibles'!$V$7, 'Outil Cibles'!$V$18, 0)</f>
        <v>0</v>
      </c>
      <c r="U80">
        <f>IF(N80='Outil Cibles'!$W$7, 'Outil Cibles'!$W$18, 0)</f>
        <v>0</v>
      </c>
      <c r="V80">
        <f>IF(N80='Outil Cibles'!$X$7, 'Outil Cibles'!$X$18, 0)</f>
        <v>0</v>
      </c>
      <c r="W80">
        <f>IF(N80='Outil Cibles'!$Y$7, 'Outil Cibles'!$Y$18, 0)</f>
        <v>0</v>
      </c>
      <c r="X80">
        <f>IF(N80='Outil Cibles'!$Z$7, 'Outil Cibles'!$Z$18, 0)</f>
        <v>0</v>
      </c>
      <c r="Y80">
        <f t="shared" si="3"/>
        <v>0</v>
      </c>
    </row>
    <row r="81" spans="1:25" x14ac:dyDescent="0.3">
      <c r="A81">
        <v>2099</v>
      </c>
      <c r="B81">
        <f>IF(A81-'Outil Cibles'!D$7=30, ('Outil Cibles'!D$16-'Outil Cibles'!D$11)*0.5*'Outil Cibles'!D$8, IF(A81-'Outil Cibles'!D$7=60, ('Outil Cibles'!D$16-'Outil Cibles'!D$11)*0.5*'Outil Cibles'!D$8, 0))</f>
        <v>0</v>
      </c>
      <c r="C81">
        <f>IF($A81-'Outil Cibles'!E$7=30, ('Outil Cibles'!E$16-'Outil Cibles'!E$11)*0.5*'Outil Cibles'!E$8, IF(B81-'Outil Cibles'!E$7=60, ('Outil Cibles'!E$16-'Outil Cibles'!E$11)*0.5*'Outil Cibles'!E$8, 0))</f>
        <v>0</v>
      </c>
      <c r="D81">
        <f>IF($A81-'Outil Cibles'!F$7=30, ('Outil Cibles'!F$16-'Outil Cibles'!F$11)*0.5*'Outil Cibles'!F$8, IF(C81-'Outil Cibles'!F$7=60, ('Outil Cibles'!F$16-'Outil Cibles'!F$11)*0.5*'Outil Cibles'!F$8, 0))</f>
        <v>0</v>
      </c>
      <c r="E81">
        <f>IF($A81-'Outil Cibles'!G$7=30, ('Outil Cibles'!G$16-'Outil Cibles'!G$11)*0.5*'Outil Cibles'!G$8, IF(D81-'Outil Cibles'!G$7=60, ('Outil Cibles'!G$16-'Outil Cibles'!G$11)*0.5*'Outil Cibles'!G$8, 0))</f>
        <v>0</v>
      </c>
      <c r="F81">
        <f>IF($A81-'Outil Cibles'!H$7=30, ('Outil Cibles'!H$16-'Outil Cibles'!H$11)*0.5*'Outil Cibles'!H$8, IF(E81-'Outil Cibles'!H$7=60, ('Outil Cibles'!H$16-'Outil Cibles'!H$11)*0.5*'Outil Cibles'!H$8, 0))</f>
        <v>0</v>
      </c>
      <c r="G81">
        <f>IF($A81-'Outil Cibles'!I$7=30, ('Outil Cibles'!I$16-'Outil Cibles'!I$11)*0.5*'Outil Cibles'!I$8, IF(F81-'Outil Cibles'!I$7=60, ('Outil Cibles'!I$16-'Outil Cibles'!I$11)*0.5*'Outil Cibles'!I$8, 0))</f>
        <v>0</v>
      </c>
      <c r="H81">
        <f>IF($A81-'Outil Cibles'!J$7=30, ('Outil Cibles'!J$16-'Outil Cibles'!J$11)*0.5*'Outil Cibles'!J$8, IF(G81-'Outil Cibles'!J$7=60, ('Outil Cibles'!J$16-'Outil Cibles'!J$11)*0.5*'Outil Cibles'!J$8, 0))</f>
        <v>0</v>
      </c>
      <c r="I81">
        <f>IF($A81-'Outil Cibles'!K$7=30, ('Outil Cibles'!K$16-'Outil Cibles'!K$11)*0.5*'Outil Cibles'!K$8, IF(H81-'Outil Cibles'!K$7=60, ('Outil Cibles'!K$16-'Outil Cibles'!K$11)*0.5*'Outil Cibles'!K$8, 0))</f>
        <v>0</v>
      </c>
      <c r="J81">
        <f>IF($A81-'Outil Cibles'!L$7=30, ('Outil Cibles'!L$16-'Outil Cibles'!L$11)*0.5*'Outil Cibles'!L$8, IF(I81-'Outil Cibles'!L$7=60, ('Outil Cibles'!L$16-'Outil Cibles'!L$11)*0.5*'Outil Cibles'!L$8, 0))</f>
        <v>0</v>
      </c>
      <c r="K81">
        <f>IF($A81-'Outil Cibles'!M$7=30, ('Outil Cibles'!M$16-'Outil Cibles'!M$11)*0.5*'Outil Cibles'!M$8, IF(J81-'Outil Cibles'!M$7=60, ('Outil Cibles'!M$16-'Outil Cibles'!M$11)*0.5*'Outil Cibles'!M$8, 0))</f>
        <v>0</v>
      </c>
      <c r="L81">
        <f t="shared" si="2"/>
        <v>0</v>
      </c>
      <c r="N81">
        <v>2099</v>
      </c>
      <c r="O81">
        <f>IF(N81='Outil Cibles'!$Q$7, 'Outil Cibles'!$Q$18, 0)</f>
        <v>0</v>
      </c>
      <c r="P81">
        <f>IF(N81='Outil Cibles'!$R$7, 'Outil Cibles'!$R$18, 0)</f>
        <v>0</v>
      </c>
      <c r="Q81">
        <f>IF(N81='Outil Cibles'!$S$7, 'Outil Cibles'!$S$18, 0)</f>
        <v>0</v>
      </c>
      <c r="R81">
        <f>IF(N81='Outil Cibles'!$T$7, 'Outil Cibles'!$T$18, 0)</f>
        <v>0</v>
      </c>
      <c r="S81">
        <f>IF(N81='Outil Cibles'!$U$7, 'Outil Cibles'!$U$18, 0)</f>
        <v>0</v>
      </c>
      <c r="T81">
        <f>IF(N81='Outil Cibles'!$V$7, 'Outil Cibles'!$V$18, 0)</f>
        <v>0</v>
      </c>
      <c r="U81">
        <f>IF(N81='Outil Cibles'!$W$7, 'Outil Cibles'!$W$18, 0)</f>
        <v>0</v>
      </c>
      <c r="V81">
        <f>IF(N81='Outil Cibles'!$X$7, 'Outil Cibles'!$X$18, 0)</f>
        <v>0</v>
      </c>
      <c r="W81">
        <f>IF(N81='Outil Cibles'!$Y$7, 'Outil Cibles'!$Y$18, 0)</f>
        <v>0</v>
      </c>
      <c r="X81">
        <f>IF(N81='Outil Cibles'!$Z$7, 'Outil Cibles'!$Z$18, 0)</f>
        <v>0</v>
      </c>
      <c r="Y81">
        <f t="shared" si="3"/>
        <v>0</v>
      </c>
    </row>
    <row r="82" spans="1:25" x14ac:dyDescent="0.3">
      <c r="A82">
        <v>2100</v>
      </c>
      <c r="B82">
        <f>IF(A82-'Outil Cibles'!D$7=30, ('Outil Cibles'!D$16-'Outil Cibles'!D$11)*0.5*'Outil Cibles'!D$8, IF(A82-'Outil Cibles'!D$7=60, ('Outil Cibles'!D$16-'Outil Cibles'!D$11)*0.5*'Outil Cibles'!D$8, 0))</f>
        <v>0</v>
      </c>
      <c r="C82">
        <f>IF($A82-'Outil Cibles'!E$7=30, ('Outil Cibles'!E$16-'Outil Cibles'!E$11)*0.5*'Outil Cibles'!E$8, IF(B82-'Outil Cibles'!E$7=60, ('Outil Cibles'!E$16-'Outil Cibles'!E$11)*0.5*'Outil Cibles'!E$8, 0))</f>
        <v>0</v>
      </c>
      <c r="D82">
        <f>IF($A82-'Outil Cibles'!F$7=30, ('Outil Cibles'!F$16-'Outil Cibles'!F$11)*0.5*'Outil Cibles'!F$8, IF(C82-'Outil Cibles'!F$7=60, ('Outil Cibles'!F$16-'Outil Cibles'!F$11)*0.5*'Outil Cibles'!F$8, 0))</f>
        <v>0</v>
      </c>
      <c r="E82">
        <f>IF($A82-'Outil Cibles'!G$7=30, ('Outil Cibles'!G$16-'Outil Cibles'!G$11)*0.5*'Outil Cibles'!G$8, IF(D82-'Outil Cibles'!G$7=60, ('Outil Cibles'!G$16-'Outil Cibles'!G$11)*0.5*'Outil Cibles'!G$8, 0))</f>
        <v>0</v>
      </c>
      <c r="F82">
        <f>IF($A82-'Outil Cibles'!H$7=30, ('Outil Cibles'!H$16-'Outil Cibles'!H$11)*0.5*'Outil Cibles'!H$8, IF(E82-'Outil Cibles'!H$7=60, ('Outil Cibles'!H$16-'Outil Cibles'!H$11)*0.5*'Outil Cibles'!H$8, 0))</f>
        <v>0</v>
      </c>
      <c r="G82">
        <f>IF($A82-'Outil Cibles'!I$7=30, ('Outil Cibles'!I$16-'Outil Cibles'!I$11)*0.5*'Outil Cibles'!I$8, IF(F82-'Outil Cibles'!I$7=60, ('Outil Cibles'!I$16-'Outil Cibles'!I$11)*0.5*'Outil Cibles'!I$8, 0))</f>
        <v>0</v>
      </c>
      <c r="H82">
        <f>IF($A82-'Outil Cibles'!J$7=30, ('Outil Cibles'!J$16-'Outil Cibles'!J$11)*0.5*'Outil Cibles'!J$8, IF(G82-'Outil Cibles'!J$7=60, ('Outil Cibles'!J$16-'Outil Cibles'!J$11)*0.5*'Outil Cibles'!J$8, 0))</f>
        <v>0</v>
      </c>
      <c r="I82">
        <f>IF($A82-'Outil Cibles'!K$7=30, ('Outil Cibles'!K$16-'Outil Cibles'!K$11)*0.5*'Outil Cibles'!K$8, IF(H82-'Outil Cibles'!K$7=60, ('Outil Cibles'!K$16-'Outil Cibles'!K$11)*0.5*'Outil Cibles'!K$8, 0))</f>
        <v>0</v>
      </c>
      <c r="J82">
        <f>IF($A82-'Outil Cibles'!L$7=30, ('Outil Cibles'!L$16-'Outil Cibles'!L$11)*0.5*'Outil Cibles'!L$8, IF(I82-'Outil Cibles'!L$7=60, ('Outil Cibles'!L$16-'Outil Cibles'!L$11)*0.5*'Outil Cibles'!L$8, 0))</f>
        <v>0</v>
      </c>
      <c r="K82">
        <f>IF($A82-'Outil Cibles'!M$7=30, ('Outil Cibles'!M$16-'Outil Cibles'!M$11)*0.5*'Outil Cibles'!M$8, IF(J82-'Outil Cibles'!M$7=60, ('Outil Cibles'!M$16-'Outil Cibles'!M$11)*0.5*'Outil Cibles'!M$8, 0))</f>
        <v>0</v>
      </c>
      <c r="L82">
        <f t="shared" si="2"/>
        <v>0</v>
      </c>
      <c r="N82">
        <v>2100</v>
      </c>
      <c r="O82">
        <f>IF(N82='Outil Cibles'!$Q$7, 'Outil Cibles'!$Q$18, 0)</f>
        <v>0</v>
      </c>
      <c r="P82">
        <f>IF(N82='Outil Cibles'!$R$7, 'Outil Cibles'!$R$18, 0)</f>
        <v>0</v>
      </c>
      <c r="Q82">
        <f>IF(N82='Outil Cibles'!$S$7, 'Outil Cibles'!$S$18, 0)</f>
        <v>0</v>
      </c>
      <c r="R82">
        <f>IF(N82='Outil Cibles'!$T$7, 'Outil Cibles'!$T$18, 0)</f>
        <v>0</v>
      </c>
      <c r="S82">
        <f>IF(N82='Outil Cibles'!$U$7, 'Outil Cibles'!$U$18, 0)</f>
        <v>0</v>
      </c>
      <c r="T82">
        <f>IF(N82='Outil Cibles'!$V$7, 'Outil Cibles'!$V$18, 0)</f>
        <v>0</v>
      </c>
      <c r="U82">
        <f>IF(N82='Outil Cibles'!$W$7, 'Outil Cibles'!$W$18, 0)</f>
        <v>0</v>
      </c>
      <c r="V82">
        <f>IF(N82='Outil Cibles'!$X$7, 'Outil Cibles'!$X$18, 0)</f>
        <v>0</v>
      </c>
      <c r="W82">
        <f>IF(N82='Outil Cibles'!$Y$7, 'Outil Cibles'!$Y$18, 0)</f>
        <v>0</v>
      </c>
      <c r="X82">
        <f>IF(N82='Outil Cibles'!$Z$7, 'Outil Cibles'!$Z$18, 0)</f>
        <v>0</v>
      </c>
      <c r="Y82">
        <f t="shared" si="3"/>
        <v>0</v>
      </c>
    </row>
    <row r="85" spans="1:25" x14ac:dyDescent="0.3">
      <c r="B85">
        <v>1</v>
      </c>
      <c r="C85">
        <v>2</v>
      </c>
      <c r="D85">
        <v>3</v>
      </c>
      <c r="E85">
        <v>4</v>
      </c>
      <c r="F85">
        <v>5</v>
      </c>
      <c r="G85">
        <v>6</v>
      </c>
      <c r="H85">
        <v>7</v>
      </c>
      <c r="I85">
        <v>8</v>
      </c>
      <c r="J85">
        <v>9</v>
      </c>
      <c r="K85">
        <v>10</v>
      </c>
      <c r="L85" t="s">
        <v>39</v>
      </c>
      <c r="O85">
        <v>1</v>
      </c>
      <c r="P85">
        <v>2</v>
      </c>
      <c r="Q85">
        <v>3</v>
      </c>
      <c r="R85">
        <v>4</v>
      </c>
      <c r="S85">
        <v>5</v>
      </c>
      <c r="T85">
        <v>6</v>
      </c>
      <c r="U85">
        <v>7</v>
      </c>
      <c r="V85">
        <v>8</v>
      </c>
      <c r="W85">
        <v>9</v>
      </c>
      <c r="X85">
        <v>10</v>
      </c>
      <c r="Y85" t="s">
        <v>39</v>
      </c>
    </row>
    <row r="86" spans="1:25" x14ac:dyDescent="0.3">
      <c r="A86" t="s">
        <v>40</v>
      </c>
      <c r="B86" t="s">
        <v>42</v>
      </c>
      <c r="N86" t="s">
        <v>40</v>
      </c>
      <c r="O86" t="s">
        <v>43</v>
      </c>
    </row>
    <row r="87" spans="1:25" x14ac:dyDescent="0.3">
      <c r="A87">
        <v>2022</v>
      </c>
      <c r="B87" s="11">
        <f>IF(AND(A87-'Outil Cibles'!$D$7&lt;=60,A87-'Outil Cibles'!$D$7&gt;=0), 'Outil Cibles'!$D$17, 0)</f>
        <v>0</v>
      </c>
      <c r="C87" s="11">
        <f>IF(AND(A87-'Outil Cibles'!$E$7&lt;=60,A87-'Outil Cibles'!$E$7&gt;=0), 'Outil Cibles'!$E$17, 0)</f>
        <v>0</v>
      </c>
      <c r="D87" s="11">
        <f>IF(AND(A87-'Outil Cibles'!$F$7&lt;=60,A87-'Outil Cibles'!$F$7&gt;=0), 'Outil Cibles'!$F$17, 0)</f>
        <v>0</v>
      </c>
      <c r="E87" s="11">
        <f>IF(AND(A87-'Outil Cibles'!$G$7&lt;=60,A87-'Outil Cibles'!$G$7&gt;=0), 'Outil Cibles'!$G$17, 0)</f>
        <v>0</v>
      </c>
      <c r="F87" s="11">
        <f>IF(AND(A87-'Outil Cibles'!$H$7&lt;=60,A87-'Outil Cibles'!$H$7&gt;=0), 'Outil Cibles'!$H$17, 0)</f>
        <v>0</v>
      </c>
      <c r="G87" s="11">
        <f>IF(AND(A87-'Outil Cibles'!$I$7&lt;=60,A87-'Outil Cibles'!$I$7&gt;=0), 'Outil Cibles'!$I$17, 0)</f>
        <v>0</v>
      </c>
      <c r="H87" s="11">
        <f>IF(AND(A87-'Outil Cibles'!$J$7&lt;=60,A87-'Outil Cibles'!$J$7&gt;=0), 'Outil Cibles'!$J$17, 0)</f>
        <v>0</v>
      </c>
      <c r="L87" s="11">
        <f>SUM(B87:K87)</f>
        <v>0</v>
      </c>
      <c r="N87">
        <v>2022</v>
      </c>
      <c r="O87" s="11">
        <f>IF(AND(N87-'Outil Cibles'!$Q$7&lt;=60,N87-'Outil Cibles'!$Q$7&gt;=0), 'Outil Cibles'!$Q$17, 0)</f>
        <v>0</v>
      </c>
      <c r="P87" s="11">
        <f>IF(AND(N87-'Outil Cibles'!$R$7&lt;=60,N87-'Outil Cibles'!$R$7&gt;=0), 'Outil Cibles'!$R$17, 0)</f>
        <v>0</v>
      </c>
      <c r="Q87" s="11">
        <f>IF(AND(N87-'Outil Cibles'!$S$7&lt;=60,N87-'Outil Cibles'!$S$7&gt;=0), 'Outil Cibles'!$S$17, 0)</f>
        <v>0</v>
      </c>
      <c r="R87" s="11">
        <f>IF(AND(N87-'Outil Cibles'!$T$7&lt;=60,N87-'Outil Cibles'!$T$7&gt;=0), 'Outil Cibles'!$T$17, 0)</f>
        <v>0</v>
      </c>
      <c r="S87" s="11">
        <f>IF(AND(N87-'Outil Cibles'!$U$7&lt;=60,N87-'Outil Cibles'!$U$7&gt;=0), 'Outil Cibles'!$U$17, 0)</f>
        <v>0</v>
      </c>
      <c r="T87" s="11">
        <f>IF(AND(N87-'Outil Cibles'!$V$7&lt;=60,N87-'Outil Cibles'!$V$7&gt;=0), 'Outil Cibles'!$V$17, 0)</f>
        <v>0</v>
      </c>
      <c r="U87" s="11">
        <f>IF(AND($N$87-'Outil Cibles'!W7&lt;=60,$N$87-'Outil Cibles'!W7&gt;=0), 'Outil Cibles'!W17, 0)</f>
        <v>0</v>
      </c>
      <c r="V87" s="11">
        <f>IF(AND(N87-'Outil Cibles'!$X$7&lt;=60,N87-'Outil Cibles'!$X$7&gt;=0), 'Outil Cibles'!$X$17, 0)</f>
        <v>0</v>
      </c>
      <c r="W87" s="11">
        <f>IF(AND(N87-'Outil Cibles'!$Y$7&lt;=60,N87-'Outil Cibles'!$Y$7&gt;=0), 'Outil Cibles'!$Y$17, 0)</f>
        <v>0</v>
      </c>
      <c r="X87" s="11">
        <f>IF(AND(N87-'Outil Cibles'!$Z$7&lt;=60,N87-'Outil Cibles'!$Z$7&gt;=0), 'Outil Cibles'!$Z$17, 0)</f>
        <v>0</v>
      </c>
      <c r="Y87" s="11">
        <f>SUM(O87:X87)</f>
        <v>0</v>
      </c>
    </row>
    <row r="88" spans="1:25" x14ac:dyDescent="0.3">
      <c r="A88">
        <v>2023</v>
      </c>
      <c r="B88" s="11">
        <f>IF(AND(A88-'Outil Cibles'!$D$7&lt;=60,A88-'Outil Cibles'!$D$7&gt;=0), 'Outil Cibles'!$D$17, 0)</f>
        <v>0</v>
      </c>
      <c r="C88" s="11">
        <f>IF(AND(A88-'Outil Cibles'!$E$7&lt;=60,A88-'Outil Cibles'!$E$7&gt;=0), 'Outil Cibles'!$E$17, 0)</f>
        <v>0</v>
      </c>
      <c r="D88" s="11">
        <f>IF(AND(A88-'Outil Cibles'!$F$7&lt;=60,A88-'Outil Cibles'!$F$7&gt;=0), 'Outil Cibles'!$F$17, 0)</f>
        <v>0</v>
      </c>
      <c r="E88" s="11">
        <f>IF(AND(A88-'Outil Cibles'!$G$7&lt;=60,A88-'Outil Cibles'!$G$7&gt;=0), 'Outil Cibles'!$G$17, 0)</f>
        <v>0</v>
      </c>
      <c r="F88" s="11">
        <f>IF(AND(A88-'Outil Cibles'!$H$7&lt;=60,A88-'Outil Cibles'!$H$7&gt;=0), 'Outil Cibles'!$H$17, 0)</f>
        <v>0</v>
      </c>
      <c r="G88" s="11">
        <f>IF(AND(A88-'Outil Cibles'!$I$7&lt;=60,A88-'Outil Cibles'!$I$7&gt;=0), 'Outil Cibles'!$I$17, 0)</f>
        <v>0</v>
      </c>
      <c r="H88" s="11">
        <f>IF(AND(A88-'Outil Cibles'!$J$7&lt;=60,A88-'Outil Cibles'!$J$7&gt;=0), 'Outil Cibles'!$J$17, 0)</f>
        <v>0</v>
      </c>
      <c r="L88" s="11">
        <f t="shared" ref="L88:L151" si="4">SUM(B88:K88)</f>
        <v>0</v>
      </c>
      <c r="N88">
        <v>2023</v>
      </c>
      <c r="O88" s="11">
        <f>IF(AND(N88-'Outil Cibles'!$Q$7&lt;=60,N88-'Outil Cibles'!$Q$7&gt;=0), 'Outil Cibles'!$Q$17, 0)</f>
        <v>0</v>
      </c>
      <c r="P88" s="11">
        <f>IF(AND(N88-'Outil Cibles'!$R$7&lt;=60,N88-'Outil Cibles'!$R$7&gt;=0), 'Outil Cibles'!$R$17, 0)</f>
        <v>0</v>
      </c>
      <c r="Q88" s="11">
        <f>IF(AND(N88-'Outil Cibles'!$S$7&lt;=60,N88-'Outil Cibles'!$S$7&gt;=0), 'Outil Cibles'!$S$17, 0)</f>
        <v>0</v>
      </c>
      <c r="R88" s="11">
        <f>IF(AND(N88-'Outil Cibles'!$T$7&lt;=60,N88-'Outil Cibles'!$T$7&gt;=0), 'Outil Cibles'!$T$17, 0)</f>
        <v>0</v>
      </c>
      <c r="S88" s="11">
        <f>IF(AND(N88-'Outil Cibles'!$U$7&lt;=60,N88-'Outil Cibles'!$U$7&gt;=0), 'Outil Cibles'!$U$17, 0)</f>
        <v>0</v>
      </c>
      <c r="T88" s="11">
        <f>IF(AND(N88-'Outil Cibles'!$V$7&lt;=60,N88-'Outil Cibles'!$V$7&gt;=0), 'Outil Cibles'!$V$17, 0)</f>
        <v>0</v>
      </c>
      <c r="U88" s="11">
        <f>IF(AND(N88-'Outil Cibles'!$W$7&lt;=60,N88-'Outil Cibles'!$W$7&gt;=0), 'Outil Cibles'!$W$17, 0)</f>
        <v>0</v>
      </c>
      <c r="V88" s="11">
        <f>IF(AND(N88-'Outil Cibles'!$X$7&lt;=60,N88-'Outil Cibles'!$X$7&gt;=0), 'Outil Cibles'!$X$17, 0)</f>
        <v>0</v>
      </c>
      <c r="W88" s="11">
        <f>IF(AND(N88-'Outil Cibles'!$Y$7&lt;=60,N88-'Outil Cibles'!$Y$7&gt;=0), 'Outil Cibles'!$Y$17, 0)</f>
        <v>0</v>
      </c>
      <c r="X88" s="11">
        <f>IF(AND(N88-'Outil Cibles'!$Z$7&lt;=60,N88-'Outil Cibles'!$Z$7&gt;=0), 'Outil Cibles'!$Z$17, 0)</f>
        <v>0</v>
      </c>
      <c r="Y88" s="11">
        <f t="shared" ref="Y88:Y151" si="5">SUM(O88:X88)</f>
        <v>0</v>
      </c>
    </row>
    <row r="89" spans="1:25" x14ac:dyDescent="0.3">
      <c r="A89">
        <v>2024</v>
      </c>
      <c r="B89" s="11">
        <f>IF(AND(A89-'Outil Cibles'!$D$7&lt;=60,A89-'Outil Cibles'!$D$7&gt;=0), 'Outil Cibles'!$D$17, 0)</f>
        <v>8.7624493817977029</v>
      </c>
      <c r="C89" s="11">
        <f>IF(AND(A89-'Outil Cibles'!$E$7&lt;=60,A89-'Outil Cibles'!$E$7&gt;=0), 'Outil Cibles'!$E$17, 0)</f>
        <v>0</v>
      </c>
      <c r="D89" s="11">
        <f>IF(AND(A89-'Outil Cibles'!$F$7&lt;=60,A89-'Outil Cibles'!$F$7&gt;=0), 'Outil Cibles'!$F$17, 0)</f>
        <v>0</v>
      </c>
      <c r="E89" s="11">
        <f>IF(AND(A89-'Outil Cibles'!$G$7&lt;=60,A89-'Outil Cibles'!$G$7&gt;=0), 'Outil Cibles'!$G$17, 0)</f>
        <v>0</v>
      </c>
      <c r="F89" s="11">
        <f>IF(AND(A89-'Outil Cibles'!$H$7&lt;=60,A89-'Outil Cibles'!$H$7&gt;=0), 'Outil Cibles'!$H$17, 0)</f>
        <v>0</v>
      </c>
      <c r="G89" s="11">
        <f>IF(AND(A89-'Outil Cibles'!$I$7&lt;=60,A89-'Outil Cibles'!$I$7&gt;=0), 'Outil Cibles'!$I$17, 0)</f>
        <v>0</v>
      </c>
      <c r="H89" s="11">
        <f>IF(AND(A89-'Outil Cibles'!$J$7&lt;=60,A89-'Outil Cibles'!$J$7&gt;=0), 'Outil Cibles'!$J$17, 0)</f>
        <v>0</v>
      </c>
      <c r="L89" s="11">
        <f t="shared" si="4"/>
        <v>8.7624493817977029</v>
      </c>
      <c r="N89">
        <v>2024</v>
      </c>
      <c r="O89" s="11">
        <f>IF(AND(N89-'Outil Cibles'!$Q$7&lt;=60,N89-'Outil Cibles'!$Q$7&gt;=0), 'Outil Cibles'!$Q$17, 0)</f>
        <v>9.2209307000221994</v>
      </c>
      <c r="P89" s="11">
        <f>IF(AND(N89-'Outil Cibles'!$R$7&lt;=60,N89-'Outil Cibles'!$R$7&gt;=0), 'Outil Cibles'!$R$17, 0)</f>
        <v>0</v>
      </c>
      <c r="Q89" s="11">
        <f>IF(AND(N89-'Outil Cibles'!$S$7&lt;=60,N89-'Outil Cibles'!$S$7&gt;=0), 'Outil Cibles'!$S$17, 0)</f>
        <v>0</v>
      </c>
      <c r="R89" s="11">
        <f>IF(AND(N89-'Outil Cibles'!$T$7&lt;=60,N89-'Outil Cibles'!$T$7&gt;=0), 'Outil Cibles'!$T$17, 0)</f>
        <v>0</v>
      </c>
      <c r="S89" s="11">
        <f>IF(AND(N89-'Outil Cibles'!$U$7&lt;=60,N89-'Outil Cibles'!$U$7&gt;=0), 'Outil Cibles'!$U$17, 0)</f>
        <v>0</v>
      </c>
      <c r="T89" s="11">
        <f>IF(AND(N89-'Outil Cibles'!$V$7&lt;=60,N89-'Outil Cibles'!$V$7&gt;=0), 'Outil Cibles'!$V$17, 0)</f>
        <v>0</v>
      </c>
      <c r="U89" s="11">
        <f>IF(AND(N89-'Outil Cibles'!$W$7&lt;=60,N89-'Outil Cibles'!$W$7&gt;=0), 'Outil Cibles'!$W$17, 0)</f>
        <v>0</v>
      </c>
      <c r="V89" s="11">
        <f>IF(AND(N89-'Outil Cibles'!$X$7&lt;=60,N89-'Outil Cibles'!$X$7&gt;=0), 'Outil Cibles'!$X$17, 0)</f>
        <v>0</v>
      </c>
      <c r="W89" s="11">
        <f>IF(AND(N89-'Outil Cibles'!$Y$7&lt;=60,N89-'Outil Cibles'!$Y$7&gt;=0), 'Outil Cibles'!$Y$17, 0)</f>
        <v>0</v>
      </c>
      <c r="X89" s="11">
        <f>IF(AND(N89-'Outil Cibles'!$Z$7&lt;=60,N89-'Outil Cibles'!$Z$7&gt;=0), 'Outil Cibles'!$Z$17, 0)</f>
        <v>0</v>
      </c>
      <c r="Y89" s="11">
        <f t="shared" si="5"/>
        <v>9.2209307000221994</v>
      </c>
    </row>
    <row r="90" spans="1:25" x14ac:dyDescent="0.3">
      <c r="A90" s="10">
        <v>2025</v>
      </c>
      <c r="B90" s="11">
        <f>IF(AND(A90-'Outil Cibles'!$D$7&lt;=60,A90-'Outil Cibles'!$D$7&gt;=0), 'Outil Cibles'!$D$17, 0)</f>
        <v>8.7624493817977029</v>
      </c>
      <c r="C90" s="11">
        <f>IF(AND(A90-'Outil Cibles'!$E$7&lt;=60,A90-'Outil Cibles'!$E$7&gt;=0), 'Outil Cibles'!$E$17, 0)</f>
        <v>0</v>
      </c>
      <c r="D90" s="11">
        <f>IF(AND(A90-'Outil Cibles'!$F$7&lt;=60,A90-'Outil Cibles'!$F$7&gt;=0), 'Outil Cibles'!$F$17, 0)</f>
        <v>0</v>
      </c>
      <c r="E90" s="11">
        <f>IF(AND(A90-'Outil Cibles'!$G$7&lt;=60,A90-'Outil Cibles'!$G$7&gt;=0), 'Outil Cibles'!$G$17, 0)</f>
        <v>0</v>
      </c>
      <c r="F90" s="11">
        <f>IF(AND(A90-'Outil Cibles'!$H$7&lt;=60,A90-'Outil Cibles'!$H$7&gt;=0), 'Outil Cibles'!$H$17, 0)</f>
        <v>0</v>
      </c>
      <c r="G90" s="11">
        <f>IF(AND(A90-'Outil Cibles'!$I$7&lt;=60,A90-'Outil Cibles'!$I$7&gt;=0), 'Outil Cibles'!$I$17, 0)</f>
        <v>0</v>
      </c>
      <c r="H90" s="11">
        <f>IF(AND(A90-'Outil Cibles'!$J$7&lt;=60,A90-'Outil Cibles'!$J$7&gt;=0), 'Outil Cibles'!$J$17, 0)</f>
        <v>0</v>
      </c>
      <c r="L90" s="11">
        <f t="shared" si="4"/>
        <v>8.7624493817977029</v>
      </c>
      <c r="N90" s="10">
        <v>2025</v>
      </c>
      <c r="O90" s="11">
        <f>IF(AND(N90-'Outil Cibles'!$Q$7&lt;=60,N90-'Outil Cibles'!$Q$7&gt;=0), 'Outil Cibles'!$Q$17, 0)</f>
        <v>9.2209307000221994</v>
      </c>
      <c r="P90" s="11">
        <f>IF(AND(N90-'Outil Cibles'!$R$7&lt;=60,N90-'Outil Cibles'!$R$7&gt;=0), 'Outil Cibles'!$R$17, 0)</f>
        <v>0</v>
      </c>
      <c r="Q90" s="11">
        <f>IF(AND(N90-'Outil Cibles'!$S$7&lt;=60,N90-'Outil Cibles'!$S$7&gt;=0), 'Outil Cibles'!$S$17, 0)</f>
        <v>0</v>
      </c>
      <c r="R90" s="11">
        <f>IF(AND(N90-'Outil Cibles'!$T$7&lt;=60,N90-'Outil Cibles'!$T$7&gt;=0), 'Outil Cibles'!$T$17, 0)</f>
        <v>0</v>
      </c>
      <c r="S90" s="11">
        <f>IF(AND(N90-'Outil Cibles'!$U$7&lt;=60,N90-'Outil Cibles'!$U$7&gt;=0), 'Outil Cibles'!$U$17, 0)</f>
        <v>0</v>
      </c>
      <c r="T90" s="11">
        <f>IF(AND(N90-'Outil Cibles'!$V$7&lt;=60,N90-'Outil Cibles'!$V$7&gt;=0), 'Outil Cibles'!$V$17, 0)</f>
        <v>0</v>
      </c>
      <c r="U90" s="11">
        <f>IF(AND(N90-'Outil Cibles'!$W$7&lt;=60,N90-'Outil Cibles'!$W$7&gt;=0), 'Outil Cibles'!$W$17, 0)</f>
        <v>0</v>
      </c>
      <c r="V90" s="11">
        <f>IF(AND(N90-'Outil Cibles'!$X$7&lt;=60,N90-'Outil Cibles'!$X$7&gt;=0), 'Outil Cibles'!$X$17, 0)</f>
        <v>0</v>
      </c>
      <c r="W90" s="11">
        <f>IF(AND(N90-'Outil Cibles'!$Y$7&lt;=60,N90-'Outil Cibles'!$Y$7&gt;=0), 'Outil Cibles'!$Y$17, 0)</f>
        <v>0</v>
      </c>
      <c r="X90" s="11">
        <f>IF(AND(N90-'Outil Cibles'!$Z$7&lt;=60,N90-'Outil Cibles'!$Z$7&gt;=0), 'Outil Cibles'!$Z$17, 0)</f>
        <v>0</v>
      </c>
      <c r="Y90" s="11">
        <f t="shared" si="5"/>
        <v>9.2209307000221994</v>
      </c>
    </row>
    <row r="91" spans="1:25" x14ac:dyDescent="0.3">
      <c r="A91">
        <v>2026</v>
      </c>
      <c r="B91" s="11">
        <f>IF(AND(A91-'Outil Cibles'!$D$7&lt;=60,A91-'Outil Cibles'!$D$7&gt;=0), 'Outil Cibles'!$D$17, 0)</f>
        <v>8.7624493817977029</v>
      </c>
      <c r="C91" s="11">
        <f>IF(AND(A91-'Outil Cibles'!$E$7&lt;=60,A91-'Outil Cibles'!$E$7&gt;=0), 'Outil Cibles'!$E$17, 0)</f>
        <v>7.6922353293822718</v>
      </c>
      <c r="D91" s="11">
        <f>IF(AND(A91-'Outil Cibles'!$F$7&lt;=60,A91-'Outil Cibles'!$F$7&gt;=0), 'Outil Cibles'!$F$17, 0)</f>
        <v>0</v>
      </c>
      <c r="E91" s="11">
        <f>IF(AND(A91-'Outil Cibles'!$G$7&lt;=60,A91-'Outil Cibles'!$G$7&gt;=0), 'Outil Cibles'!$G$17, 0)</f>
        <v>0</v>
      </c>
      <c r="F91" s="11">
        <f>IF(AND(A91-'Outil Cibles'!$H$7&lt;=60,A91-'Outil Cibles'!$H$7&gt;=0), 'Outil Cibles'!$H$17, 0)</f>
        <v>0</v>
      </c>
      <c r="G91" s="11">
        <f>IF(AND(A91-'Outil Cibles'!$I$7&lt;=60,A91-'Outil Cibles'!$I$7&gt;=0), 'Outil Cibles'!$I$17, 0)</f>
        <v>0</v>
      </c>
      <c r="H91" s="11">
        <f>IF(AND(A91-'Outil Cibles'!$J$7&lt;=60,A91-'Outil Cibles'!$J$7&gt;=0), 'Outil Cibles'!$J$17, 0)</f>
        <v>0</v>
      </c>
      <c r="L91" s="11">
        <f t="shared" si="4"/>
        <v>16.454684711179976</v>
      </c>
      <c r="N91">
        <v>2026</v>
      </c>
      <c r="O91" s="11">
        <f>IF(AND(N91-'Outil Cibles'!$Q$7&lt;=60,N91-'Outil Cibles'!$Q$7&gt;=0), 'Outil Cibles'!$Q$17, 0)</f>
        <v>9.2209307000221994</v>
      </c>
      <c r="P91" s="11">
        <f>IF(AND(N91-'Outil Cibles'!$R$7&lt;=60,N91-'Outil Cibles'!$R$7&gt;=0), 'Outil Cibles'!$R$17, 0)</f>
        <v>7.8928860244932029</v>
      </c>
      <c r="Q91" s="11">
        <f>IF(AND(N91-'Outil Cibles'!$S$7&lt;=60,N91-'Outil Cibles'!$S$7&gt;=0), 'Outil Cibles'!$S$17, 0)</f>
        <v>0</v>
      </c>
      <c r="R91" s="11">
        <f>IF(AND(N91-'Outil Cibles'!$T$7&lt;=60,N91-'Outil Cibles'!$T$7&gt;=0), 'Outil Cibles'!$T$17, 0)</f>
        <v>0</v>
      </c>
      <c r="S91" s="11">
        <f>IF(AND(N91-'Outil Cibles'!$U$7&lt;=60,N91-'Outil Cibles'!$U$7&gt;=0), 'Outil Cibles'!$U$17, 0)</f>
        <v>0</v>
      </c>
      <c r="T91" s="11">
        <f>IF(AND(N91-'Outil Cibles'!$V$7&lt;=60,N91-'Outil Cibles'!$V$7&gt;=0), 'Outil Cibles'!$V$17, 0)</f>
        <v>0</v>
      </c>
      <c r="U91" s="11">
        <f>IF(AND(N91-'Outil Cibles'!$W$7&lt;=60,N91-'Outil Cibles'!$W$7&gt;=0), 'Outil Cibles'!$W$17, 0)</f>
        <v>0</v>
      </c>
      <c r="V91" s="11">
        <f>IF(AND(N91-'Outil Cibles'!$X$7&lt;=60,N91-'Outil Cibles'!$X$7&gt;=0), 'Outil Cibles'!$X$17, 0)</f>
        <v>0</v>
      </c>
      <c r="W91" s="11">
        <f>IF(AND(N91-'Outil Cibles'!$Y$7&lt;=60,N91-'Outil Cibles'!$Y$7&gt;=0), 'Outil Cibles'!$Y$17, 0)</f>
        <v>0</v>
      </c>
      <c r="X91" s="11">
        <f>IF(AND(N91-'Outil Cibles'!$Z$7&lt;=60,N91-'Outil Cibles'!$Z$7&gt;=0), 'Outil Cibles'!$Z$17, 0)</f>
        <v>0</v>
      </c>
      <c r="Y91" s="11">
        <f t="shared" si="5"/>
        <v>17.113816724515402</v>
      </c>
    </row>
    <row r="92" spans="1:25" x14ac:dyDescent="0.3">
      <c r="A92">
        <v>2027</v>
      </c>
      <c r="B92" s="11">
        <f>IF(AND(A92-'Outil Cibles'!$D$7&lt;=60,A92-'Outil Cibles'!$D$7&gt;=0), 'Outil Cibles'!$D$17, 0)</f>
        <v>8.7624493817977029</v>
      </c>
      <c r="C92" s="11">
        <f>IF(AND(A92-'Outil Cibles'!$E$7&lt;=60,A92-'Outil Cibles'!$E$7&gt;=0), 'Outil Cibles'!$E$17, 0)</f>
        <v>7.6922353293822718</v>
      </c>
      <c r="D92" s="11">
        <f>IF(AND(A92-'Outil Cibles'!$F$7&lt;=60,A92-'Outil Cibles'!$F$7&gt;=0), 'Outil Cibles'!$F$17, 0)</f>
        <v>0</v>
      </c>
      <c r="E92" s="11">
        <f>IF(AND(A92-'Outil Cibles'!$G$7&lt;=60,A92-'Outil Cibles'!$G$7&gt;=0), 'Outil Cibles'!$G$17, 0)</f>
        <v>0</v>
      </c>
      <c r="F92" s="11">
        <f>IF(AND(A92-'Outil Cibles'!$H$7&lt;=60,A92-'Outil Cibles'!$H$7&gt;=0), 'Outil Cibles'!$H$17, 0)</f>
        <v>0</v>
      </c>
      <c r="G92" s="11">
        <f>IF(AND(A92-'Outil Cibles'!$I$7&lt;=60,A92-'Outil Cibles'!$I$7&gt;=0), 'Outil Cibles'!$I$17, 0)</f>
        <v>0</v>
      </c>
      <c r="H92" s="11">
        <f>IF(AND(A92-'Outil Cibles'!$J$7&lt;=60,A92-'Outil Cibles'!$J$7&gt;=0), 'Outil Cibles'!$J$17, 0)</f>
        <v>0</v>
      </c>
      <c r="L92" s="11">
        <f t="shared" si="4"/>
        <v>16.454684711179976</v>
      </c>
      <c r="N92">
        <v>2027</v>
      </c>
      <c r="O92" s="11">
        <f>IF(AND(N92-'Outil Cibles'!$Q$7&lt;=60,N92-'Outil Cibles'!$Q$7&gt;=0), 'Outil Cibles'!$Q$17, 0)</f>
        <v>9.2209307000221994</v>
      </c>
      <c r="P92" s="11">
        <f>IF(AND(N92-'Outil Cibles'!$R$7&lt;=60,N92-'Outil Cibles'!$R$7&gt;=0), 'Outil Cibles'!$R$17, 0)</f>
        <v>7.8928860244932029</v>
      </c>
      <c r="Q92" s="11">
        <f>IF(AND(N92-'Outil Cibles'!$S$7&lt;=60,N92-'Outil Cibles'!$S$7&gt;=0), 'Outil Cibles'!$S$17, 0)</f>
        <v>0</v>
      </c>
      <c r="R92" s="11">
        <f>IF(AND(N92-'Outil Cibles'!$T$7&lt;=60,N92-'Outil Cibles'!$T$7&gt;=0), 'Outil Cibles'!$T$17, 0)</f>
        <v>0</v>
      </c>
      <c r="S92" s="11">
        <f>IF(AND(N92-'Outil Cibles'!$U$7&lt;=60,N92-'Outil Cibles'!$U$7&gt;=0), 'Outil Cibles'!$U$17, 0)</f>
        <v>0</v>
      </c>
      <c r="T92" s="11">
        <f>IF(AND(N92-'Outil Cibles'!$V$7&lt;=60,N92-'Outil Cibles'!$V$7&gt;=0), 'Outil Cibles'!$V$17, 0)</f>
        <v>0</v>
      </c>
      <c r="U92" s="11">
        <f>IF(AND(N92-'Outil Cibles'!$W$7&lt;=60,N92-'Outil Cibles'!$W$7&gt;=0), 'Outil Cibles'!$W$17, 0)</f>
        <v>0</v>
      </c>
      <c r="V92" s="11">
        <f>IF(AND(N92-'Outil Cibles'!$X$7&lt;=60,N92-'Outil Cibles'!$X$7&gt;=0), 'Outil Cibles'!$X$17, 0)</f>
        <v>0</v>
      </c>
      <c r="W92" s="11">
        <f>IF(AND(N92-'Outil Cibles'!$Y$7&lt;=60,N92-'Outil Cibles'!$Y$7&gt;=0), 'Outil Cibles'!$Y$17, 0)</f>
        <v>0</v>
      </c>
      <c r="X92" s="11">
        <f>IF(AND(N92-'Outil Cibles'!$Z$7&lt;=60,N92-'Outil Cibles'!$Z$7&gt;=0), 'Outil Cibles'!$Z$17, 0)</f>
        <v>0</v>
      </c>
      <c r="Y92" s="11">
        <f t="shared" si="5"/>
        <v>17.113816724515402</v>
      </c>
    </row>
    <row r="93" spans="1:25" x14ac:dyDescent="0.3">
      <c r="A93">
        <v>2028</v>
      </c>
      <c r="B93" s="11">
        <f>IF(AND(A93-'Outil Cibles'!$D$7&lt;=60,A93-'Outil Cibles'!$D$7&gt;=0), 'Outil Cibles'!$D$17, 0)</f>
        <v>8.7624493817977029</v>
      </c>
      <c r="C93" s="11">
        <f>IF(AND(A93-'Outil Cibles'!$E$7&lt;=60,A93-'Outil Cibles'!$E$7&gt;=0), 'Outil Cibles'!$E$17, 0)</f>
        <v>7.6922353293822718</v>
      </c>
      <c r="D93" s="11">
        <f>IF(AND(A93-'Outil Cibles'!$F$7&lt;=60,A93-'Outil Cibles'!$F$7&gt;=0), 'Outil Cibles'!$F$17, 0)</f>
        <v>0</v>
      </c>
      <c r="E93" s="11">
        <f>IF(AND(A93-'Outil Cibles'!$G$7&lt;=60,A93-'Outil Cibles'!$G$7&gt;=0), 'Outil Cibles'!$G$17, 0)</f>
        <v>0</v>
      </c>
      <c r="F93" s="11">
        <f>IF(AND(A93-'Outil Cibles'!$H$7&lt;=60,A93-'Outil Cibles'!$H$7&gt;=0), 'Outil Cibles'!$H$17, 0)</f>
        <v>0</v>
      </c>
      <c r="G93" s="11">
        <f>IF(AND(A93-'Outil Cibles'!$I$7&lt;=60,A93-'Outil Cibles'!$I$7&gt;=0), 'Outil Cibles'!$I$17, 0)</f>
        <v>0</v>
      </c>
      <c r="H93" s="11">
        <f>IF(AND(A93-'Outil Cibles'!$J$7&lt;=60,A93-'Outil Cibles'!$J$7&gt;=0), 'Outil Cibles'!$J$17, 0)</f>
        <v>0</v>
      </c>
      <c r="L93" s="11">
        <f t="shared" si="4"/>
        <v>16.454684711179976</v>
      </c>
      <c r="N93">
        <v>2028</v>
      </c>
      <c r="O93" s="11">
        <f>IF(AND(N93-'Outil Cibles'!$Q$7&lt;=60,N93-'Outil Cibles'!$Q$7&gt;=0), 'Outil Cibles'!$Q$17, 0)</f>
        <v>9.2209307000221994</v>
      </c>
      <c r="P93" s="11">
        <f>IF(AND(N93-'Outil Cibles'!$R$7&lt;=60,N93-'Outil Cibles'!$R$7&gt;=0), 'Outil Cibles'!$R$17, 0)</f>
        <v>7.8928860244932029</v>
      </c>
      <c r="Q93" s="11">
        <f>IF(AND(N93-'Outil Cibles'!$S$7&lt;=60,N93-'Outil Cibles'!$S$7&gt;=0), 'Outil Cibles'!$S$17, 0)</f>
        <v>0</v>
      </c>
      <c r="R93" s="11">
        <f>IF(AND(N93-'Outil Cibles'!$T$7&lt;=60,N93-'Outil Cibles'!$T$7&gt;=0), 'Outil Cibles'!$T$17, 0)</f>
        <v>0</v>
      </c>
      <c r="S93" s="11">
        <f>IF(AND(N93-'Outil Cibles'!$U$7&lt;=60,N93-'Outil Cibles'!$U$7&gt;=0), 'Outil Cibles'!$U$17, 0)</f>
        <v>0</v>
      </c>
      <c r="T93" s="11">
        <f>IF(AND(N93-'Outil Cibles'!$V$7&lt;=60,N93-'Outil Cibles'!$V$7&gt;=0), 'Outil Cibles'!$V$17, 0)</f>
        <v>0</v>
      </c>
      <c r="U93" s="11">
        <f>IF(AND(N93-'Outil Cibles'!$W$7&lt;=60,N93-'Outil Cibles'!$W$7&gt;=0), 'Outil Cibles'!$W$17, 0)</f>
        <v>0</v>
      </c>
      <c r="V93" s="11">
        <f>IF(AND(N93-'Outil Cibles'!$X$7&lt;=60,N93-'Outil Cibles'!$X$7&gt;=0), 'Outil Cibles'!$X$17, 0)</f>
        <v>0</v>
      </c>
      <c r="W93" s="11">
        <f>IF(AND(N93-'Outil Cibles'!$Y$7&lt;=60,N93-'Outil Cibles'!$Y$7&gt;=0), 'Outil Cibles'!$Y$17, 0)</f>
        <v>0</v>
      </c>
      <c r="X93" s="11">
        <f>IF(AND(N93-'Outil Cibles'!$Z$7&lt;=60,N93-'Outil Cibles'!$Z$7&gt;=0), 'Outil Cibles'!$Z$17, 0)</f>
        <v>0</v>
      </c>
      <c r="Y93" s="11">
        <f t="shared" si="5"/>
        <v>17.113816724515402</v>
      </c>
    </row>
    <row r="94" spans="1:25" x14ac:dyDescent="0.3">
      <c r="A94">
        <v>2029</v>
      </c>
      <c r="B94" s="11">
        <f>IF(AND(A94-'Outil Cibles'!$D$7&lt;=60,A94-'Outil Cibles'!$D$7&gt;=0), 'Outil Cibles'!$D$17, 0)</f>
        <v>8.7624493817977029</v>
      </c>
      <c r="C94" s="11">
        <f>IF(AND(A94-'Outil Cibles'!$E$7&lt;=60,A94-'Outil Cibles'!$E$7&gt;=0), 'Outil Cibles'!$E$17, 0)</f>
        <v>7.6922353293822718</v>
      </c>
      <c r="D94" s="11">
        <f>IF(AND(A94-'Outil Cibles'!$F$7&lt;=60,A94-'Outil Cibles'!$F$7&gt;=0), 'Outil Cibles'!$F$17, 0)</f>
        <v>0</v>
      </c>
      <c r="E94" s="11">
        <f>IF(AND(A94-'Outil Cibles'!$G$7&lt;=60,A94-'Outil Cibles'!$G$7&gt;=0), 'Outil Cibles'!$G$17, 0)</f>
        <v>0</v>
      </c>
      <c r="F94" s="11">
        <f>IF(AND(A94-'Outil Cibles'!$H$7&lt;=60,A94-'Outil Cibles'!$H$7&gt;=0), 'Outil Cibles'!$H$17, 0)</f>
        <v>0</v>
      </c>
      <c r="G94" s="11">
        <f>IF(AND(A94-'Outil Cibles'!$I$7&lt;=60,A94-'Outil Cibles'!$I$7&gt;=0), 'Outil Cibles'!$I$17, 0)</f>
        <v>0</v>
      </c>
      <c r="H94" s="11">
        <f>IF(AND(A94-'Outil Cibles'!$J$7&lt;=60,A94-'Outil Cibles'!$J$7&gt;=0), 'Outil Cibles'!$J$17, 0)</f>
        <v>0</v>
      </c>
      <c r="L94" s="11">
        <f t="shared" si="4"/>
        <v>16.454684711179976</v>
      </c>
      <c r="N94">
        <v>2029</v>
      </c>
      <c r="O94" s="11">
        <f>IF(AND(N94-'Outil Cibles'!$Q$7&lt;=60,N94-'Outil Cibles'!$Q$7&gt;=0), 'Outil Cibles'!$Q$17, 0)</f>
        <v>9.2209307000221994</v>
      </c>
      <c r="P94" s="11">
        <f>IF(AND(N94-'Outil Cibles'!$R$7&lt;=60,N94-'Outil Cibles'!$R$7&gt;=0), 'Outil Cibles'!$R$17, 0)</f>
        <v>7.8928860244932029</v>
      </c>
      <c r="Q94" s="11">
        <f>IF(AND(N94-'Outil Cibles'!$S$7&lt;=60,N94-'Outil Cibles'!$S$7&gt;=0), 'Outil Cibles'!$S$17, 0)</f>
        <v>0</v>
      </c>
      <c r="R94" s="11">
        <f>IF(AND(N94-'Outil Cibles'!$T$7&lt;=60,N94-'Outil Cibles'!$T$7&gt;=0), 'Outil Cibles'!$T$17, 0)</f>
        <v>0</v>
      </c>
      <c r="S94" s="11">
        <f>IF(AND(N94-'Outil Cibles'!$U$7&lt;=60,N94-'Outil Cibles'!$U$7&gt;=0), 'Outil Cibles'!$U$17, 0)</f>
        <v>0</v>
      </c>
      <c r="T94" s="11">
        <f>IF(AND(N94-'Outil Cibles'!$V$7&lt;=60,N94-'Outil Cibles'!$V$7&gt;=0), 'Outil Cibles'!$V$17, 0)</f>
        <v>0</v>
      </c>
      <c r="U94" s="11">
        <f>IF(AND(N94-'Outil Cibles'!$W$7&lt;=60,N94-'Outil Cibles'!$W$7&gt;=0), 'Outil Cibles'!$W$17, 0)</f>
        <v>0</v>
      </c>
      <c r="V94" s="11">
        <f>IF(AND(N94-'Outil Cibles'!$X$7&lt;=60,N94-'Outil Cibles'!$X$7&gt;=0), 'Outil Cibles'!$X$17, 0)</f>
        <v>0</v>
      </c>
      <c r="W94" s="11">
        <f>IF(AND(N94-'Outil Cibles'!$Y$7&lt;=60,N94-'Outil Cibles'!$Y$7&gt;=0), 'Outil Cibles'!$Y$17, 0)</f>
        <v>0</v>
      </c>
      <c r="X94" s="11">
        <f>IF(AND(N94-'Outil Cibles'!$Z$7&lt;=60,N94-'Outil Cibles'!$Z$7&gt;=0), 'Outil Cibles'!$Z$17, 0)</f>
        <v>0</v>
      </c>
      <c r="Y94" s="11">
        <f t="shared" si="5"/>
        <v>17.113816724515402</v>
      </c>
    </row>
    <row r="95" spans="1:25" x14ac:dyDescent="0.3">
      <c r="A95" s="10">
        <v>2030</v>
      </c>
      <c r="B95" s="11">
        <f>IF(AND(A95-'Outil Cibles'!$D$7&lt;=60,A95-'Outil Cibles'!$D$7&gt;=0), 'Outil Cibles'!$D$17, 0)</f>
        <v>8.7624493817977029</v>
      </c>
      <c r="C95" s="11">
        <f>IF(AND(A95-'Outil Cibles'!$E$7&lt;=60,A95-'Outil Cibles'!$E$7&gt;=0), 'Outil Cibles'!$E$17, 0)</f>
        <v>7.6922353293822718</v>
      </c>
      <c r="D95" s="11">
        <f>IF(AND(A95-'Outil Cibles'!$F$7&lt;=60,A95-'Outil Cibles'!$F$7&gt;=0), 'Outil Cibles'!$F$17, 0)</f>
        <v>6.6208262323138225</v>
      </c>
      <c r="E95" s="11">
        <f>IF(AND(A95-'Outil Cibles'!$G$7&lt;=60,A95-'Outil Cibles'!$G$7&gt;=0), 'Outil Cibles'!$G$17, 0)</f>
        <v>0</v>
      </c>
      <c r="F95" s="11">
        <f>IF(AND(A95-'Outil Cibles'!$H$7&lt;=60,A95-'Outil Cibles'!$H$7&gt;=0), 'Outil Cibles'!$H$17, 0)</f>
        <v>0</v>
      </c>
      <c r="G95" s="11">
        <f>IF(AND(A95-'Outil Cibles'!$I$7&lt;=60,A95-'Outil Cibles'!$I$7&gt;=0), 'Outil Cibles'!$I$17, 0)</f>
        <v>0</v>
      </c>
      <c r="H95" s="11">
        <f>IF(AND(A95-'Outil Cibles'!$J$7&lt;=60,A95-'Outil Cibles'!$J$7&gt;=0), 'Outil Cibles'!$J$17, 0)</f>
        <v>0</v>
      </c>
      <c r="L95" s="11">
        <f t="shared" si="4"/>
        <v>23.075510943493796</v>
      </c>
      <c r="N95" s="10">
        <v>2030</v>
      </c>
      <c r="O95" s="11">
        <f>IF(AND(N95-'Outil Cibles'!$Q$7&lt;=60,N95-'Outil Cibles'!$Q$7&gt;=0), 'Outil Cibles'!$Q$17, 0)</f>
        <v>9.2209307000221994</v>
      </c>
      <c r="P95" s="11">
        <f>IF(AND(N95-'Outil Cibles'!$R$7&lt;=60,N95-'Outil Cibles'!$R$7&gt;=0), 'Outil Cibles'!$R$17, 0)</f>
        <v>7.8928860244932029</v>
      </c>
      <c r="Q95" s="11">
        <f>IF(AND(N95-'Outil Cibles'!$S$7&lt;=60,N95-'Outil Cibles'!$S$7&gt;=0), 'Outil Cibles'!$S$17, 0)</f>
        <v>5.7861034181094277</v>
      </c>
      <c r="R95" s="11">
        <f>IF(AND(N95-'Outil Cibles'!$T$7&lt;=60,N95-'Outil Cibles'!$T$7&gt;=0), 'Outil Cibles'!$T$17, 0)</f>
        <v>0</v>
      </c>
      <c r="S95" s="11">
        <f>IF(AND(N95-'Outil Cibles'!$U$7&lt;=60,N95-'Outil Cibles'!$U$7&gt;=0), 'Outil Cibles'!$U$17, 0)</f>
        <v>0</v>
      </c>
      <c r="T95" s="11">
        <f>IF(AND(N95-'Outil Cibles'!$V$7&lt;=60,N95-'Outil Cibles'!$V$7&gt;=0), 'Outil Cibles'!$V$17, 0)</f>
        <v>0</v>
      </c>
      <c r="U95" s="11">
        <f>IF(AND(N95-'Outil Cibles'!$W$7&lt;=60,N95-'Outil Cibles'!$W$7&gt;=0), 'Outil Cibles'!$W$17, 0)</f>
        <v>0</v>
      </c>
      <c r="V95" s="11">
        <f>IF(AND(N95-'Outil Cibles'!$X$7&lt;=60,N95-'Outil Cibles'!$X$7&gt;=0), 'Outil Cibles'!$X$17, 0)</f>
        <v>0</v>
      </c>
      <c r="W95" s="11">
        <f>IF(AND(N95-'Outil Cibles'!$Y$7&lt;=60,N95-'Outil Cibles'!$Y$7&gt;=0), 'Outil Cibles'!$Y$17, 0)</f>
        <v>0</v>
      </c>
      <c r="X95" s="11">
        <f>IF(AND(N95-'Outil Cibles'!$Z$7&lt;=60,N95-'Outil Cibles'!$Z$7&gt;=0), 'Outil Cibles'!$Z$17, 0)</f>
        <v>0</v>
      </c>
      <c r="Y95" s="11">
        <f t="shared" si="5"/>
        <v>22.899920142624829</v>
      </c>
    </row>
    <row r="96" spans="1:25" x14ac:dyDescent="0.3">
      <c r="A96">
        <v>2031</v>
      </c>
      <c r="B96" s="11">
        <f>IF(AND(A96-'Outil Cibles'!$D$7&lt;=60,A96-'Outil Cibles'!$D$7&gt;=0), 'Outil Cibles'!$D$17, 0)</f>
        <v>8.7624493817977029</v>
      </c>
      <c r="C96" s="11">
        <f>IF(AND(A96-'Outil Cibles'!$E$7&lt;=60,A96-'Outil Cibles'!$E$7&gt;=0), 'Outil Cibles'!$E$17, 0)</f>
        <v>7.6922353293822718</v>
      </c>
      <c r="D96" s="11">
        <f>IF(AND(A96-'Outil Cibles'!$F$7&lt;=60,A96-'Outil Cibles'!$F$7&gt;=0), 'Outil Cibles'!$F$17, 0)</f>
        <v>6.6208262323138225</v>
      </c>
      <c r="E96" s="11">
        <f>IF(AND(A96-'Outil Cibles'!$G$7&lt;=60,A96-'Outil Cibles'!$G$7&gt;=0), 'Outil Cibles'!$G$17, 0)</f>
        <v>0</v>
      </c>
      <c r="F96" s="11">
        <f>IF(AND(A96-'Outil Cibles'!$H$7&lt;=60,A96-'Outil Cibles'!$H$7&gt;=0), 'Outil Cibles'!$H$17, 0)</f>
        <v>0</v>
      </c>
      <c r="G96" s="11">
        <f>IF(AND(A96-'Outil Cibles'!$I$7&lt;=60,A96-'Outil Cibles'!$I$7&gt;=0), 'Outil Cibles'!$I$17, 0)</f>
        <v>0</v>
      </c>
      <c r="H96" s="11">
        <f>IF(AND(A96-'Outil Cibles'!$J$7&lt;=60,A96-'Outil Cibles'!$J$7&gt;=0), 'Outil Cibles'!$J$17, 0)</f>
        <v>0</v>
      </c>
      <c r="L96" s="11">
        <f t="shared" si="4"/>
        <v>23.075510943493796</v>
      </c>
      <c r="N96">
        <v>2031</v>
      </c>
      <c r="O96" s="11">
        <f>IF(AND(N96-'Outil Cibles'!$Q$7&lt;=60,N96-'Outil Cibles'!$Q$7&gt;=0), 'Outil Cibles'!$Q$17, 0)</f>
        <v>9.2209307000221994</v>
      </c>
      <c r="P96" s="11">
        <f>IF(AND(N96-'Outil Cibles'!$R$7&lt;=60,N96-'Outil Cibles'!$R$7&gt;=0), 'Outil Cibles'!$R$17, 0)</f>
        <v>7.8928860244932029</v>
      </c>
      <c r="Q96" s="11">
        <f>IF(AND(N96-'Outil Cibles'!$S$7&lt;=60,N96-'Outil Cibles'!$S$7&gt;=0), 'Outil Cibles'!$S$17, 0)</f>
        <v>5.7861034181094277</v>
      </c>
      <c r="R96" s="11">
        <f>IF(AND(N96-'Outil Cibles'!$T$7&lt;=60,N96-'Outil Cibles'!$T$7&gt;=0), 'Outil Cibles'!$T$17, 0)</f>
        <v>0</v>
      </c>
      <c r="S96" s="11">
        <f>IF(AND(N96-'Outil Cibles'!$U$7&lt;=60,N96-'Outil Cibles'!$U$7&gt;=0), 'Outil Cibles'!$U$17, 0)</f>
        <v>0</v>
      </c>
      <c r="T96" s="11">
        <f>IF(AND(N96-'Outil Cibles'!$V$7&lt;=60,N96-'Outil Cibles'!$V$7&gt;=0), 'Outil Cibles'!$V$17, 0)</f>
        <v>0</v>
      </c>
      <c r="U96" s="11">
        <f>IF(AND(N96-'Outil Cibles'!$W$7&lt;=60,N96-'Outil Cibles'!$W$7&gt;=0), 'Outil Cibles'!$W$17, 0)</f>
        <v>0</v>
      </c>
      <c r="V96" s="11">
        <f>IF(AND(N96-'Outil Cibles'!$X$7&lt;=60,N96-'Outil Cibles'!$X$7&gt;=0), 'Outil Cibles'!$X$17, 0)</f>
        <v>0</v>
      </c>
      <c r="W96" s="11">
        <f>IF(AND(N96-'Outil Cibles'!$Y$7&lt;=60,N96-'Outil Cibles'!$Y$7&gt;=0), 'Outil Cibles'!$Y$17, 0)</f>
        <v>0</v>
      </c>
      <c r="X96" s="11">
        <f>IF(AND(N96-'Outil Cibles'!$Z$7&lt;=60,N96-'Outil Cibles'!$Z$7&gt;=0), 'Outil Cibles'!$Z$17, 0)</f>
        <v>0</v>
      </c>
      <c r="Y96" s="11">
        <f t="shared" si="5"/>
        <v>22.899920142624829</v>
      </c>
    </row>
    <row r="97" spans="1:25" x14ac:dyDescent="0.3">
      <c r="A97">
        <v>2032</v>
      </c>
      <c r="B97" s="11">
        <f>IF(AND(A97-'Outil Cibles'!$D$7&lt;=60,A97-'Outil Cibles'!$D$7&gt;=0), 'Outil Cibles'!$D$17, 0)</f>
        <v>8.7624493817977029</v>
      </c>
      <c r="C97" s="11">
        <f>IF(AND(A97-'Outil Cibles'!$E$7&lt;=60,A97-'Outil Cibles'!$E$7&gt;=0), 'Outil Cibles'!$E$17, 0)</f>
        <v>7.6922353293822718</v>
      </c>
      <c r="D97" s="11">
        <f>IF(AND(A97-'Outil Cibles'!$F$7&lt;=60,A97-'Outil Cibles'!$F$7&gt;=0), 'Outil Cibles'!$F$17, 0)</f>
        <v>6.6208262323138225</v>
      </c>
      <c r="E97" s="11">
        <f>IF(AND(A97-'Outil Cibles'!$G$7&lt;=60,A97-'Outil Cibles'!$G$7&gt;=0), 'Outil Cibles'!$G$17, 0)</f>
        <v>0</v>
      </c>
      <c r="F97" s="11">
        <f>IF(AND(A97-'Outil Cibles'!$H$7&lt;=60,A97-'Outil Cibles'!$H$7&gt;=0), 'Outil Cibles'!$H$17, 0)</f>
        <v>0</v>
      </c>
      <c r="G97" s="11">
        <f>IF(AND(A97-'Outil Cibles'!$I$7&lt;=60,A97-'Outil Cibles'!$I$7&gt;=0), 'Outil Cibles'!$I$17, 0)</f>
        <v>0</v>
      </c>
      <c r="H97" s="11">
        <f>IF(AND(A97-'Outil Cibles'!$J$7&lt;=60,A97-'Outil Cibles'!$J$7&gt;=0), 'Outil Cibles'!$J$17, 0)</f>
        <v>0</v>
      </c>
      <c r="L97" s="11">
        <f t="shared" si="4"/>
        <v>23.075510943493796</v>
      </c>
      <c r="N97">
        <v>2032</v>
      </c>
      <c r="O97" s="11">
        <f>IF(AND(N97-'Outil Cibles'!$Q$7&lt;=60,N97-'Outil Cibles'!$Q$7&gt;=0), 'Outil Cibles'!$Q$17, 0)</f>
        <v>9.2209307000221994</v>
      </c>
      <c r="P97" s="11">
        <f>IF(AND(N97-'Outil Cibles'!$R$7&lt;=60,N97-'Outil Cibles'!$R$7&gt;=0), 'Outil Cibles'!$R$17, 0)</f>
        <v>7.8928860244932029</v>
      </c>
      <c r="Q97" s="11">
        <f>IF(AND(N97-'Outil Cibles'!$S$7&lt;=60,N97-'Outil Cibles'!$S$7&gt;=0), 'Outil Cibles'!$S$17, 0)</f>
        <v>5.7861034181094277</v>
      </c>
      <c r="R97" s="11">
        <f>IF(AND(N97-'Outil Cibles'!$T$7&lt;=60,N97-'Outil Cibles'!$T$7&gt;=0), 'Outil Cibles'!$T$17, 0)</f>
        <v>0</v>
      </c>
      <c r="S97" s="11">
        <f>IF(AND(N97-'Outil Cibles'!$U$7&lt;=60,N97-'Outil Cibles'!$U$7&gt;=0), 'Outil Cibles'!$U$17, 0)</f>
        <v>0</v>
      </c>
      <c r="T97" s="11">
        <f>IF(AND(N97-'Outil Cibles'!$V$7&lt;=60,N97-'Outil Cibles'!$V$7&gt;=0), 'Outil Cibles'!$V$17, 0)</f>
        <v>0</v>
      </c>
      <c r="U97" s="11">
        <f>IF(AND(N97-'Outil Cibles'!$W$7&lt;=60,N97-'Outil Cibles'!$W$7&gt;=0), 'Outil Cibles'!$W$17, 0)</f>
        <v>0</v>
      </c>
      <c r="V97" s="11">
        <f>IF(AND(N97-'Outil Cibles'!$X$7&lt;=60,N97-'Outil Cibles'!$X$7&gt;=0), 'Outil Cibles'!$X$17, 0)</f>
        <v>0</v>
      </c>
      <c r="W97" s="11">
        <f>IF(AND(N97-'Outil Cibles'!$Y$7&lt;=60,N97-'Outil Cibles'!$Y$7&gt;=0), 'Outil Cibles'!$Y$17, 0)</f>
        <v>0</v>
      </c>
      <c r="X97" s="11">
        <f>IF(AND(N97-'Outil Cibles'!$Z$7&lt;=60,N97-'Outil Cibles'!$Z$7&gt;=0), 'Outil Cibles'!$Z$17, 0)</f>
        <v>0</v>
      </c>
      <c r="Y97" s="11">
        <f t="shared" si="5"/>
        <v>22.899920142624829</v>
      </c>
    </row>
    <row r="98" spans="1:25" x14ac:dyDescent="0.3">
      <c r="A98">
        <v>2033</v>
      </c>
      <c r="B98" s="11">
        <f>IF(AND(A98-'Outil Cibles'!$D$7&lt;=60,A98-'Outil Cibles'!$D$7&gt;=0), 'Outil Cibles'!$D$17, 0)</f>
        <v>8.7624493817977029</v>
      </c>
      <c r="C98" s="11">
        <f>IF(AND(A98-'Outil Cibles'!$E$7&lt;=60,A98-'Outil Cibles'!$E$7&gt;=0), 'Outil Cibles'!$E$17, 0)</f>
        <v>7.6922353293822718</v>
      </c>
      <c r="D98" s="11">
        <f>IF(AND(A98-'Outil Cibles'!$F$7&lt;=60,A98-'Outil Cibles'!$F$7&gt;=0), 'Outil Cibles'!$F$17, 0)</f>
        <v>6.6208262323138225</v>
      </c>
      <c r="E98" s="11">
        <f>IF(AND(A98-'Outil Cibles'!$G$7&lt;=60,A98-'Outil Cibles'!$G$7&gt;=0), 'Outil Cibles'!$G$17, 0)</f>
        <v>0</v>
      </c>
      <c r="F98" s="11">
        <f>IF(AND(A98-'Outil Cibles'!$H$7&lt;=60,A98-'Outil Cibles'!$H$7&gt;=0), 'Outil Cibles'!$H$17, 0)</f>
        <v>0</v>
      </c>
      <c r="G98" s="11">
        <f>IF(AND(A98-'Outil Cibles'!$I$7&lt;=60,A98-'Outil Cibles'!$I$7&gt;=0), 'Outil Cibles'!$I$17, 0)</f>
        <v>0</v>
      </c>
      <c r="H98" s="11">
        <f>IF(AND(A98-'Outil Cibles'!$J$7&lt;=60,A98-'Outil Cibles'!$J$7&gt;=0), 'Outil Cibles'!$J$17, 0)</f>
        <v>0</v>
      </c>
      <c r="L98" s="11">
        <f t="shared" si="4"/>
        <v>23.075510943493796</v>
      </c>
      <c r="N98">
        <v>2033</v>
      </c>
      <c r="O98" s="11">
        <f>IF(AND(N98-'Outil Cibles'!$Q$7&lt;=60,N98-'Outil Cibles'!$Q$7&gt;=0), 'Outil Cibles'!$Q$17, 0)</f>
        <v>9.2209307000221994</v>
      </c>
      <c r="P98" s="11">
        <f>IF(AND(N98-'Outil Cibles'!$R$7&lt;=60,N98-'Outil Cibles'!$R$7&gt;=0), 'Outil Cibles'!$R$17, 0)</f>
        <v>7.8928860244932029</v>
      </c>
      <c r="Q98" s="11">
        <f>IF(AND(N98-'Outil Cibles'!$S$7&lt;=60,N98-'Outil Cibles'!$S$7&gt;=0), 'Outil Cibles'!$S$17, 0)</f>
        <v>5.7861034181094277</v>
      </c>
      <c r="R98" s="11">
        <f>IF(AND(N98-'Outil Cibles'!$T$7&lt;=60,N98-'Outil Cibles'!$T$7&gt;=0), 'Outil Cibles'!$T$17, 0)</f>
        <v>0</v>
      </c>
      <c r="S98" s="11">
        <f>IF(AND(N98-'Outil Cibles'!$U$7&lt;=60,N98-'Outil Cibles'!$U$7&gt;=0), 'Outil Cibles'!$U$17, 0)</f>
        <v>0</v>
      </c>
      <c r="T98" s="11">
        <f>IF(AND(N98-'Outil Cibles'!$V$7&lt;=60,N98-'Outil Cibles'!$V$7&gt;=0), 'Outil Cibles'!$V$17, 0)</f>
        <v>0</v>
      </c>
      <c r="U98" s="11">
        <f>IF(AND(N98-'Outil Cibles'!$W$7&lt;=60,N98-'Outil Cibles'!$W$7&gt;=0), 'Outil Cibles'!$W$17, 0)</f>
        <v>0</v>
      </c>
      <c r="V98" s="11">
        <f>IF(AND(N98-'Outil Cibles'!$X$7&lt;=60,N98-'Outil Cibles'!$X$7&gt;=0), 'Outil Cibles'!$X$17, 0)</f>
        <v>0</v>
      </c>
      <c r="W98" s="11">
        <f>IF(AND(N98-'Outil Cibles'!$Y$7&lt;=60,N98-'Outil Cibles'!$Y$7&gt;=0), 'Outil Cibles'!$Y$17, 0)</f>
        <v>0</v>
      </c>
      <c r="X98" s="11">
        <f>IF(AND(N98-'Outil Cibles'!$Z$7&lt;=60,N98-'Outil Cibles'!$Z$7&gt;=0), 'Outil Cibles'!$Z$17, 0)</f>
        <v>0</v>
      </c>
      <c r="Y98" s="11">
        <f t="shared" si="5"/>
        <v>22.899920142624829</v>
      </c>
    </row>
    <row r="99" spans="1:25" x14ac:dyDescent="0.3">
      <c r="A99">
        <v>2034</v>
      </c>
      <c r="B99" s="11">
        <f>IF(AND(A99-'Outil Cibles'!$D$7&lt;=60,A99-'Outil Cibles'!$D$7&gt;=0), 'Outil Cibles'!$D$17, 0)</f>
        <v>8.7624493817977029</v>
      </c>
      <c r="C99" s="11">
        <f>IF(AND(A99-'Outil Cibles'!$E$7&lt;=60,A99-'Outil Cibles'!$E$7&gt;=0), 'Outil Cibles'!$E$17, 0)</f>
        <v>7.6922353293822718</v>
      </c>
      <c r="D99" s="11">
        <f>IF(AND(A99-'Outil Cibles'!$F$7&lt;=60,A99-'Outil Cibles'!$F$7&gt;=0), 'Outil Cibles'!$F$17, 0)</f>
        <v>6.6208262323138225</v>
      </c>
      <c r="E99" s="11">
        <f>IF(AND(A99-'Outil Cibles'!$G$7&lt;=60,A99-'Outil Cibles'!$G$7&gt;=0), 'Outil Cibles'!$G$17, 0)</f>
        <v>0</v>
      </c>
      <c r="F99" s="11">
        <f>IF(AND(A99-'Outil Cibles'!$H$7&lt;=60,A99-'Outil Cibles'!$H$7&gt;=0), 'Outil Cibles'!$H$17, 0)</f>
        <v>0</v>
      </c>
      <c r="G99" s="11">
        <f>IF(AND(A99-'Outil Cibles'!$I$7&lt;=60,A99-'Outil Cibles'!$I$7&gt;=0), 'Outil Cibles'!$I$17, 0)</f>
        <v>0</v>
      </c>
      <c r="H99" s="11">
        <f>IF(AND(A99-'Outil Cibles'!$J$7&lt;=60,A99-'Outil Cibles'!$J$7&gt;=0), 'Outil Cibles'!$J$17, 0)</f>
        <v>0</v>
      </c>
      <c r="L99" s="11">
        <f t="shared" si="4"/>
        <v>23.075510943493796</v>
      </c>
      <c r="N99">
        <v>2034</v>
      </c>
      <c r="O99" s="11">
        <f>IF(AND(N99-'Outil Cibles'!$Q$7&lt;=60,N99-'Outil Cibles'!$Q$7&gt;=0), 'Outil Cibles'!$Q$17, 0)</f>
        <v>9.2209307000221994</v>
      </c>
      <c r="P99" s="11">
        <f>IF(AND(N99-'Outil Cibles'!$R$7&lt;=60,N99-'Outil Cibles'!$R$7&gt;=0), 'Outil Cibles'!$R$17, 0)</f>
        <v>7.8928860244932029</v>
      </c>
      <c r="Q99" s="11">
        <f>IF(AND(N99-'Outil Cibles'!$S$7&lt;=60,N99-'Outil Cibles'!$S$7&gt;=0), 'Outil Cibles'!$S$17, 0)</f>
        <v>5.7861034181094277</v>
      </c>
      <c r="R99" s="11">
        <f>IF(AND(N99-'Outil Cibles'!$T$7&lt;=60,N99-'Outil Cibles'!$T$7&gt;=0), 'Outil Cibles'!$T$17, 0)</f>
        <v>0</v>
      </c>
      <c r="S99" s="11">
        <f>IF(AND(N99-'Outil Cibles'!$U$7&lt;=60,N99-'Outil Cibles'!$U$7&gt;=0), 'Outil Cibles'!$U$17, 0)</f>
        <v>0</v>
      </c>
      <c r="T99" s="11">
        <f>IF(AND(N99-'Outil Cibles'!$V$7&lt;=60,N99-'Outil Cibles'!$V$7&gt;=0), 'Outil Cibles'!$V$17, 0)</f>
        <v>0</v>
      </c>
      <c r="U99" s="11">
        <f>IF(AND(N99-'Outil Cibles'!$W$7&lt;=60,N99-'Outil Cibles'!$W$7&gt;=0), 'Outil Cibles'!$W$17, 0)</f>
        <v>0</v>
      </c>
      <c r="V99" s="11">
        <f>IF(AND(N99-'Outil Cibles'!$X$7&lt;=60,N99-'Outil Cibles'!$X$7&gt;=0), 'Outil Cibles'!$X$17, 0)</f>
        <v>0</v>
      </c>
      <c r="W99" s="11">
        <f>IF(AND(N99-'Outil Cibles'!$Y$7&lt;=60,N99-'Outil Cibles'!$Y$7&gt;=0), 'Outil Cibles'!$Y$17, 0)</f>
        <v>0</v>
      </c>
      <c r="X99" s="11">
        <f>IF(AND(N99-'Outil Cibles'!$Z$7&lt;=60,N99-'Outil Cibles'!$Z$7&gt;=0), 'Outil Cibles'!$Z$17, 0)</f>
        <v>0</v>
      </c>
      <c r="Y99" s="11">
        <f t="shared" si="5"/>
        <v>22.899920142624829</v>
      </c>
    </row>
    <row r="100" spans="1:25" x14ac:dyDescent="0.3">
      <c r="A100" s="10">
        <v>2035</v>
      </c>
      <c r="B100" s="11">
        <f>IF(AND(A100-'Outil Cibles'!$D$7&lt;=60,A100-'Outil Cibles'!$D$7&gt;=0), 'Outil Cibles'!$D$17, 0)</f>
        <v>8.7624493817977029</v>
      </c>
      <c r="C100" s="11">
        <f>IF(AND(A100-'Outil Cibles'!$E$7&lt;=60,A100-'Outil Cibles'!$E$7&gt;=0), 'Outil Cibles'!$E$17, 0)</f>
        <v>7.6922353293822718</v>
      </c>
      <c r="D100" s="11">
        <f>IF(AND(A100-'Outil Cibles'!$F$7&lt;=60,A100-'Outil Cibles'!$F$7&gt;=0), 'Outil Cibles'!$F$17, 0)</f>
        <v>6.6208262323138225</v>
      </c>
      <c r="E100" s="11">
        <f>IF(AND(A100-'Outil Cibles'!$G$7&lt;=60,A100-'Outil Cibles'!$G$7&gt;=0), 'Outil Cibles'!$G$17, 0)</f>
        <v>5.3823222388442451</v>
      </c>
      <c r="F100" s="11">
        <f>IF(AND(A100-'Outil Cibles'!$H$7&lt;=60,A100-'Outil Cibles'!$H$7&gt;=0), 'Outil Cibles'!$H$17, 0)</f>
        <v>0</v>
      </c>
      <c r="G100" s="11">
        <f>IF(AND(A100-'Outil Cibles'!$I$7&lt;=60,A100-'Outil Cibles'!$I$7&gt;=0), 'Outil Cibles'!$I$17, 0)</f>
        <v>0</v>
      </c>
      <c r="H100" s="11">
        <f>IF(AND(A100-'Outil Cibles'!$J$7&lt;=60,A100-'Outil Cibles'!$J$7&gt;=0), 'Outil Cibles'!$J$17, 0)</f>
        <v>0</v>
      </c>
      <c r="L100" s="11">
        <f t="shared" si="4"/>
        <v>28.457833182338042</v>
      </c>
      <c r="N100" s="10">
        <v>2035</v>
      </c>
      <c r="O100" s="11">
        <f>IF(AND(N100-'Outil Cibles'!$Q$7&lt;=60,N100-'Outil Cibles'!$Q$7&gt;=0), 'Outil Cibles'!$Q$17, 0)</f>
        <v>9.2209307000221994</v>
      </c>
      <c r="P100" s="11">
        <f>IF(AND(N100-'Outil Cibles'!$R$7&lt;=60,N100-'Outil Cibles'!$R$7&gt;=0), 'Outil Cibles'!$R$17, 0)</f>
        <v>7.8928860244932029</v>
      </c>
      <c r="Q100" s="11">
        <f>IF(AND(N100-'Outil Cibles'!$S$7&lt;=60,N100-'Outil Cibles'!$S$7&gt;=0), 'Outil Cibles'!$S$17, 0)</f>
        <v>5.7861034181094277</v>
      </c>
      <c r="R100" s="11">
        <f>IF(AND(N100-'Outil Cibles'!$T$7&lt;=60,N100-'Outil Cibles'!$T$7&gt;=0), 'Outil Cibles'!$T$17, 0)</f>
        <v>3.9285483356528981</v>
      </c>
      <c r="S100" s="11">
        <f>IF(AND(N100-'Outil Cibles'!$U$7&lt;=60,N100-'Outil Cibles'!$U$7&gt;=0), 'Outil Cibles'!$U$17, 0)</f>
        <v>0</v>
      </c>
      <c r="T100" s="11">
        <f>IF(AND(N100-'Outil Cibles'!$V$7&lt;=60,N100-'Outil Cibles'!$V$7&gt;=0), 'Outil Cibles'!$V$17, 0)</f>
        <v>0</v>
      </c>
      <c r="U100" s="11">
        <f>IF(AND(N100-'Outil Cibles'!$W$7&lt;=60,N100-'Outil Cibles'!$W$7&gt;=0), 'Outil Cibles'!$W$17, 0)</f>
        <v>0</v>
      </c>
      <c r="V100" s="11">
        <f>IF(AND(N100-'Outil Cibles'!$X$7&lt;=60,N100-'Outil Cibles'!$X$7&gt;=0), 'Outil Cibles'!$X$17, 0)</f>
        <v>0</v>
      </c>
      <c r="W100" s="11">
        <f>IF(AND(N100-'Outil Cibles'!$Y$7&lt;=60,N100-'Outil Cibles'!$Y$7&gt;=0), 'Outil Cibles'!$Y$17, 0)</f>
        <v>0</v>
      </c>
      <c r="X100" s="11">
        <f>IF(AND(N100-'Outil Cibles'!$Z$7&lt;=60,N100-'Outil Cibles'!$Z$7&gt;=0), 'Outil Cibles'!$Z$17, 0)</f>
        <v>0</v>
      </c>
      <c r="Y100" s="11">
        <f t="shared" si="5"/>
        <v>26.828468478277728</v>
      </c>
    </row>
    <row r="101" spans="1:25" x14ac:dyDescent="0.3">
      <c r="A101">
        <v>2036</v>
      </c>
      <c r="B101" s="11">
        <f>IF(AND(A101-'Outil Cibles'!$D$7&lt;=60,A101-'Outil Cibles'!$D$7&gt;=0), 'Outil Cibles'!$D$17, 0)</f>
        <v>8.7624493817977029</v>
      </c>
      <c r="C101" s="11">
        <f>IF(AND(A101-'Outil Cibles'!$E$7&lt;=60,A101-'Outil Cibles'!$E$7&gt;=0), 'Outil Cibles'!$E$17, 0)</f>
        <v>7.6922353293822718</v>
      </c>
      <c r="D101" s="11">
        <f>IF(AND(A101-'Outil Cibles'!$F$7&lt;=60,A101-'Outil Cibles'!$F$7&gt;=0), 'Outil Cibles'!$F$17, 0)</f>
        <v>6.6208262323138225</v>
      </c>
      <c r="E101" s="11">
        <f>IF(AND(A101-'Outil Cibles'!$G$7&lt;=60,A101-'Outil Cibles'!$G$7&gt;=0), 'Outil Cibles'!$G$17, 0)</f>
        <v>5.3823222388442451</v>
      </c>
      <c r="F101" s="11">
        <f>IF(AND(A101-'Outil Cibles'!$H$7&lt;=60,A101-'Outil Cibles'!$H$7&gt;=0), 'Outil Cibles'!$H$17, 0)</f>
        <v>0</v>
      </c>
      <c r="G101" s="11">
        <f>IF(AND(A101-'Outil Cibles'!$I$7&lt;=60,A101-'Outil Cibles'!$I$7&gt;=0), 'Outil Cibles'!$I$17, 0)</f>
        <v>0</v>
      </c>
      <c r="H101" s="11">
        <f>IF(AND(A101-'Outil Cibles'!$J$7&lt;=60,A101-'Outil Cibles'!$J$7&gt;=0), 'Outil Cibles'!$J$17, 0)</f>
        <v>0</v>
      </c>
      <c r="L101" s="11">
        <f t="shared" si="4"/>
        <v>28.457833182338042</v>
      </c>
      <c r="N101">
        <v>2036</v>
      </c>
      <c r="O101" s="11">
        <f>IF(AND(N101-'Outil Cibles'!$Q$7&lt;=60,N101-'Outil Cibles'!$Q$7&gt;=0), 'Outil Cibles'!$Q$17, 0)</f>
        <v>9.2209307000221994</v>
      </c>
      <c r="P101" s="11">
        <f>IF(AND(N101-'Outil Cibles'!$R$7&lt;=60,N101-'Outil Cibles'!$R$7&gt;=0), 'Outil Cibles'!$R$17, 0)</f>
        <v>7.8928860244932029</v>
      </c>
      <c r="Q101" s="11">
        <f>IF(AND(N101-'Outil Cibles'!$S$7&lt;=60,N101-'Outil Cibles'!$S$7&gt;=0), 'Outil Cibles'!$S$17, 0)</f>
        <v>5.7861034181094277</v>
      </c>
      <c r="R101" s="11">
        <f>IF(AND(N101-'Outil Cibles'!$T$7&lt;=60,N101-'Outil Cibles'!$T$7&gt;=0), 'Outil Cibles'!$T$17, 0)</f>
        <v>3.9285483356528981</v>
      </c>
      <c r="S101" s="11">
        <f>IF(AND(N101-'Outil Cibles'!$U$7&lt;=60,N101-'Outil Cibles'!$U$7&gt;=0), 'Outil Cibles'!$U$17, 0)</f>
        <v>0</v>
      </c>
      <c r="T101" s="11">
        <f>IF(AND(N101-'Outil Cibles'!$V$7&lt;=60,N101-'Outil Cibles'!$V$7&gt;=0), 'Outil Cibles'!$V$17, 0)</f>
        <v>0</v>
      </c>
      <c r="U101" s="11">
        <f>IF(AND(N101-'Outil Cibles'!$W$7&lt;=60,N101-'Outil Cibles'!$W$7&gt;=0), 'Outil Cibles'!$W$17, 0)</f>
        <v>0</v>
      </c>
      <c r="V101" s="11">
        <f>IF(AND(N101-'Outil Cibles'!$X$7&lt;=60,N101-'Outil Cibles'!$X$7&gt;=0), 'Outil Cibles'!$X$17, 0)</f>
        <v>0</v>
      </c>
      <c r="W101" s="11">
        <f>IF(AND(N101-'Outil Cibles'!$Y$7&lt;=60,N101-'Outil Cibles'!$Y$7&gt;=0), 'Outil Cibles'!$Y$17, 0)</f>
        <v>0</v>
      </c>
      <c r="X101" s="11">
        <f>IF(AND(N101-'Outil Cibles'!$Z$7&lt;=60,N101-'Outil Cibles'!$Z$7&gt;=0), 'Outil Cibles'!$Z$17, 0)</f>
        <v>0</v>
      </c>
      <c r="Y101" s="11">
        <f t="shared" si="5"/>
        <v>26.828468478277728</v>
      </c>
    </row>
    <row r="102" spans="1:25" x14ac:dyDescent="0.3">
      <c r="A102">
        <v>2037</v>
      </c>
      <c r="B102" s="11">
        <f>IF(AND(A102-'Outil Cibles'!$D$7&lt;=60,A102-'Outil Cibles'!$D$7&gt;=0), 'Outil Cibles'!$D$17, 0)</f>
        <v>8.7624493817977029</v>
      </c>
      <c r="C102" s="11">
        <f>IF(AND(A102-'Outil Cibles'!$E$7&lt;=60,A102-'Outil Cibles'!$E$7&gt;=0), 'Outil Cibles'!$E$17, 0)</f>
        <v>7.6922353293822718</v>
      </c>
      <c r="D102" s="11">
        <f>IF(AND(A102-'Outil Cibles'!$F$7&lt;=60,A102-'Outil Cibles'!$F$7&gt;=0), 'Outil Cibles'!$F$17, 0)</f>
        <v>6.6208262323138225</v>
      </c>
      <c r="E102" s="11">
        <f>IF(AND(A102-'Outil Cibles'!$G$7&lt;=60,A102-'Outil Cibles'!$G$7&gt;=0), 'Outil Cibles'!$G$17, 0)</f>
        <v>5.3823222388442451</v>
      </c>
      <c r="F102" s="11">
        <f>IF(AND(A102-'Outil Cibles'!$H$7&lt;=60,A102-'Outil Cibles'!$H$7&gt;=0), 'Outil Cibles'!$H$17, 0)</f>
        <v>0</v>
      </c>
      <c r="G102" s="11">
        <f>IF(AND(A102-'Outil Cibles'!$I$7&lt;=60,A102-'Outil Cibles'!$I$7&gt;=0), 'Outil Cibles'!$I$17, 0)</f>
        <v>0</v>
      </c>
      <c r="H102" s="11">
        <f>IF(AND(A102-'Outil Cibles'!$J$7&lt;=60,A102-'Outil Cibles'!$J$7&gt;=0), 'Outil Cibles'!$J$17, 0)</f>
        <v>0</v>
      </c>
      <c r="L102" s="11">
        <f t="shared" si="4"/>
        <v>28.457833182338042</v>
      </c>
      <c r="N102">
        <v>2037</v>
      </c>
      <c r="O102" s="11">
        <f>IF(AND(N102-'Outil Cibles'!$Q$7&lt;=60,N102-'Outil Cibles'!$Q$7&gt;=0), 'Outil Cibles'!$Q$17, 0)</f>
        <v>9.2209307000221994</v>
      </c>
      <c r="P102" s="11">
        <f>IF(AND(N102-'Outil Cibles'!$R$7&lt;=60,N102-'Outil Cibles'!$R$7&gt;=0), 'Outil Cibles'!$R$17, 0)</f>
        <v>7.8928860244932029</v>
      </c>
      <c r="Q102" s="11">
        <f>IF(AND(N102-'Outil Cibles'!$S$7&lt;=60,N102-'Outil Cibles'!$S$7&gt;=0), 'Outil Cibles'!$S$17, 0)</f>
        <v>5.7861034181094277</v>
      </c>
      <c r="R102" s="11">
        <f>IF(AND(N102-'Outil Cibles'!$T$7&lt;=60,N102-'Outil Cibles'!$T$7&gt;=0), 'Outil Cibles'!$T$17, 0)</f>
        <v>3.9285483356528981</v>
      </c>
      <c r="S102" s="11">
        <f>IF(AND(N102-'Outil Cibles'!$U$7&lt;=60,N102-'Outil Cibles'!$U$7&gt;=0), 'Outil Cibles'!$U$17, 0)</f>
        <v>0</v>
      </c>
      <c r="T102" s="11">
        <f>IF(AND(N102-'Outil Cibles'!$V$7&lt;=60,N102-'Outil Cibles'!$V$7&gt;=0), 'Outil Cibles'!$V$17, 0)</f>
        <v>0</v>
      </c>
      <c r="U102" s="11">
        <f>IF(AND(N102-'Outil Cibles'!$W$7&lt;=60,N102-'Outil Cibles'!$W$7&gt;=0), 'Outil Cibles'!$W$17, 0)</f>
        <v>0</v>
      </c>
      <c r="V102" s="11">
        <f>IF(AND(N102-'Outil Cibles'!$X$7&lt;=60,N102-'Outil Cibles'!$X$7&gt;=0), 'Outil Cibles'!$X$17, 0)</f>
        <v>0</v>
      </c>
      <c r="W102" s="11">
        <f>IF(AND(N102-'Outil Cibles'!$Y$7&lt;=60,N102-'Outil Cibles'!$Y$7&gt;=0), 'Outil Cibles'!$Y$17, 0)</f>
        <v>0</v>
      </c>
      <c r="X102" s="11">
        <f>IF(AND(N102-'Outil Cibles'!$Z$7&lt;=60,N102-'Outil Cibles'!$Z$7&gt;=0), 'Outil Cibles'!$Z$17, 0)</f>
        <v>0</v>
      </c>
      <c r="Y102" s="11">
        <f t="shared" si="5"/>
        <v>26.828468478277728</v>
      </c>
    </row>
    <row r="103" spans="1:25" x14ac:dyDescent="0.3">
      <c r="A103">
        <v>2038</v>
      </c>
      <c r="B103" s="11">
        <f>IF(AND(A103-'Outil Cibles'!$D$7&lt;=60,A103-'Outil Cibles'!$D$7&gt;=0), 'Outil Cibles'!$D$17, 0)</f>
        <v>8.7624493817977029</v>
      </c>
      <c r="C103" s="11">
        <f>IF(AND(A103-'Outil Cibles'!$E$7&lt;=60,A103-'Outil Cibles'!$E$7&gt;=0), 'Outil Cibles'!$E$17, 0)</f>
        <v>7.6922353293822718</v>
      </c>
      <c r="D103" s="11">
        <f>IF(AND(A103-'Outil Cibles'!$F$7&lt;=60,A103-'Outil Cibles'!$F$7&gt;=0), 'Outil Cibles'!$F$17, 0)</f>
        <v>6.6208262323138225</v>
      </c>
      <c r="E103" s="11">
        <f>IF(AND(A103-'Outil Cibles'!$G$7&lt;=60,A103-'Outil Cibles'!$G$7&gt;=0), 'Outil Cibles'!$G$17, 0)</f>
        <v>5.3823222388442451</v>
      </c>
      <c r="F103" s="11">
        <f>IF(AND(A103-'Outil Cibles'!$H$7&lt;=60,A103-'Outil Cibles'!$H$7&gt;=0), 'Outil Cibles'!$H$17, 0)</f>
        <v>4.6974836188392803</v>
      </c>
      <c r="G103" s="11">
        <f>IF(AND(A103-'Outil Cibles'!$I$7&lt;=60,A103-'Outil Cibles'!$I$7&gt;=0), 'Outil Cibles'!$I$17, 0)</f>
        <v>0</v>
      </c>
      <c r="H103" s="11">
        <f>IF(AND(A103-'Outil Cibles'!$J$7&lt;=60,A103-'Outil Cibles'!$J$7&gt;=0), 'Outil Cibles'!$J$17, 0)</f>
        <v>0</v>
      </c>
      <c r="L103" s="11">
        <f t="shared" si="4"/>
        <v>33.155316801177321</v>
      </c>
      <c r="N103">
        <v>2038</v>
      </c>
      <c r="O103" s="11">
        <f>IF(AND(N103-'Outil Cibles'!$Q$7&lt;=60,N103-'Outil Cibles'!$Q$7&gt;=0), 'Outil Cibles'!$Q$17, 0)</f>
        <v>9.2209307000221994</v>
      </c>
      <c r="P103" s="11">
        <f>IF(AND(N103-'Outil Cibles'!$R$7&lt;=60,N103-'Outil Cibles'!$R$7&gt;=0), 'Outil Cibles'!$R$17, 0)</f>
        <v>7.8928860244932029</v>
      </c>
      <c r="Q103" s="11">
        <f>IF(AND(N103-'Outil Cibles'!$S$7&lt;=60,N103-'Outil Cibles'!$S$7&gt;=0), 'Outil Cibles'!$S$17, 0)</f>
        <v>5.7861034181094277</v>
      </c>
      <c r="R103" s="11">
        <f>IF(AND(N103-'Outil Cibles'!$T$7&lt;=60,N103-'Outil Cibles'!$T$7&gt;=0), 'Outil Cibles'!$T$17, 0)</f>
        <v>3.9285483356528981</v>
      </c>
      <c r="S103" s="11">
        <f>IF(AND(N103-'Outil Cibles'!$U$7&lt;=60,N103-'Outil Cibles'!$U$7&gt;=0), 'Outil Cibles'!$U$17, 0)</f>
        <v>3.1156336157567535</v>
      </c>
      <c r="T103" s="11">
        <f>IF(AND(N103-'Outil Cibles'!$V$7&lt;=60,N103-'Outil Cibles'!$V$7&gt;=0), 'Outil Cibles'!$V$17, 0)</f>
        <v>0</v>
      </c>
      <c r="U103" s="11">
        <f>IF(AND(N103-'Outil Cibles'!$W$7&lt;=60,N103-'Outil Cibles'!$W$7&gt;=0), 'Outil Cibles'!$W$17, 0)</f>
        <v>0</v>
      </c>
      <c r="V103" s="11">
        <f>IF(AND(N103-'Outil Cibles'!$X$7&lt;=60,N103-'Outil Cibles'!$X$7&gt;=0), 'Outil Cibles'!$X$17, 0)</f>
        <v>0</v>
      </c>
      <c r="W103" s="11">
        <f>IF(AND(N103-'Outil Cibles'!$Y$7&lt;=60,N103-'Outil Cibles'!$Y$7&gt;=0), 'Outil Cibles'!$Y$17, 0)</f>
        <v>0</v>
      </c>
      <c r="X103" s="11">
        <f>IF(AND(N103-'Outil Cibles'!$Z$7&lt;=60,N103-'Outil Cibles'!$Z$7&gt;=0), 'Outil Cibles'!$Z$17, 0)</f>
        <v>0</v>
      </c>
      <c r="Y103" s="11">
        <f t="shared" si="5"/>
        <v>29.944102094034481</v>
      </c>
    </row>
    <row r="104" spans="1:25" x14ac:dyDescent="0.3">
      <c r="A104">
        <v>2039</v>
      </c>
      <c r="B104" s="11">
        <f>IF(AND(A104-'Outil Cibles'!$D$7&lt;=60,A104-'Outil Cibles'!$D$7&gt;=0), 'Outil Cibles'!$D$17, 0)</f>
        <v>8.7624493817977029</v>
      </c>
      <c r="C104" s="11">
        <f>IF(AND(A104-'Outil Cibles'!$E$7&lt;=60,A104-'Outil Cibles'!$E$7&gt;=0), 'Outil Cibles'!$E$17, 0)</f>
        <v>7.6922353293822718</v>
      </c>
      <c r="D104" s="11">
        <f>IF(AND(A104-'Outil Cibles'!$F$7&lt;=60,A104-'Outil Cibles'!$F$7&gt;=0), 'Outil Cibles'!$F$17, 0)</f>
        <v>6.6208262323138225</v>
      </c>
      <c r="E104" s="11">
        <f>IF(AND(A104-'Outil Cibles'!$G$7&lt;=60,A104-'Outil Cibles'!$G$7&gt;=0), 'Outil Cibles'!$G$17, 0)</f>
        <v>5.3823222388442451</v>
      </c>
      <c r="F104" s="11">
        <f>IF(AND(A104-'Outil Cibles'!$H$7&lt;=60,A104-'Outil Cibles'!$H$7&gt;=0), 'Outil Cibles'!$H$17, 0)</f>
        <v>4.6974836188392803</v>
      </c>
      <c r="G104" s="11">
        <f>IF(AND(A104-'Outil Cibles'!$I$7&lt;=60,A104-'Outil Cibles'!$I$7&gt;=0), 'Outil Cibles'!$I$17, 0)</f>
        <v>0</v>
      </c>
      <c r="H104" s="11">
        <f>IF(AND(A104-'Outil Cibles'!$J$7&lt;=60,A104-'Outil Cibles'!$J$7&gt;=0), 'Outil Cibles'!$J$17, 0)</f>
        <v>0</v>
      </c>
      <c r="L104" s="11">
        <f t="shared" si="4"/>
        <v>33.155316801177321</v>
      </c>
      <c r="N104">
        <v>2039</v>
      </c>
      <c r="O104" s="11">
        <f>IF(AND(N104-'Outil Cibles'!$Q$7&lt;=60,N104-'Outil Cibles'!$Q$7&gt;=0), 'Outil Cibles'!$Q$17, 0)</f>
        <v>9.2209307000221994</v>
      </c>
      <c r="P104" s="11">
        <f>IF(AND(N104-'Outil Cibles'!$R$7&lt;=60,N104-'Outil Cibles'!$R$7&gt;=0), 'Outil Cibles'!$R$17, 0)</f>
        <v>7.8928860244932029</v>
      </c>
      <c r="Q104" s="11">
        <f>IF(AND(N104-'Outil Cibles'!$S$7&lt;=60,N104-'Outil Cibles'!$S$7&gt;=0), 'Outil Cibles'!$S$17, 0)</f>
        <v>5.7861034181094277</v>
      </c>
      <c r="R104" s="11">
        <f>IF(AND(N104-'Outil Cibles'!$T$7&lt;=60,N104-'Outil Cibles'!$T$7&gt;=0), 'Outil Cibles'!$T$17, 0)</f>
        <v>3.9285483356528981</v>
      </c>
      <c r="S104" s="11">
        <f>IF(AND(N104-'Outil Cibles'!$U$7&lt;=60,N104-'Outil Cibles'!$U$7&gt;=0), 'Outil Cibles'!$U$17, 0)</f>
        <v>3.1156336157567535</v>
      </c>
      <c r="T104" s="11">
        <f>IF(AND(N104-'Outil Cibles'!$V$7&lt;=60,N104-'Outil Cibles'!$V$7&gt;=0), 'Outil Cibles'!$V$17, 0)</f>
        <v>0</v>
      </c>
      <c r="U104" s="11">
        <f>IF(AND(N104-'Outil Cibles'!$W$7&lt;=60,N104-'Outil Cibles'!$W$7&gt;=0), 'Outil Cibles'!$W$17, 0)</f>
        <v>0</v>
      </c>
      <c r="V104" s="11">
        <f>IF(AND(N104-'Outil Cibles'!$X$7&lt;=60,N104-'Outil Cibles'!$X$7&gt;=0), 'Outil Cibles'!$X$17, 0)</f>
        <v>0</v>
      </c>
      <c r="W104" s="11">
        <f>IF(AND(N104-'Outil Cibles'!$Y$7&lt;=60,N104-'Outil Cibles'!$Y$7&gt;=0), 'Outil Cibles'!$Y$17, 0)</f>
        <v>0</v>
      </c>
      <c r="X104" s="11">
        <f>IF(AND(N104-'Outil Cibles'!$Z$7&lt;=60,N104-'Outil Cibles'!$Z$7&gt;=0), 'Outil Cibles'!$Z$17, 0)</f>
        <v>0</v>
      </c>
      <c r="Y104" s="11">
        <f t="shared" si="5"/>
        <v>29.944102094034481</v>
      </c>
    </row>
    <row r="105" spans="1:25" x14ac:dyDescent="0.3">
      <c r="A105" s="10">
        <v>2040</v>
      </c>
      <c r="B105" s="11">
        <f>IF(AND(A105-'Outil Cibles'!$D$7&lt;=60,A105-'Outil Cibles'!$D$7&gt;=0), 'Outil Cibles'!$D$17, 0)</f>
        <v>8.7624493817977029</v>
      </c>
      <c r="C105" s="11">
        <f>IF(AND(A105-'Outil Cibles'!$E$7&lt;=60,A105-'Outil Cibles'!$E$7&gt;=0), 'Outil Cibles'!$E$17, 0)</f>
        <v>7.6922353293822718</v>
      </c>
      <c r="D105" s="11">
        <f>IF(AND(A105-'Outil Cibles'!$F$7&lt;=60,A105-'Outil Cibles'!$F$7&gt;=0), 'Outil Cibles'!$F$17, 0)</f>
        <v>6.6208262323138225</v>
      </c>
      <c r="E105" s="11">
        <f>IF(AND(A105-'Outil Cibles'!$G$7&lt;=60,A105-'Outil Cibles'!$G$7&gt;=0), 'Outil Cibles'!$G$17, 0)</f>
        <v>5.3823222388442451</v>
      </c>
      <c r="F105" s="11">
        <f>IF(AND(A105-'Outil Cibles'!$H$7&lt;=60,A105-'Outil Cibles'!$H$7&gt;=0), 'Outil Cibles'!$H$17, 0)</f>
        <v>4.6974836188392803</v>
      </c>
      <c r="G105" s="11">
        <f>IF(AND(A105-'Outil Cibles'!$I$7&lt;=60,A105-'Outil Cibles'!$I$7&gt;=0), 'Outil Cibles'!$I$17, 0)</f>
        <v>4.2500459859961417</v>
      </c>
      <c r="H105" s="11">
        <f>IF(AND(A105-'Outil Cibles'!$J$7&lt;=60,A105-'Outil Cibles'!$J$7&gt;=0), 'Outil Cibles'!$J$17, 0)</f>
        <v>0</v>
      </c>
      <c r="L105" s="11">
        <f t="shared" si="4"/>
        <v>37.405362787173459</v>
      </c>
      <c r="N105" s="10">
        <v>2040</v>
      </c>
      <c r="O105" s="11">
        <f>IF(AND(N105-'Outil Cibles'!$Q$7&lt;=60,N105-'Outil Cibles'!$Q$7&gt;=0), 'Outil Cibles'!$Q$17, 0)</f>
        <v>9.2209307000221994</v>
      </c>
      <c r="P105" s="11">
        <f>IF(AND(N105-'Outil Cibles'!$R$7&lt;=60,N105-'Outil Cibles'!$R$7&gt;=0), 'Outil Cibles'!$R$17, 0)</f>
        <v>7.8928860244932029</v>
      </c>
      <c r="Q105" s="11">
        <f>IF(AND(N105-'Outil Cibles'!$S$7&lt;=60,N105-'Outil Cibles'!$S$7&gt;=0), 'Outil Cibles'!$S$17, 0)</f>
        <v>5.7861034181094277</v>
      </c>
      <c r="R105" s="11">
        <f>IF(AND(N105-'Outil Cibles'!$T$7&lt;=60,N105-'Outil Cibles'!$T$7&gt;=0), 'Outil Cibles'!$T$17, 0)</f>
        <v>3.9285483356528981</v>
      </c>
      <c r="S105" s="11">
        <f>IF(AND(N105-'Outil Cibles'!$U$7&lt;=60,N105-'Outil Cibles'!$U$7&gt;=0), 'Outil Cibles'!$U$17, 0)</f>
        <v>3.1156336157567535</v>
      </c>
      <c r="T105" s="11">
        <f>IF(AND(N105-'Outil Cibles'!$V$7&lt;=60,N105-'Outil Cibles'!$V$7&gt;=0), 'Outil Cibles'!$V$17, 0)</f>
        <v>2.6699626409394961</v>
      </c>
      <c r="U105" s="11">
        <f>IF(AND(N105-'Outil Cibles'!$W$7&lt;=60,N105-'Outil Cibles'!$W$7&gt;=0), 'Outil Cibles'!$W$17, 0)</f>
        <v>0</v>
      </c>
      <c r="V105" s="11">
        <f>IF(AND(N105-'Outil Cibles'!$X$7&lt;=60,N105-'Outil Cibles'!$X$7&gt;=0), 'Outil Cibles'!$X$17, 0)</f>
        <v>0</v>
      </c>
      <c r="W105" s="11">
        <f>IF(AND(N105-'Outil Cibles'!$Y$7&lt;=60,N105-'Outil Cibles'!$Y$7&gt;=0), 'Outil Cibles'!$Y$17, 0)</f>
        <v>0</v>
      </c>
      <c r="X105" s="11">
        <f>IF(AND(N105-'Outil Cibles'!$Z$7&lt;=60,N105-'Outil Cibles'!$Z$7&gt;=0), 'Outil Cibles'!$Z$17, 0)</f>
        <v>0</v>
      </c>
      <c r="Y105" s="11">
        <f t="shared" si="5"/>
        <v>32.614064734973979</v>
      </c>
    </row>
    <row r="106" spans="1:25" x14ac:dyDescent="0.3">
      <c r="A106">
        <v>2041</v>
      </c>
      <c r="B106" s="11">
        <f>IF(AND(A106-'Outil Cibles'!$D$7&lt;=60,A106-'Outil Cibles'!$D$7&gt;=0), 'Outil Cibles'!$D$17, 0)</f>
        <v>8.7624493817977029</v>
      </c>
      <c r="C106" s="11">
        <f>IF(AND(A106-'Outil Cibles'!$E$7&lt;=60,A106-'Outil Cibles'!$E$7&gt;=0), 'Outil Cibles'!$E$17, 0)</f>
        <v>7.6922353293822718</v>
      </c>
      <c r="D106" s="11">
        <f>IF(AND(A106-'Outil Cibles'!$F$7&lt;=60,A106-'Outil Cibles'!$F$7&gt;=0), 'Outil Cibles'!$F$17, 0)</f>
        <v>6.6208262323138225</v>
      </c>
      <c r="E106" s="11">
        <f>IF(AND(A106-'Outil Cibles'!$G$7&lt;=60,A106-'Outil Cibles'!$G$7&gt;=0), 'Outil Cibles'!$G$17, 0)</f>
        <v>5.3823222388442451</v>
      </c>
      <c r="F106" s="11">
        <f>IF(AND(A106-'Outil Cibles'!$H$7&lt;=60,A106-'Outil Cibles'!$H$7&gt;=0), 'Outil Cibles'!$H$17, 0)</f>
        <v>4.6974836188392803</v>
      </c>
      <c r="G106" s="11">
        <f>IF(AND(A106-'Outil Cibles'!$I$7&lt;=60,A106-'Outil Cibles'!$I$7&gt;=0), 'Outil Cibles'!$I$17, 0)</f>
        <v>4.2500459859961417</v>
      </c>
      <c r="H106" s="11">
        <f>IF(AND(A106-'Outil Cibles'!$J$7&lt;=60,A106-'Outil Cibles'!$J$7&gt;=0), 'Outil Cibles'!$J$17, 0)</f>
        <v>0</v>
      </c>
      <c r="L106" s="11">
        <f t="shared" si="4"/>
        <v>37.405362787173459</v>
      </c>
      <c r="N106">
        <v>2041</v>
      </c>
      <c r="O106" s="11">
        <f>IF(AND(N106-'Outil Cibles'!$Q$7&lt;=60,N106-'Outil Cibles'!$Q$7&gt;=0), 'Outil Cibles'!$Q$17, 0)</f>
        <v>9.2209307000221994</v>
      </c>
      <c r="P106" s="11">
        <f>IF(AND(N106-'Outil Cibles'!$R$7&lt;=60,N106-'Outil Cibles'!$R$7&gt;=0), 'Outil Cibles'!$R$17, 0)</f>
        <v>7.8928860244932029</v>
      </c>
      <c r="Q106" s="11">
        <f>IF(AND(N106-'Outil Cibles'!$S$7&lt;=60,N106-'Outil Cibles'!$S$7&gt;=0), 'Outil Cibles'!$S$17, 0)</f>
        <v>5.7861034181094277</v>
      </c>
      <c r="R106" s="11">
        <f>IF(AND(N106-'Outil Cibles'!$T$7&lt;=60,N106-'Outil Cibles'!$T$7&gt;=0), 'Outil Cibles'!$T$17, 0)</f>
        <v>3.9285483356528981</v>
      </c>
      <c r="S106" s="11">
        <f>IF(AND(N106-'Outil Cibles'!$U$7&lt;=60,N106-'Outil Cibles'!$U$7&gt;=0), 'Outil Cibles'!$U$17, 0)</f>
        <v>3.1156336157567535</v>
      </c>
      <c r="T106" s="11">
        <f>IF(AND(N106-'Outil Cibles'!$V$7&lt;=60,N106-'Outil Cibles'!$V$7&gt;=0), 'Outil Cibles'!$V$17, 0)</f>
        <v>2.6699626409394961</v>
      </c>
      <c r="U106" s="11">
        <f>IF(AND(N106-'Outil Cibles'!$W$7&lt;=60,N106-'Outil Cibles'!$W$7&gt;=0), 'Outil Cibles'!$W$17, 0)</f>
        <v>0</v>
      </c>
      <c r="V106" s="11">
        <f>IF(AND(N106-'Outil Cibles'!$X$7&lt;=60,N106-'Outil Cibles'!$X$7&gt;=0), 'Outil Cibles'!$X$17, 0)</f>
        <v>0</v>
      </c>
      <c r="W106" s="11">
        <f>IF(AND(N106-'Outil Cibles'!$Y$7&lt;=60,N106-'Outil Cibles'!$Y$7&gt;=0), 'Outil Cibles'!$Y$17, 0)</f>
        <v>0</v>
      </c>
      <c r="X106" s="11">
        <f>IF(AND(N106-'Outil Cibles'!$Z$7&lt;=60,N106-'Outil Cibles'!$Z$7&gt;=0), 'Outil Cibles'!$Z$17, 0)</f>
        <v>0</v>
      </c>
      <c r="Y106" s="11">
        <f t="shared" si="5"/>
        <v>32.614064734973979</v>
      </c>
    </row>
    <row r="107" spans="1:25" x14ac:dyDescent="0.3">
      <c r="A107">
        <v>2042</v>
      </c>
      <c r="B107" s="11">
        <f>IF(AND(A107-'Outil Cibles'!$D$7&lt;=60,A107-'Outil Cibles'!$D$7&gt;=0), 'Outil Cibles'!$D$17, 0)</f>
        <v>8.7624493817977029</v>
      </c>
      <c r="C107" s="11">
        <f>IF(AND(A107-'Outil Cibles'!$E$7&lt;=60,A107-'Outil Cibles'!$E$7&gt;=0), 'Outil Cibles'!$E$17, 0)</f>
        <v>7.6922353293822718</v>
      </c>
      <c r="D107" s="11">
        <f>IF(AND(A107-'Outil Cibles'!$F$7&lt;=60,A107-'Outil Cibles'!$F$7&gt;=0), 'Outil Cibles'!$F$17, 0)</f>
        <v>6.6208262323138225</v>
      </c>
      <c r="E107" s="11">
        <f>IF(AND(A107-'Outil Cibles'!$G$7&lt;=60,A107-'Outil Cibles'!$G$7&gt;=0), 'Outil Cibles'!$G$17, 0)</f>
        <v>5.3823222388442451</v>
      </c>
      <c r="F107" s="11">
        <f>IF(AND(A107-'Outil Cibles'!$H$7&lt;=60,A107-'Outil Cibles'!$H$7&gt;=0), 'Outil Cibles'!$H$17, 0)</f>
        <v>4.6974836188392803</v>
      </c>
      <c r="G107" s="11">
        <f>IF(AND(A107-'Outil Cibles'!$I$7&lt;=60,A107-'Outil Cibles'!$I$7&gt;=0), 'Outil Cibles'!$I$17, 0)</f>
        <v>4.2500459859961417</v>
      </c>
      <c r="H107" s="11">
        <f>IF(AND(A107-'Outil Cibles'!$J$7&lt;=60,A107-'Outil Cibles'!$J$7&gt;=0), 'Outil Cibles'!$J$17, 0)</f>
        <v>3.8781564147749821</v>
      </c>
      <c r="L107" s="11">
        <f t="shared" si="4"/>
        <v>41.283519201948444</v>
      </c>
      <c r="N107">
        <v>2042</v>
      </c>
      <c r="O107" s="11">
        <f>IF(AND(N107-'Outil Cibles'!$Q$7&lt;=60,N107-'Outil Cibles'!$Q$7&gt;=0), 'Outil Cibles'!$Q$17, 0)</f>
        <v>9.2209307000221994</v>
      </c>
      <c r="P107" s="11">
        <f>IF(AND(N107-'Outil Cibles'!$R$7&lt;=60,N107-'Outil Cibles'!$R$7&gt;=0), 'Outil Cibles'!$R$17, 0)</f>
        <v>7.8928860244932029</v>
      </c>
      <c r="Q107" s="11">
        <f>IF(AND(N107-'Outil Cibles'!$S$7&lt;=60,N107-'Outil Cibles'!$S$7&gt;=0), 'Outil Cibles'!$S$17, 0)</f>
        <v>5.7861034181094277</v>
      </c>
      <c r="R107" s="11">
        <f>IF(AND(N107-'Outil Cibles'!$T$7&lt;=60,N107-'Outil Cibles'!$T$7&gt;=0), 'Outil Cibles'!$T$17, 0)</f>
        <v>3.9285483356528981</v>
      </c>
      <c r="S107" s="11">
        <f>IF(AND(N107-'Outil Cibles'!$U$7&lt;=60,N107-'Outil Cibles'!$U$7&gt;=0), 'Outil Cibles'!$U$17, 0)</f>
        <v>3.1156336157567535</v>
      </c>
      <c r="T107" s="11">
        <f>IF(AND(N107-'Outil Cibles'!$V$7&lt;=60,N107-'Outil Cibles'!$V$7&gt;=0), 'Outil Cibles'!$V$17, 0)</f>
        <v>2.6699626409394961</v>
      </c>
      <c r="U107" s="11">
        <f>IF(AND(N107-'Outil Cibles'!$W$7&lt;=60,N107-'Outil Cibles'!$W$7&gt;=0), 'Outil Cibles'!$W$17, 0)</f>
        <v>2.2883803860824354</v>
      </c>
      <c r="V107" s="11">
        <f>IF(AND(N107-'Outil Cibles'!$X$7&lt;=60,N107-'Outil Cibles'!$X$7&gt;=0), 'Outil Cibles'!$X$17, 0)</f>
        <v>0</v>
      </c>
      <c r="W107" s="11">
        <f>IF(AND(N107-'Outil Cibles'!$Y$7&lt;=60,N107-'Outil Cibles'!$Y$7&gt;=0), 'Outil Cibles'!$Y$17, 0)</f>
        <v>0</v>
      </c>
      <c r="X107" s="11">
        <f>IF(AND(N107-'Outil Cibles'!$Z$7&lt;=60,N107-'Outil Cibles'!$Z$7&gt;=0), 'Outil Cibles'!$Z$17, 0)</f>
        <v>0</v>
      </c>
      <c r="Y107" s="11">
        <f t="shared" si="5"/>
        <v>34.902445121056417</v>
      </c>
    </row>
    <row r="108" spans="1:25" x14ac:dyDescent="0.3">
      <c r="A108">
        <v>2043</v>
      </c>
      <c r="B108" s="11">
        <f>IF(AND(A108-'Outil Cibles'!$D$7&lt;=60,A108-'Outil Cibles'!$D$7&gt;=0), 'Outil Cibles'!$D$17, 0)</f>
        <v>8.7624493817977029</v>
      </c>
      <c r="C108" s="11">
        <f>IF(AND(A108-'Outil Cibles'!$E$7&lt;=60,A108-'Outil Cibles'!$E$7&gt;=0), 'Outil Cibles'!$E$17, 0)</f>
        <v>7.6922353293822718</v>
      </c>
      <c r="D108" s="11">
        <f>IF(AND(A108-'Outil Cibles'!$F$7&lt;=60,A108-'Outil Cibles'!$F$7&gt;=0), 'Outil Cibles'!$F$17, 0)</f>
        <v>6.6208262323138225</v>
      </c>
      <c r="E108" s="11">
        <f>IF(AND(A108-'Outil Cibles'!$G$7&lt;=60,A108-'Outil Cibles'!$G$7&gt;=0), 'Outil Cibles'!$G$17, 0)</f>
        <v>5.3823222388442451</v>
      </c>
      <c r="F108" s="11">
        <f>IF(AND(A108-'Outil Cibles'!$H$7&lt;=60,A108-'Outil Cibles'!$H$7&gt;=0), 'Outil Cibles'!$H$17, 0)</f>
        <v>4.6974836188392803</v>
      </c>
      <c r="G108" s="11">
        <f>IF(AND(A108-'Outil Cibles'!$I$7&lt;=60,A108-'Outil Cibles'!$I$7&gt;=0), 'Outil Cibles'!$I$17, 0)</f>
        <v>4.2500459859961417</v>
      </c>
      <c r="H108" s="11">
        <f>IF(AND(A108-'Outil Cibles'!$J$7&lt;=60,A108-'Outil Cibles'!$J$7&gt;=0), 'Outil Cibles'!$J$17, 0)</f>
        <v>3.8781564147749821</v>
      </c>
      <c r="L108" s="11">
        <f t="shared" si="4"/>
        <v>41.283519201948444</v>
      </c>
      <c r="N108">
        <v>2043</v>
      </c>
      <c r="O108" s="11">
        <f>IF(AND(N108-'Outil Cibles'!$Q$7&lt;=60,N108-'Outil Cibles'!$Q$7&gt;=0), 'Outil Cibles'!$Q$17, 0)</f>
        <v>9.2209307000221994</v>
      </c>
      <c r="P108" s="11">
        <f>IF(AND(N108-'Outil Cibles'!$R$7&lt;=60,N108-'Outil Cibles'!$R$7&gt;=0), 'Outil Cibles'!$R$17, 0)</f>
        <v>7.8928860244932029</v>
      </c>
      <c r="Q108" s="11">
        <f>IF(AND(N108-'Outil Cibles'!$S$7&lt;=60,N108-'Outil Cibles'!$S$7&gt;=0), 'Outil Cibles'!$S$17, 0)</f>
        <v>5.7861034181094277</v>
      </c>
      <c r="R108" s="11">
        <f>IF(AND(N108-'Outil Cibles'!$T$7&lt;=60,N108-'Outil Cibles'!$T$7&gt;=0), 'Outil Cibles'!$T$17, 0)</f>
        <v>3.9285483356528981</v>
      </c>
      <c r="S108" s="11">
        <f>IF(AND(N108-'Outil Cibles'!$U$7&lt;=60,N108-'Outil Cibles'!$U$7&gt;=0), 'Outil Cibles'!$U$17, 0)</f>
        <v>3.1156336157567535</v>
      </c>
      <c r="T108" s="11">
        <f>IF(AND(N108-'Outil Cibles'!$V$7&lt;=60,N108-'Outil Cibles'!$V$7&gt;=0), 'Outil Cibles'!$V$17, 0)</f>
        <v>2.6699626409394961</v>
      </c>
      <c r="U108" s="11">
        <f>IF(AND(N108-'Outil Cibles'!$W$7&lt;=60,N108-'Outil Cibles'!$W$7&gt;=0), 'Outil Cibles'!$W$17, 0)</f>
        <v>2.2883803860824354</v>
      </c>
      <c r="V108" s="11">
        <f>IF(AND(N108-'Outil Cibles'!$X$7&lt;=60,N108-'Outil Cibles'!$X$7&gt;=0), 'Outil Cibles'!$X$17, 0)</f>
        <v>0</v>
      </c>
      <c r="W108" s="11">
        <f>IF(AND(N108-'Outil Cibles'!$Y$7&lt;=60,N108-'Outil Cibles'!$Y$7&gt;=0), 'Outil Cibles'!$Y$17, 0)</f>
        <v>0</v>
      </c>
      <c r="X108" s="11">
        <f>IF(AND(N108-'Outil Cibles'!$Z$7&lt;=60,N108-'Outil Cibles'!$Z$7&gt;=0), 'Outil Cibles'!$Z$17, 0)</f>
        <v>0</v>
      </c>
      <c r="Y108" s="11">
        <f t="shared" si="5"/>
        <v>34.902445121056417</v>
      </c>
    </row>
    <row r="109" spans="1:25" x14ac:dyDescent="0.3">
      <c r="A109">
        <v>2044</v>
      </c>
      <c r="B109" s="11">
        <f>IF(AND(A109-'Outil Cibles'!$D$7&lt;=60,A109-'Outil Cibles'!$D$7&gt;=0), 'Outil Cibles'!$D$17, 0)</f>
        <v>8.7624493817977029</v>
      </c>
      <c r="C109" s="11">
        <f>IF(AND(A109-'Outil Cibles'!$E$7&lt;=60,A109-'Outil Cibles'!$E$7&gt;=0), 'Outil Cibles'!$E$17, 0)</f>
        <v>7.6922353293822718</v>
      </c>
      <c r="D109" s="11">
        <f>IF(AND(A109-'Outil Cibles'!$F$7&lt;=60,A109-'Outil Cibles'!$F$7&gt;=0), 'Outil Cibles'!$F$17, 0)</f>
        <v>6.6208262323138225</v>
      </c>
      <c r="E109" s="11">
        <f>IF(AND(A109-'Outil Cibles'!$G$7&lt;=60,A109-'Outil Cibles'!$G$7&gt;=0), 'Outil Cibles'!$G$17, 0)</f>
        <v>5.3823222388442451</v>
      </c>
      <c r="F109" s="11">
        <f>IF(AND(A109-'Outil Cibles'!$H$7&lt;=60,A109-'Outil Cibles'!$H$7&gt;=0), 'Outil Cibles'!$H$17, 0)</f>
        <v>4.6974836188392803</v>
      </c>
      <c r="G109" s="11">
        <f>IF(AND(A109-'Outil Cibles'!$I$7&lt;=60,A109-'Outil Cibles'!$I$7&gt;=0), 'Outil Cibles'!$I$17, 0)</f>
        <v>4.2500459859961417</v>
      </c>
      <c r="H109" s="11">
        <f>IF(AND(A109-'Outil Cibles'!$J$7&lt;=60,A109-'Outil Cibles'!$J$7&gt;=0), 'Outil Cibles'!$J$17, 0)</f>
        <v>3.8781564147749821</v>
      </c>
      <c r="L109" s="11">
        <f t="shared" si="4"/>
        <v>41.283519201948444</v>
      </c>
      <c r="N109">
        <v>2044</v>
      </c>
      <c r="O109" s="11">
        <f>IF(AND(N109-'Outil Cibles'!$Q$7&lt;=60,N109-'Outil Cibles'!$Q$7&gt;=0), 'Outil Cibles'!$Q$17, 0)</f>
        <v>9.2209307000221994</v>
      </c>
      <c r="P109" s="11">
        <f>IF(AND(N109-'Outil Cibles'!$R$7&lt;=60,N109-'Outil Cibles'!$R$7&gt;=0), 'Outil Cibles'!$R$17, 0)</f>
        <v>7.8928860244932029</v>
      </c>
      <c r="Q109" s="11">
        <f>IF(AND(N109-'Outil Cibles'!$S$7&lt;=60,N109-'Outil Cibles'!$S$7&gt;=0), 'Outil Cibles'!$S$17, 0)</f>
        <v>5.7861034181094277</v>
      </c>
      <c r="R109" s="11">
        <f>IF(AND(N109-'Outil Cibles'!$T$7&lt;=60,N109-'Outil Cibles'!$T$7&gt;=0), 'Outil Cibles'!$T$17, 0)</f>
        <v>3.9285483356528981</v>
      </c>
      <c r="S109" s="11">
        <f>IF(AND(N109-'Outil Cibles'!$U$7&lt;=60,N109-'Outil Cibles'!$U$7&gt;=0), 'Outil Cibles'!$U$17, 0)</f>
        <v>3.1156336157567535</v>
      </c>
      <c r="T109" s="11">
        <f>IF(AND(N109-'Outil Cibles'!$V$7&lt;=60,N109-'Outil Cibles'!$V$7&gt;=0), 'Outil Cibles'!$V$17, 0)</f>
        <v>2.6699626409394961</v>
      </c>
      <c r="U109" s="11">
        <f>IF(AND(N109-'Outil Cibles'!$W$7&lt;=60,N109-'Outil Cibles'!$W$7&gt;=0), 'Outil Cibles'!$W$17, 0)</f>
        <v>2.2883803860824354</v>
      </c>
      <c r="V109" s="11">
        <f>IF(AND(N109-'Outil Cibles'!$X$7&lt;=60,N109-'Outil Cibles'!$X$7&gt;=0), 'Outil Cibles'!$X$17, 0)</f>
        <v>1.9616157649480985</v>
      </c>
      <c r="W109" s="11">
        <f>IF(AND(N109-'Outil Cibles'!$Y$7&lt;=60,N109-'Outil Cibles'!$Y$7&gt;=0), 'Outil Cibles'!$Y$17, 0)</f>
        <v>0</v>
      </c>
      <c r="X109" s="11">
        <f>IF(AND(N109-'Outil Cibles'!$Z$7&lt;=60,N109-'Outil Cibles'!$Z$7&gt;=0), 'Outil Cibles'!$Z$17, 0)</f>
        <v>0</v>
      </c>
      <c r="Y109" s="11">
        <f t="shared" si="5"/>
        <v>36.864060886004516</v>
      </c>
    </row>
    <row r="110" spans="1:25" x14ac:dyDescent="0.3">
      <c r="A110" s="10">
        <v>2045</v>
      </c>
      <c r="B110" s="11">
        <f>IF(AND(A110-'Outil Cibles'!$D$7&lt;=60,A110-'Outil Cibles'!$D$7&gt;=0), 'Outil Cibles'!$D$17, 0)</f>
        <v>8.7624493817977029</v>
      </c>
      <c r="C110" s="11">
        <f>IF(AND(A110-'Outil Cibles'!$E$7&lt;=60,A110-'Outil Cibles'!$E$7&gt;=0), 'Outil Cibles'!$E$17, 0)</f>
        <v>7.6922353293822718</v>
      </c>
      <c r="D110" s="11">
        <f>IF(AND(A110-'Outil Cibles'!$F$7&lt;=60,A110-'Outil Cibles'!$F$7&gt;=0), 'Outil Cibles'!$F$17, 0)</f>
        <v>6.6208262323138225</v>
      </c>
      <c r="E110" s="11">
        <f>IF(AND(A110-'Outil Cibles'!$G$7&lt;=60,A110-'Outil Cibles'!$G$7&gt;=0), 'Outil Cibles'!$G$17, 0)</f>
        <v>5.3823222388442451</v>
      </c>
      <c r="F110" s="11">
        <f>IF(AND(A110-'Outil Cibles'!$H$7&lt;=60,A110-'Outil Cibles'!$H$7&gt;=0), 'Outil Cibles'!$H$17, 0)</f>
        <v>4.6974836188392803</v>
      </c>
      <c r="G110" s="11">
        <f>IF(AND(A110-'Outil Cibles'!$I$7&lt;=60,A110-'Outil Cibles'!$I$7&gt;=0), 'Outil Cibles'!$I$17, 0)</f>
        <v>4.2500459859961417</v>
      </c>
      <c r="H110" s="11">
        <f>IF(AND(A110-'Outil Cibles'!$J$7&lt;=60,A110-'Outil Cibles'!$J$7&gt;=0), 'Outil Cibles'!$J$17, 0)</f>
        <v>3.8781564147749821</v>
      </c>
      <c r="L110" s="11">
        <f t="shared" si="4"/>
        <v>41.283519201948444</v>
      </c>
      <c r="N110" s="10">
        <v>2045</v>
      </c>
      <c r="O110" s="11">
        <f>IF(AND(N110-'Outil Cibles'!$Q$7&lt;=60,N110-'Outil Cibles'!$Q$7&gt;=0), 'Outil Cibles'!$Q$17, 0)</f>
        <v>9.2209307000221994</v>
      </c>
      <c r="P110" s="11">
        <f>IF(AND(N110-'Outil Cibles'!$R$7&lt;=60,N110-'Outil Cibles'!$R$7&gt;=0), 'Outil Cibles'!$R$17, 0)</f>
        <v>7.8928860244932029</v>
      </c>
      <c r="Q110" s="11">
        <f>IF(AND(N110-'Outil Cibles'!$S$7&lt;=60,N110-'Outil Cibles'!$S$7&gt;=0), 'Outil Cibles'!$S$17, 0)</f>
        <v>5.7861034181094277</v>
      </c>
      <c r="R110" s="11">
        <f>IF(AND(N110-'Outil Cibles'!$T$7&lt;=60,N110-'Outil Cibles'!$T$7&gt;=0), 'Outil Cibles'!$T$17, 0)</f>
        <v>3.9285483356528981</v>
      </c>
      <c r="S110" s="11">
        <f>IF(AND(N110-'Outil Cibles'!$U$7&lt;=60,N110-'Outil Cibles'!$U$7&gt;=0), 'Outil Cibles'!$U$17, 0)</f>
        <v>3.1156336157567535</v>
      </c>
      <c r="T110" s="11">
        <f>IF(AND(N110-'Outil Cibles'!$V$7&lt;=60,N110-'Outil Cibles'!$V$7&gt;=0), 'Outil Cibles'!$V$17, 0)</f>
        <v>2.6699626409394961</v>
      </c>
      <c r="U110" s="11">
        <f>IF(AND(N110-'Outil Cibles'!$W$7&lt;=60,N110-'Outil Cibles'!$W$7&gt;=0), 'Outil Cibles'!$W$17, 0)</f>
        <v>2.2883803860824354</v>
      </c>
      <c r="V110" s="11">
        <f>IF(AND(N110-'Outil Cibles'!$X$7&lt;=60,N110-'Outil Cibles'!$X$7&gt;=0), 'Outil Cibles'!$X$17, 0)</f>
        <v>1.9616157649480985</v>
      </c>
      <c r="W110" s="11">
        <f>IF(AND(N110-'Outil Cibles'!$Y$7&lt;=60,N110-'Outil Cibles'!$Y$7&gt;=0), 'Outil Cibles'!$Y$17, 0)</f>
        <v>0</v>
      </c>
      <c r="X110" s="11">
        <f>IF(AND(N110-'Outil Cibles'!$Z$7&lt;=60,N110-'Outil Cibles'!$Z$7&gt;=0), 'Outil Cibles'!$Z$17, 0)</f>
        <v>0</v>
      </c>
      <c r="Y110" s="11">
        <f t="shared" si="5"/>
        <v>36.864060886004516</v>
      </c>
    </row>
    <row r="111" spans="1:25" x14ac:dyDescent="0.3">
      <c r="A111">
        <v>2046</v>
      </c>
      <c r="B111" s="11">
        <f>IF(AND(A111-'Outil Cibles'!$D$7&lt;=60,A111-'Outil Cibles'!$D$7&gt;=0), 'Outil Cibles'!$D$17, 0)</f>
        <v>8.7624493817977029</v>
      </c>
      <c r="C111" s="11">
        <f>IF(AND(A111-'Outil Cibles'!$E$7&lt;=60,A111-'Outil Cibles'!$E$7&gt;=0), 'Outil Cibles'!$E$17, 0)</f>
        <v>7.6922353293822718</v>
      </c>
      <c r="D111" s="11">
        <f>IF(AND(A111-'Outil Cibles'!$F$7&lt;=60,A111-'Outil Cibles'!$F$7&gt;=0), 'Outil Cibles'!$F$17, 0)</f>
        <v>6.6208262323138225</v>
      </c>
      <c r="E111" s="11">
        <f>IF(AND(A111-'Outil Cibles'!$G$7&lt;=60,A111-'Outil Cibles'!$G$7&gt;=0), 'Outil Cibles'!$G$17, 0)</f>
        <v>5.3823222388442451</v>
      </c>
      <c r="F111" s="11">
        <f>IF(AND(A111-'Outil Cibles'!$H$7&lt;=60,A111-'Outil Cibles'!$H$7&gt;=0), 'Outil Cibles'!$H$17, 0)</f>
        <v>4.6974836188392803</v>
      </c>
      <c r="G111" s="11">
        <f>IF(AND(A111-'Outil Cibles'!$I$7&lt;=60,A111-'Outil Cibles'!$I$7&gt;=0), 'Outil Cibles'!$I$17, 0)</f>
        <v>4.2500459859961417</v>
      </c>
      <c r="H111" s="11">
        <f>IF(AND(A111-'Outil Cibles'!$J$7&lt;=60,A111-'Outil Cibles'!$J$7&gt;=0), 'Outil Cibles'!$J$17, 0)</f>
        <v>3.8781564147749821</v>
      </c>
      <c r="L111" s="11">
        <f t="shared" si="4"/>
        <v>41.283519201948444</v>
      </c>
      <c r="N111">
        <v>2046</v>
      </c>
      <c r="O111" s="11">
        <f>IF(AND(N111-'Outil Cibles'!$Q$7&lt;=60,N111-'Outil Cibles'!$Q$7&gt;=0), 'Outil Cibles'!$Q$17, 0)</f>
        <v>9.2209307000221994</v>
      </c>
      <c r="P111" s="11">
        <f>IF(AND(N111-'Outil Cibles'!$R$7&lt;=60,N111-'Outil Cibles'!$R$7&gt;=0), 'Outil Cibles'!$R$17, 0)</f>
        <v>7.8928860244932029</v>
      </c>
      <c r="Q111" s="11">
        <f>IF(AND(N111-'Outil Cibles'!$S$7&lt;=60,N111-'Outil Cibles'!$S$7&gt;=0), 'Outil Cibles'!$S$17, 0)</f>
        <v>5.7861034181094277</v>
      </c>
      <c r="R111" s="11">
        <f>IF(AND(N111-'Outil Cibles'!$T$7&lt;=60,N111-'Outil Cibles'!$T$7&gt;=0), 'Outil Cibles'!$T$17, 0)</f>
        <v>3.9285483356528981</v>
      </c>
      <c r="S111" s="11">
        <f>IF(AND(N111-'Outil Cibles'!$U$7&lt;=60,N111-'Outil Cibles'!$U$7&gt;=0), 'Outil Cibles'!$U$17, 0)</f>
        <v>3.1156336157567535</v>
      </c>
      <c r="T111" s="11">
        <f>IF(AND(N111-'Outil Cibles'!$V$7&lt;=60,N111-'Outil Cibles'!$V$7&gt;=0), 'Outil Cibles'!$V$17, 0)</f>
        <v>2.6699626409394961</v>
      </c>
      <c r="U111" s="11">
        <f>IF(AND(N111-'Outil Cibles'!$W$7&lt;=60,N111-'Outil Cibles'!$W$7&gt;=0), 'Outil Cibles'!$W$17, 0)</f>
        <v>2.2883803860824354</v>
      </c>
      <c r="V111" s="11">
        <f>IF(AND(N111-'Outil Cibles'!$X$7&lt;=60,N111-'Outil Cibles'!$X$7&gt;=0), 'Outil Cibles'!$X$17, 0)</f>
        <v>1.9616157649480985</v>
      </c>
      <c r="W111" s="11">
        <f>IF(AND(N111-'Outil Cibles'!$Y$7&lt;=60,N111-'Outil Cibles'!$Y$7&gt;=0), 'Outil Cibles'!$Y$17, 0)</f>
        <v>0</v>
      </c>
      <c r="X111" s="11">
        <f>IF(AND(N111-'Outil Cibles'!$Z$7&lt;=60,N111-'Outil Cibles'!$Z$7&gt;=0), 'Outil Cibles'!$Z$17, 0)</f>
        <v>0</v>
      </c>
      <c r="Y111" s="11">
        <f t="shared" si="5"/>
        <v>36.864060886004516</v>
      </c>
    </row>
    <row r="112" spans="1:25" x14ac:dyDescent="0.3">
      <c r="A112">
        <v>2047</v>
      </c>
      <c r="B112" s="11">
        <f>IF(AND(A112-'Outil Cibles'!$D$7&lt;=60,A112-'Outil Cibles'!$D$7&gt;=0), 'Outil Cibles'!$D$17, 0)</f>
        <v>8.7624493817977029</v>
      </c>
      <c r="C112" s="11">
        <f>IF(AND(A112-'Outil Cibles'!$E$7&lt;=60,A112-'Outil Cibles'!$E$7&gt;=0), 'Outil Cibles'!$E$17, 0)</f>
        <v>7.6922353293822718</v>
      </c>
      <c r="D112" s="11">
        <f>IF(AND(A112-'Outil Cibles'!$F$7&lt;=60,A112-'Outil Cibles'!$F$7&gt;=0), 'Outil Cibles'!$F$17, 0)</f>
        <v>6.6208262323138225</v>
      </c>
      <c r="E112" s="11">
        <f>IF(AND(A112-'Outil Cibles'!$G$7&lt;=60,A112-'Outil Cibles'!$G$7&gt;=0), 'Outil Cibles'!$G$17, 0)</f>
        <v>5.3823222388442451</v>
      </c>
      <c r="F112" s="11">
        <f>IF(AND(A112-'Outil Cibles'!$H$7&lt;=60,A112-'Outil Cibles'!$H$7&gt;=0), 'Outil Cibles'!$H$17, 0)</f>
        <v>4.6974836188392803</v>
      </c>
      <c r="G112" s="11">
        <f>IF(AND(A112-'Outil Cibles'!$I$7&lt;=60,A112-'Outil Cibles'!$I$7&gt;=0), 'Outil Cibles'!$I$17, 0)</f>
        <v>4.2500459859961417</v>
      </c>
      <c r="H112" s="11">
        <f>IF(AND(A112-'Outil Cibles'!$J$7&lt;=60,A112-'Outil Cibles'!$J$7&gt;=0), 'Outil Cibles'!$J$17, 0)</f>
        <v>3.8781564147749821</v>
      </c>
      <c r="L112" s="11">
        <f t="shared" si="4"/>
        <v>41.283519201948444</v>
      </c>
      <c r="N112">
        <v>2047</v>
      </c>
      <c r="O112" s="11">
        <f>IF(AND(N112-'Outil Cibles'!$Q$7&lt;=60,N112-'Outil Cibles'!$Q$7&gt;=0), 'Outil Cibles'!$Q$17, 0)</f>
        <v>9.2209307000221994</v>
      </c>
      <c r="P112" s="11">
        <f>IF(AND(N112-'Outil Cibles'!$R$7&lt;=60,N112-'Outil Cibles'!$R$7&gt;=0), 'Outil Cibles'!$R$17, 0)</f>
        <v>7.8928860244932029</v>
      </c>
      <c r="Q112" s="11">
        <f>IF(AND(N112-'Outil Cibles'!$S$7&lt;=60,N112-'Outil Cibles'!$S$7&gt;=0), 'Outil Cibles'!$S$17, 0)</f>
        <v>5.7861034181094277</v>
      </c>
      <c r="R112" s="11">
        <f>IF(AND(N112-'Outil Cibles'!$T$7&lt;=60,N112-'Outil Cibles'!$T$7&gt;=0), 'Outil Cibles'!$T$17, 0)</f>
        <v>3.9285483356528981</v>
      </c>
      <c r="S112" s="11">
        <f>IF(AND(N112-'Outil Cibles'!$U$7&lt;=60,N112-'Outil Cibles'!$U$7&gt;=0), 'Outil Cibles'!$U$17, 0)</f>
        <v>3.1156336157567535</v>
      </c>
      <c r="T112" s="11">
        <f>IF(AND(N112-'Outil Cibles'!$V$7&lt;=60,N112-'Outil Cibles'!$V$7&gt;=0), 'Outil Cibles'!$V$17, 0)</f>
        <v>2.6699626409394961</v>
      </c>
      <c r="U112" s="11">
        <f>IF(AND(N112-'Outil Cibles'!$W$7&lt;=60,N112-'Outil Cibles'!$W$7&gt;=0), 'Outil Cibles'!$W$17, 0)</f>
        <v>2.2883803860824354</v>
      </c>
      <c r="V112" s="11">
        <f>IF(AND(N112-'Outil Cibles'!$X$7&lt;=60,N112-'Outil Cibles'!$X$7&gt;=0), 'Outil Cibles'!$X$17, 0)</f>
        <v>1.9616157649480985</v>
      </c>
      <c r="W112" s="11">
        <f>IF(AND(N112-'Outil Cibles'!$Y$7&lt;=60,N112-'Outil Cibles'!$Y$7&gt;=0), 'Outil Cibles'!$Y$17, 0)</f>
        <v>0</v>
      </c>
      <c r="X112" s="11">
        <f>IF(AND(N112-'Outil Cibles'!$Z$7&lt;=60,N112-'Outil Cibles'!$Z$7&gt;=0), 'Outil Cibles'!$Z$17, 0)</f>
        <v>0</v>
      </c>
      <c r="Y112" s="11">
        <f t="shared" si="5"/>
        <v>36.864060886004516</v>
      </c>
    </row>
    <row r="113" spans="1:25" x14ac:dyDescent="0.3">
      <c r="A113">
        <v>2048</v>
      </c>
      <c r="B113" s="11">
        <f>IF(AND(A113-'Outil Cibles'!$D$7&lt;=60,A113-'Outil Cibles'!$D$7&gt;=0), 'Outil Cibles'!$D$17, 0)</f>
        <v>8.7624493817977029</v>
      </c>
      <c r="C113" s="11">
        <f>IF(AND(A113-'Outil Cibles'!$E$7&lt;=60,A113-'Outil Cibles'!$E$7&gt;=0), 'Outil Cibles'!$E$17, 0)</f>
        <v>7.6922353293822718</v>
      </c>
      <c r="D113" s="11">
        <f>IF(AND(A113-'Outil Cibles'!$F$7&lt;=60,A113-'Outil Cibles'!$F$7&gt;=0), 'Outil Cibles'!$F$17, 0)</f>
        <v>6.6208262323138225</v>
      </c>
      <c r="E113" s="11">
        <f>IF(AND(A113-'Outil Cibles'!$G$7&lt;=60,A113-'Outil Cibles'!$G$7&gt;=0), 'Outil Cibles'!$G$17, 0)</f>
        <v>5.3823222388442451</v>
      </c>
      <c r="F113" s="11">
        <f>IF(AND(A113-'Outil Cibles'!$H$7&lt;=60,A113-'Outil Cibles'!$H$7&gt;=0), 'Outil Cibles'!$H$17, 0)</f>
        <v>4.6974836188392803</v>
      </c>
      <c r="G113" s="11">
        <f>IF(AND(A113-'Outil Cibles'!$I$7&lt;=60,A113-'Outil Cibles'!$I$7&gt;=0), 'Outil Cibles'!$I$17, 0)</f>
        <v>4.2500459859961417</v>
      </c>
      <c r="H113" s="11">
        <f>IF(AND(A113-'Outil Cibles'!$J$7&lt;=60,A113-'Outil Cibles'!$J$7&gt;=0), 'Outil Cibles'!$J$17, 0)</f>
        <v>3.8781564147749821</v>
      </c>
      <c r="L113" s="11">
        <f t="shared" si="4"/>
        <v>41.283519201948444</v>
      </c>
      <c r="N113">
        <v>2048</v>
      </c>
      <c r="O113" s="11">
        <f>IF(AND(N113-'Outil Cibles'!$Q$7&lt;=60,N113-'Outil Cibles'!$Q$7&gt;=0), 'Outil Cibles'!$Q$17, 0)</f>
        <v>9.2209307000221994</v>
      </c>
      <c r="P113" s="11">
        <f>IF(AND(N113-'Outil Cibles'!$R$7&lt;=60,N113-'Outil Cibles'!$R$7&gt;=0), 'Outil Cibles'!$R$17, 0)</f>
        <v>7.8928860244932029</v>
      </c>
      <c r="Q113" s="11">
        <f>IF(AND(N113-'Outil Cibles'!$S$7&lt;=60,N113-'Outil Cibles'!$S$7&gt;=0), 'Outil Cibles'!$S$17, 0)</f>
        <v>5.7861034181094277</v>
      </c>
      <c r="R113" s="11">
        <f>IF(AND(N113-'Outil Cibles'!$T$7&lt;=60,N113-'Outil Cibles'!$T$7&gt;=0), 'Outil Cibles'!$T$17, 0)</f>
        <v>3.9285483356528981</v>
      </c>
      <c r="S113" s="11">
        <f>IF(AND(N113-'Outil Cibles'!$U$7&lt;=60,N113-'Outil Cibles'!$U$7&gt;=0), 'Outil Cibles'!$U$17, 0)</f>
        <v>3.1156336157567535</v>
      </c>
      <c r="T113" s="11">
        <f>IF(AND(N113-'Outil Cibles'!$V$7&lt;=60,N113-'Outil Cibles'!$V$7&gt;=0), 'Outil Cibles'!$V$17, 0)</f>
        <v>2.6699626409394961</v>
      </c>
      <c r="U113" s="11">
        <f>IF(AND(N113-'Outil Cibles'!$W$7&lt;=60,N113-'Outil Cibles'!$W$7&gt;=0), 'Outil Cibles'!$W$17, 0)</f>
        <v>2.2883803860824354</v>
      </c>
      <c r="V113" s="11">
        <f>IF(AND(N113-'Outil Cibles'!$X$7&lt;=60,N113-'Outil Cibles'!$X$7&gt;=0), 'Outil Cibles'!$X$17, 0)</f>
        <v>1.9616157649480985</v>
      </c>
      <c r="W113" s="11">
        <f>IF(AND(N113-'Outil Cibles'!$Y$7&lt;=60,N113-'Outil Cibles'!$Y$7&gt;=0), 'Outil Cibles'!$Y$17, 0)</f>
        <v>1.4420078055173704</v>
      </c>
      <c r="X113" s="11">
        <f>IF(AND(N113-'Outil Cibles'!$Z$7&lt;=60,N113-'Outil Cibles'!$Z$7&gt;=0), 'Outil Cibles'!$Z$17, 0)</f>
        <v>0</v>
      </c>
      <c r="Y113" s="11">
        <f t="shared" si="5"/>
        <v>38.306068691521887</v>
      </c>
    </row>
    <row r="114" spans="1:25" x14ac:dyDescent="0.3">
      <c r="A114">
        <v>2049</v>
      </c>
      <c r="B114" s="11">
        <f>IF(AND(A114-'Outil Cibles'!$D$7&lt;=60,A114-'Outil Cibles'!$D$7&gt;=0), 'Outil Cibles'!$D$17, 0)</f>
        <v>8.7624493817977029</v>
      </c>
      <c r="C114" s="11">
        <f>IF(AND(A114-'Outil Cibles'!$E$7&lt;=60,A114-'Outil Cibles'!$E$7&gt;=0), 'Outil Cibles'!$E$17, 0)</f>
        <v>7.6922353293822718</v>
      </c>
      <c r="D114" s="11">
        <f>IF(AND(A114-'Outil Cibles'!$F$7&lt;=60,A114-'Outil Cibles'!$F$7&gt;=0), 'Outil Cibles'!$F$17, 0)</f>
        <v>6.6208262323138225</v>
      </c>
      <c r="E114" s="11">
        <f>IF(AND(A114-'Outil Cibles'!$G$7&lt;=60,A114-'Outil Cibles'!$G$7&gt;=0), 'Outil Cibles'!$G$17, 0)</f>
        <v>5.3823222388442451</v>
      </c>
      <c r="F114" s="11">
        <f>IF(AND(A114-'Outil Cibles'!$H$7&lt;=60,A114-'Outil Cibles'!$H$7&gt;=0), 'Outil Cibles'!$H$17, 0)</f>
        <v>4.6974836188392803</v>
      </c>
      <c r="G114" s="11">
        <f>IF(AND(A114-'Outil Cibles'!$I$7&lt;=60,A114-'Outil Cibles'!$I$7&gt;=0), 'Outil Cibles'!$I$17, 0)</f>
        <v>4.2500459859961417</v>
      </c>
      <c r="H114" s="11">
        <f>IF(AND(A114-'Outil Cibles'!$J$7&lt;=60,A114-'Outil Cibles'!$J$7&gt;=0), 'Outil Cibles'!$J$17, 0)</f>
        <v>3.8781564147749821</v>
      </c>
      <c r="L114" s="11">
        <f t="shared" si="4"/>
        <v>41.283519201948444</v>
      </c>
      <c r="N114">
        <v>2049</v>
      </c>
      <c r="O114" s="11">
        <f>IF(AND(N114-'Outil Cibles'!$Q$7&lt;=60,N114-'Outil Cibles'!$Q$7&gt;=0), 'Outil Cibles'!$Q$17, 0)</f>
        <v>9.2209307000221994</v>
      </c>
      <c r="P114" s="11">
        <f>IF(AND(N114-'Outil Cibles'!$R$7&lt;=60,N114-'Outil Cibles'!$R$7&gt;=0), 'Outil Cibles'!$R$17, 0)</f>
        <v>7.8928860244932029</v>
      </c>
      <c r="Q114" s="11">
        <f>IF(AND(N114-'Outil Cibles'!$S$7&lt;=60,N114-'Outil Cibles'!$S$7&gt;=0), 'Outil Cibles'!$S$17, 0)</f>
        <v>5.7861034181094277</v>
      </c>
      <c r="R114" s="11">
        <f>IF(AND(N114-'Outil Cibles'!$T$7&lt;=60,N114-'Outil Cibles'!$T$7&gt;=0), 'Outil Cibles'!$T$17, 0)</f>
        <v>3.9285483356528981</v>
      </c>
      <c r="S114" s="11">
        <f>IF(AND(N114-'Outil Cibles'!$U$7&lt;=60,N114-'Outil Cibles'!$U$7&gt;=0), 'Outil Cibles'!$U$17, 0)</f>
        <v>3.1156336157567535</v>
      </c>
      <c r="T114" s="11">
        <f>IF(AND(N114-'Outil Cibles'!$V$7&lt;=60,N114-'Outil Cibles'!$V$7&gt;=0), 'Outil Cibles'!$V$17, 0)</f>
        <v>2.6699626409394961</v>
      </c>
      <c r="U114" s="11">
        <f>IF(AND(N114-'Outil Cibles'!$W$7&lt;=60,N114-'Outil Cibles'!$W$7&gt;=0), 'Outil Cibles'!$W$17, 0)</f>
        <v>2.2883803860824354</v>
      </c>
      <c r="V114" s="11">
        <f>IF(AND(N114-'Outil Cibles'!$X$7&lt;=60,N114-'Outil Cibles'!$X$7&gt;=0), 'Outil Cibles'!$X$17, 0)</f>
        <v>1.9616157649480985</v>
      </c>
      <c r="W114" s="11">
        <f>IF(AND(N114-'Outil Cibles'!$Y$7&lt;=60,N114-'Outil Cibles'!$Y$7&gt;=0), 'Outil Cibles'!$Y$17, 0)</f>
        <v>1.4420078055173704</v>
      </c>
      <c r="X114" s="11">
        <f>IF(AND(N114-'Outil Cibles'!$Z$7&lt;=60,N114-'Outil Cibles'!$Z$7&gt;=0), 'Outil Cibles'!$Z$17, 0)</f>
        <v>0</v>
      </c>
      <c r="Y114" s="11">
        <f t="shared" si="5"/>
        <v>38.306068691521887</v>
      </c>
    </row>
    <row r="115" spans="1:25" x14ac:dyDescent="0.3">
      <c r="A115" s="10">
        <v>2050</v>
      </c>
      <c r="B115" s="11">
        <f>IF(AND(A115-'Outil Cibles'!$D$7&lt;=60,A115-'Outil Cibles'!$D$7&gt;=0), 'Outil Cibles'!$D$17, 0)</f>
        <v>8.7624493817977029</v>
      </c>
      <c r="C115" s="11">
        <f>IF(AND(A115-'Outil Cibles'!$E$7&lt;=60,A115-'Outil Cibles'!$E$7&gt;=0), 'Outil Cibles'!$E$17, 0)</f>
        <v>7.6922353293822718</v>
      </c>
      <c r="D115" s="11">
        <f>IF(AND(A115-'Outil Cibles'!$F$7&lt;=60,A115-'Outil Cibles'!$F$7&gt;=0), 'Outil Cibles'!$F$17, 0)</f>
        <v>6.6208262323138225</v>
      </c>
      <c r="E115" s="11">
        <f>IF(AND(A115-'Outil Cibles'!$G$7&lt;=60,A115-'Outil Cibles'!$G$7&gt;=0), 'Outil Cibles'!$G$17, 0)</f>
        <v>5.3823222388442451</v>
      </c>
      <c r="F115" s="11">
        <f>IF(AND(A115-'Outil Cibles'!$H$7&lt;=60,A115-'Outil Cibles'!$H$7&gt;=0), 'Outil Cibles'!$H$17, 0)</f>
        <v>4.6974836188392803</v>
      </c>
      <c r="G115" s="11">
        <f>IF(AND(A115-'Outil Cibles'!$I$7&lt;=60,A115-'Outil Cibles'!$I$7&gt;=0), 'Outil Cibles'!$I$17, 0)</f>
        <v>4.2500459859961417</v>
      </c>
      <c r="H115" s="11">
        <f>IF(AND(A115-'Outil Cibles'!$J$7&lt;=60,A115-'Outil Cibles'!$J$7&gt;=0), 'Outil Cibles'!$J$17, 0)</f>
        <v>3.8781564147749821</v>
      </c>
      <c r="L115" s="11">
        <f t="shared" si="4"/>
        <v>41.283519201948444</v>
      </c>
      <c r="N115" s="10">
        <v>2050</v>
      </c>
      <c r="O115" s="11">
        <f>IF(AND(N115-'Outil Cibles'!$Q$7&lt;=60,N115-'Outil Cibles'!$Q$7&gt;=0), 'Outil Cibles'!$Q$17, 0)</f>
        <v>9.2209307000221994</v>
      </c>
      <c r="P115" s="11">
        <f>IF(AND(N115-'Outil Cibles'!$R$7&lt;=60,N115-'Outil Cibles'!$R$7&gt;=0), 'Outil Cibles'!$R$17, 0)</f>
        <v>7.8928860244932029</v>
      </c>
      <c r="Q115" s="11">
        <f>IF(AND(N115-'Outil Cibles'!$S$7&lt;=60,N115-'Outil Cibles'!$S$7&gt;=0), 'Outil Cibles'!$S$17, 0)</f>
        <v>5.7861034181094277</v>
      </c>
      <c r="R115" s="11">
        <f>IF(AND(N115-'Outil Cibles'!$T$7&lt;=60,N115-'Outil Cibles'!$T$7&gt;=0), 'Outil Cibles'!$T$17, 0)</f>
        <v>3.9285483356528981</v>
      </c>
      <c r="S115" s="11">
        <f>IF(AND(N115-'Outil Cibles'!$U$7&lt;=60,N115-'Outil Cibles'!$U$7&gt;=0), 'Outil Cibles'!$U$17, 0)</f>
        <v>3.1156336157567535</v>
      </c>
      <c r="T115" s="11">
        <f>IF(AND(N115-'Outil Cibles'!$V$7&lt;=60,N115-'Outil Cibles'!$V$7&gt;=0), 'Outil Cibles'!$V$17, 0)</f>
        <v>2.6699626409394961</v>
      </c>
      <c r="U115" s="11">
        <f>IF(AND(N115-'Outil Cibles'!$W$7&lt;=60,N115-'Outil Cibles'!$W$7&gt;=0), 'Outil Cibles'!$W$17, 0)</f>
        <v>2.2883803860824354</v>
      </c>
      <c r="V115" s="11">
        <f>IF(AND(N115-'Outil Cibles'!$X$7&lt;=60,N115-'Outil Cibles'!$X$7&gt;=0), 'Outil Cibles'!$X$17, 0)</f>
        <v>1.9616157649480985</v>
      </c>
      <c r="W115" s="11">
        <f>IF(AND(N115-'Outil Cibles'!$Y$7&lt;=60,N115-'Outil Cibles'!$Y$7&gt;=0), 'Outil Cibles'!$Y$17, 0)</f>
        <v>1.4420078055173704</v>
      </c>
      <c r="X115" s="11">
        <f>IF(AND(N115-'Outil Cibles'!$Z$7&lt;=60,N115-'Outil Cibles'!$Z$7&gt;=0), 'Outil Cibles'!$Z$17, 0)</f>
        <v>1.2366099769912016</v>
      </c>
      <c r="Y115" s="11">
        <f t="shared" si="5"/>
        <v>39.542678668513091</v>
      </c>
    </row>
    <row r="116" spans="1:25" x14ac:dyDescent="0.3">
      <c r="A116">
        <v>2051</v>
      </c>
      <c r="B116" s="11">
        <f>IF(AND(A116-'Outil Cibles'!$D$7&lt;=60,A116-'Outil Cibles'!$D$7&gt;=0), 'Outil Cibles'!$D$17, 0)</f>
        <v>8.7624493817977029</v>
      </c>
      <c r="C116" s="11">
        <f>IF(AND(A116-'Outil Cibles'!$E$7&lt;=60,A116-'Outil Cibles'!$E$7&gt;=0), 'Outil Cibles'!$E$17, 0)</f>
        <v>7.6922353293822718</v>
      </c>
      <c r="D116" s="11">
        <f>IF(AND(A116-'Outil Cibles'!$F$7&lt;=60,A116-'Outil Cibles'!$F$7&gt;=0), 'Outil Cibles'!$F$17, 0)</f>
        <v>6.6208262323138225</v>
      </c>
      <c r="E116" s="11">
        <f>IF(AND(A116-'Outil Cibles'!$G$7&lt;=60,A116-'Outil Cibles'!$G$7&gt;=0), 'Outil Cibles'!$G$17, 0)</f>
        <v>5.3823222388442451</v>
      </c>
      <c r="F116" s="11">
        <f>IF(AND(A116-'Outil Cibles'!$H$7&lt;=60,A116-'Outil Cibles'!$H$7&gt;=0), 'Outil Cibles'!$H$17, 0)</f>
        <v>4.6974836188392803</v>
      </c>
      <c r="G116" s="11">
        <f>IF(AND(A116-'Outil Cibles'!$I$7&lt;=60,A116-'Outil Cibles'!$I$7&gt;=0), 'Outil Cibles'!$I$17, 0)</f>
        <v>4.2500459859961417</v>
      </c>
      <c r="H116" s="11">
        <f>IF(AND(A116-'Outil Cibles'!$J$7&lt;=60,A116-'Outil Cibles'!$J$7&gt;=0), 'Outil Cibles'!$J$17, 0)</f>
        <v>3.8781564147749821</v>
      </c>
      <c r="L116" s="11">
        <f t="shared" si="4"/>
        <v>41.283519201948444</v>
      </c>
      <c r="N116">
        <v>2051</v>
      </c>
      <c r="O116" s="11">
        <f>IF(AND(N116-'Outil Cibles'!$Q$7&lt;=60,N116-'Outil Cibles'!$Q$7&gt;=0), 'Outil Cibles'!$Q$17, 0)</f>
        <v>9.2209307000221994</v>
      </c>
      <c r="P116" s="11">
        <f>IF(AND(N116-'Outil Cibles'!$R$7&lt;=60,N116-'Outil Cibles'!$R$7&gt;=0), 'Outil Cibles'!$R$17, 0)</f>
        <v>7.8928860244932029</v>
      </c>
      <c r="Q116" s="11">
        <f>IF(AND(N116-'Outil Cibles'!$S$7&lt;=60,N116-'Outil Cibles'!$S$7&gt;=0), 'Outil Cibles'!$S$17, 0)</f>
        <v>5.7861034181094277</v>
      </c>
      <c r="R116" s="11">
        <f>IF(AND(N116-'Outil Cibles'!$T$7&lt;=60,N116-'Outil Cibles'!$T$7&gt;=0), 'Outil Cibles'!$T$17, 0)</f>
        <v>3.9285483356528981</v>
      </c>
      <c r="S116" s="11">
        <f>IF(AND(N116-'Outil Cibles'!$U$7&lt;=60,N116-'Outil Cibles'!$U$7&gt;=0), 'Outil Cibles'!$U$17, 0)</f>
        <v>3.1156336157567535</v>
      </c>
      <c r="T116" s="11">
        <f>IF(AND(N116-'Outil Cibles'!$V$7&lt;=60,N116-'Outil Cibles'!$V$7&gt;=0), 'Outil Cibles'!$V$17, 0)</f>
        <v>2.6699626409394961</v>
      </c>
      <c r="U116" s="11">
        <f>IF(AND(N116-'Outil Cibles'!$W$7&lt;=60,N116-'Outil Cibles'!$W$7&gt;=0), 'Outil Cibles'!$W$17, 0)</f>
        <v>2.2883803860824354</v>
      </c>
      <c r="V116" s="11">
        <f>IF(AND(N116-'Outil Cibles'!$X$7&lt;=60,N116-'Outil Cibles'!$X$7&gt;=0), 'Outil Cibles'!$X$17, 0)</f>
        <v>1.9616157649480985</v>
      </c>
      <c r="W116" s="11">
        <f>IF(AND(N116-'Outil Cibles'!$Y$7&lt;=60,N116-'Outil Cibles'!$Y$7&gt;=0), 'Outil Cibles'!$Y$17, 0)</f>
        <v>1.4420078055173704</v>
      </c>
      <c r="X116" s="11">
        <f>IF(AND(N116-'Outil Cibles'!$Z$7&lt;=60,N116-'Outil Cibles'!$Z$7&gt;=0), 'Outil Cibles'!$Z$17, 0)</f>
        <v>1.2366099769912016</v>
      </c>
      <c r="Y116" s="11">
        <f t="shared" si="5"/>
        <v>39.542678668513091</v>
      </c>
    </row>
    <row r="117" spans="1:25" x14ac:dyDescent="0.3">
      <c r="A117">
        <v>2052</v>
      </c>
      <c r="B117" s="11">
        <f>IF(AND(A117-'Outil Cibles'!$D$7&lt;=60,A117-'Outil Cibles'!$D$7&gt;=0), 'Outil Cibles'!$D$17, 0)</f>
        <v>8.7624493817977029</v>
      </c>
      <c r="C117" s="11">
        <f>IF(AND(A117-'Outil Cibles'!$E$7&lt;=60,A117-'Outil Cibles'!$E$7&gt;=0), 'Outil Cibles'!$E$17, 0)</f>
        <v>7.6922353293822718</v>
      </c>
      <c r="D117" s="11">
        <f>IF(AND(A117-'Outil Cibles'!$F$7&lt;=60,A117-'Outil Cibles'!$F$7&gt;=0), 'Outil Cibles'!$F$17, 0)</f>
        <v>6.6208262323138225</v>
      </c>
      <c r="E117" s="11">
        <f>IF(AND(A117-'Outil Cibles'!$G$7&lt;=60,A117-'Outil Cibles'!$G$7&gt;=0), 'Outil Cibles'!$G$17, 0)</f>
        <v>5.3823222388442451</v>
      </c>
      <c r="F117" s="11">
        <f>IF(AND(A117-'Outil Cibles'!$H$7&lt;=60,A117-'Outil Cibles'!$H$7&gt;=0), 'Outil Cibles'!$H$17, 0)</f>
        <v>4.6974836188392803</v>
      </c>
      <c r="G117" s="11">
        <f>IF(AND(A117-'Outil Cibles'!$I$7&lt;=60,A117-'Outil Cibles'!$I$7&gt;=0), 'Outil Cibles'!$I$17, 0)</f>
        <v>4.2500459859961417</v>
      </c>
      <c r="H117" s="11">
        <f>IF(AND(A117-'Outil Cibles'!$J$7&lt;=60,A117-'Outil Cibles'!$J$7&gt;=0), 'Outil Cibles'!$J$17, 0)</f>
        <v>3.8781564147749821</v>
      </c>
      <c r="L117" s="11">
        <f t="shared" si="4"/>
        <v>41.283519201948444</v>
      </c>
      <c r="N117">
        <v>2052</v>
      </c>
      <c r="O117" s="11">
        <f>IF(AND(N117-'Outil Cibles'!$Q$7&lt;=60,N117-'Outil Cibles'!$Q$7&gt;=0), 'Outil Cibles'!$Q$17, 0)</f>
        <v>9.2209307000221994</v>
      </c>
      <c r="P117" s="11">
        <f>IF(AND(N117-'Outil Cibles'!$R$7&lt;=60,N117-'Outil Cibles'!$R$7&gt;=0), 'Outil Cibles'!$R$17, 0)</f>
        <v>7.8928860244932029</v>
      </c>
      <c r="Q117" s="11">
        <f>IF(AND(N117-'Outil Cibles'!$S$7&lt;=60,N117-'Outil Cibles'!$S$7&gt;=0), 'Outil Cibles'!$S$17, 0)</f>
        <v>5.7861034181094277</v>
      </c>
      <c r="R117" s="11">
        <f>IF(AND(N117-'Outil Cibles'!$T$7&lt;=60,N117-'Outil Cibles'!$T$7&gt;=0), 'Outil Cibles'!$T$17, 0)</f>
        <v>3.9285483356528981</v>
      </c>
      <c r="S117" s="11">
        <f>IF(AND(N117-'Outil Cibles'!$U$7&lt;=60,N117-'Outil Cibles'!$U$7&gt;=0), 'Outil Cibles'!$U$17, 0)</f>
        <v>3.1156336157567535</v>
      </c>
      <c r="T117" s="11">
        <f>IF(AND(N117-'Outil Cibles'!$V$7&lt;=60,N117-'Outil Cibles'!$V$7&gt;=0), 'Outil Cibles'!$V$17, 0)</f>
        <v>2.6699626409394961</v>
      </c>
      <c r="U117" s="11">
        <f>IF(AND(N117-'Outil Cibles'!$W$7&lt;=60,N117-'Outil Cibles'!$W$7&gt;=0), 'Outil Cibles'!$W$17, 0)</f>
        <v>2.2883803860824354</v>
      </c>
      <c r="V117" s="11">
        <f>IF(AND(N117-'Outil Cibles'!$X$7&lt;=60,N117-'Outil Cibles'!$X$7&gt;=0), 'Outil Cibles'!$X$17, 0)</f>
        <v>1.9616157649480985</v>
      </c>
      <c r="W117" s="11">
        <f>IF(AND(N117-'Outil Cibles'!$Y$7&lt;=60,N117-'Outil Cibles'!$Y$7&gt;=0), 'Outil Cibles'!$Y$17, 0)</f>
        <v>1.4420078055173704</v>
      </c>
      <c r="X117" s="11">
        <f>IF(AND(N117-'Outil Cibles'!$Z$7&lt;=60,N117-'Outil Cibles'!$Z$7&gt;=0), 'Outil Cibles'!$Z$17, 0)</f>
        <v>1.2366099769912016</v>
      </c>
      <c r="Y117" s="11">
        <f t="shared" si="5"/>
        <v>39.542678668513091</v>
      </c>
    </row>
    <row r="118" spans="1:25" x14ac:dyDescent="0.3">
      <c r="A118">
        <v>2053</v>
      </c>
      <c r="B118" s="11">
        <f>IF(AND(A118-'Outil Cibles'!$D$7&lt;=60,A118-'Outil Cibles'!$D$7&gt;=0), 'Outil Cibles'!$D$17, 0)</f>
        <v>8.7624493817977029</v>
      </c>
      <c r="C118" s="11">
        <f>IF(AND(A118-'Outil Cibles'!$E$7&lt;=60,A118-'Outil Cibles'!$E$7&gt;=0), 'Outil Cibles'!$E$17, 0)</f>
        <v>7.6922353293822718</v>
      </c>
      <c r="D118" s="11">
        <f>IF(AND(A118-'Outil Cibles'!$F$7&lt;=60,A118-'Outil Cibles'!$F$7&gt;=0), 'Outil Cibles'!$F$17, 0)</f>
        <v>6.6208262323138225</v>
      </c>
      <c r="E118" s="11">
        <f>IF(AND(A118-'Outil Cibles'!$G$7&lt;=60,A118-'Outil Cibles'!$G$7&gt;=0), 'Outil Cibles'!$G$17, 0)</f>
        <v>5.3823222388442451</v>
      </c>
      <c r="F118" s="11">
        <f>IF(AND(A118-'Outil Cibles'!$H$7&lt;=60,A118-'Outil Cibles'!$H$7&gt;=0), 'Outil Cibles'!$H$17, 0)</f>
        <v>4.6974836188392803</v>
      </c>
      <c r="G118" s="11">
        <f>IF(AND(A118-'Outil Cibles'!$I$7&lt;=60,A118-'Outil Cibles'!$I$7&gt;=0), 'Outil Cibles'!$I$17, 0)</f>
        <v>4.2500459859961417</v>
      </c>
      <c r="H118" s="11">
        <f>IF(AND(A118-'Outil Cibles'!$J$7&lt;=60,A118-'Outil Cibles'!$J$7&gt;=0), 'Outil Cibles'!$J$17, 0)</f>
        <v>3.8781564147749821</v>
      </c>
      <c r="L118" s="11">
        <f t="shared" si="4"/>
        <v>41.283519201948444</v>
      </c>
      <c r="N118">
        <v>2053</v>
      </c>
      <c r="O118" s="11">
        <f>IF(AND(N118-'Outil Cibles'!$Q$7&lt;=60,N118-'Outil Cibles'!$Q$7&gt;=0), 'Outil Cibles'!$Q$17, 0)</f>
        <v>9.2209307000221994</v>
      </c>
      <c r="P118" s="11">
        <f>IF(AND(N118-'Outil Cibles'!$R$7&lt;=60,N118-'Outil Cibles'!$R$7&gt;=0), 'Outil Cibles'!$R$17, 0)</f>
        <v>7.8928860244932029</v>
      </c>
      <c r="Q118" s="11">
        <f>IF(AND(N118-'Outil Cibles'!$S$7&lt;=60,N118-'Outil Cibles'!$S$7&gt;=0), 'Outil Cibles'!$S$17, 0)</f>
        <v>5.7861034181094277</v>
      </c>
      <c r="R118" s="11">
        <f>IF(AND(N118-'Outil Cibles'!$T$7&lt;=60,N118-'Outil Cibles'!$T$7&gt;=0), 'Outil Cibles'!$T$17, 0)</f>
        <v>3.9285483356528981</v>
      </c>
      <c r="S118" s="11">
        <f>IF(AND(N118-'Outil Cibles'!$U$7&lt;=60,N118-'Outil Cibles'!$U$7&gt;=0), 'Outil Cibles'!$U$17, 0)</f>
        <v>3.1156336157567535</v>
      </c>
      <c r="T118" s="11">
        <f>IF(AND(N118-'Outil Cibles'!$V$7&lt;=60,N118-'Outil Cibles'!$V$7&gt;=0), 'Outil Cibles'!$V$17, 0)</f>
        <v>2.6699626409394961</v>
      </c>
      <c r="U118" s="11">
        <f>IF(AND(N118-'Outil Cibles'!$W$7&lt;=60,N118-'Outil Cibles'!$W$7&gt;=0), 'Outil Cibles'!$W$17, 0)</f>
        <v>2.2883803860824354</v>
      </c>
      <c r="V118" s="11">
        <f>IF(AND(N118-'Outil Cibles'!$X$7&lt;=60,N118-'Outil Cibles'!$X$7&gt;=0), 'Outil Cibles'!$X$17, 0)</f>
        <v>1.9616157649480985</v>
      </c>
      <c r="W118" s="11">
        <f>IF(AND(N118-'Outil Cibles'!$Y$7&lt;=60,N118-'Outil Cibles'!$Y$7&gt;=0), 'Outil Cibles'!$Y$17, 0)</f>
        <v>1.4420078055173704</v>
      </c>
      <c r="X118" s="11">
        <f>IF(AND(N118-'Outil Cibles'!$Z$7&lt;=60,N118-'Outil Cibles'!$Z$7&gt;=0), 'Outil Cibles'!$Z$17, 0)</f>
        <v>1.2366099769912016</v>
      </c>
      <c r="Y118" s="11">
        <f t="shared" si="5"/>
        <v>39.542678668513091</v>
      </c>
    </row>
    <row r="119" spans="1:25" x14ac:dyDescent="0.3">
      <c r="A119" s="10">
        <v>2054</v>
      </c>
      <c r="B119" s="11">
        <f>IF(AND(A119-'Outil Cibles'!$D$7&lt;=60,A119-'Outil Cibles'!$D$7&gt;=0), 'Outil Cibles'!$D$17, 0)</f>
        <v>8.7624493817977029</v>
      </c>
      <c r="C119" s="11">
        <f>IF(AND(A119-'Outil Cibles'!$E$7&lt;=60,A119-'Outil Cibles'!$E$7&gt;=0), 'Outil Cibles'!$E$17, 0)</f>
        <v>7.6922353293822718</v>
      </c>
      <c r="D119" s="11">
        <f>IF(AND(A119-'Outil Cibles'!$F$7&lt;=60,A119-'Outil Cibles'!$F$7&gt;=0), 'Outil Cibles'!$F$17, 0)</f>
        <v>6.6208262323138225</v>
      </c>
      <c r="E119" s="11">
        <f>IF(AND(A119-'Outil Cibles'!$G$7&lt;=60,A119-'Outil Cibles'!$G$7&gt;=0), 'Outil Cibles'!$G$17, 0)</f>
        <v>5.3823222388442451</v>
      </c>
      <c r="F119" s="11">
        <f>IF(AND(A119-'Outil Cibles'!$H$7&lt;=60,A119-'Outil Cibles'!$H$7&gt;=0), 'Outil Cibles'!$H$17, 0)</f>
        <v>4.6974836188392803</v>
      </c>
      <c r="G119" s="11">
        <f>IF(AND(A119-'Outil Cibles'!$I$7&lt;=60,A119-'Outil Cibles'!$I$7&gt;=0), 'Outil Cibles'!$I$17, 0)</f>
        <v>4.2500459859961417</v>
      </c>
      <c r="H119" s="11">
        <f>IF(AND(A119-'Outil Cibles'!$J$7&lt;=60,A119-'Outil Cibles'!$J$7&gt;=0), 'Outil Cibles'!$J$17, 0)</f>
        <v>3.8781564147749821</v>
      </c>
      <c r="L119" s="11">
        <f t="shared" si="4"/>
        <v>41.283519201948444</v>
      </c>
      <c r="N119" s="10">
        <v>2054</v>
      </c>
      <c r="O119" s="11">
        <f>IF(AND(N119-'Outil Cibles'!$Q$7&lt;=60,N119-'Outil Cibles'!$Q$7&gt;=0), 'Outil Cibles'!$Q$17, 0)</f>
        <v>9.2209307000221994</v>
      </c>
      <c r="P119" s="11">
        <f>IF(AND(N119-'Outil Cibles'!$R$7&lt;=60,N119-'Outil Cibles'!$R$7&gt;=0), 'Outil Cibles'!$R$17, 0)</f>
        <v>7.8928860244932029</v>
      </c>
      <c r="Q119" s="11">
        <f>IF(AND(N119-'Outil Cibles'!$S$7&lt;=60,N119-'Outil Cibles'!$S$7&gt;=0), 'Outil Cibles'!$S$17, 0)</f>
        <v>5.7861034181094277</v>
      </c>
      <c r="R119" s="11">
        <f>IF(AND(N119-'Outil Cibles'!$T$7&lt;=60,N119-'Outil Cibles'!$T$7&gt;=0), 'Outil Cibles'!$T$17, 0)</f>
        <v>3.9285483356528981</v>
      </c>
      <c r="S119" s="11">
        <f>IF(AND(N119-'Outil Cibles'!$U$7&lt;=60,N119-'Outil Cibles'!$U$7&gt;=0), 'Outil Cibles'!$U$17, 0)</f>
        <v>3.1156336157567535</v>
      </c>
      <c r="T119" s="11">
        <f>IF(AND(N119-'Outil Cibles'!$V$7&lt;=60,N119-'Outil Cibles'!$V$7&gt;=0), 'Outil Cibles'!$V$17, 0)</f>
        <v>2.6699626409394961</v>
      </c>
      <c r="U119" s="11">
        <f>IF(AND(N119-'Outil Cibles'!$W$7&lt;=60,N119-'Outil Cibles'!$W$7&gt;=0), 'Outil Cibles'!$W$17, 0)</f>
        <v>2.2883803860824354</v>
      </c>
      <c r="V119" s="11">
        <f>IF(AND(N119-'Outil Cibles'!$X$7&lt;=60,N119-'Outil Cibles'!$X$7&gt;=0), 'Outil Cibles'!$X$17, 0)</f>
        <v>1.9616157649480985</v>
      </c>
      <c r="W119" s="11">
        <f>IF(AND(N119-'Outil Cibles'!$Y$7&lt;=60,N119-'Outil Cibles'!$Y$7&gt;=0), 'Outil Cibles'!$Y$17, 0)</f>
        <v>1.4420078055173704</v>
      </c>
      <c r="X119" s="11">
        <f>IF(AND(N119-'Outil Cibles'!$Z$7&lt;=60,N119-'Outil Cibles'!$Z$7&gt;=0), 'Outil Cibles'!$Z$17, 0)</f>
        <v>1.2366099769912016</v>
      </c>
      <c r="Y119" s="11">
        <f t="shared" si="5"/>
        <v>39.542678668513091</v>
      </c>
    </row>
    <row r="120" spans="1:25" x14ac:dyDescent="0.3">
      <c r="A120">
        <v>2055</v>
      </c>
      <c r="B120" s="11">
        <f>IF(AND(A120-'Outil Cibles'!$D$7&lt;=60,A120-'Outil Cibles'!$D$7&gt;=0), 'Outil Cibles'!$D$17, 0)</f>
        <v>8.7624493817977029</v>
      </c>
      <c r="C120" s="11">
        <f>IF(AND(A120-'Outil Cibles'!$E$7&lt;=60,A120-'Outil Cibles'!$E$7&gt;=0), 'Outil Cibles'!$E$17, 0)</f>
        <v>7.6922353293822718</v>
      </c>
      <c r="D120" s="11">
        <f>IF(AND(A120-'Outil Cibles'!$F$7&lt;=60,A120-'Outil Cibles'!$F$7&gt;=0), 'Outil Cibles'!$F$17, 0)</f>
        <v>6.6208262323138225</v>
      </c>
      <c r="E120" s="11">
        <f>IF(AND(A120-'Outil Cibles'!$G$7&lt;=60,A120-'Outil Cibles'!$G$7&gt;=0), 'Outil Cibles'!$G$17, 0)</f>
        <v>5.3823222388442451</v>
      </c>
      <c r="F120" s="11">
        <f>IF(AND(A120-'Outil Cibles'!$H$7&lt;=60,A120-'Outil Cibles'!$H$7&gt;=0), 'Outil Cibles'!$H$17, 0)</f>
        <v>4.6974836188392803</v>
      </c>
      <c r="G120" s="11">
        <f>IF(AND(A120-'Outil Cibles'!$I$7&lt;=60,A120-'Outil Cibles'!$I$7&gt;=0), 'Outil Cibles'!$I$17, 0)</f>
        <v>4.2500459859961417</v>
      </c>
      <c r="H120" s="11">
        <f>IF(AND(A120-'Outil Cibles'!$J$7&lt;=60,A120-'Outil Cibles'!$J$7&gt;=0), 'Outil Cibles'!$J$17, 0)</f>
        <v>3.8781564147749821</v>
      </c>
      <c r="L120" s="11">
        <f t="shared" si="4"/>
        <v>41.283519201948444</v>
      </c>
      <c r="N120">
        <v>2055</v>
      </c>
      <c r="O120" s="11">
        <f>IF(AND(N120-'Outil Cibles'!$Q$7&lt;=60,N120-'Outil Cibles'!$Q$7&gt;=0), 'Outil Cibles'!$Q$17, 0)</f>
        <v>9.2209307000221994</v>
      </c>
      <c r="P120" s="11">
        <f>IF(AND(N120-'Outil Cibles'!$R$7&lt;=60,N120-'Outil Cibles'!$R$7&gt;=0), 'Outil Cibles'!$R$17, 0)</f>
        <v>7.8928860244932029</v>
      </c>
      <c r="Q120" s="11">
        <f>IF(AND(N120-'Outil Cibles'!$S$7&lt;=60,N120-'Outil Cibles'!$S$7&gt;=0), 'Outil Cibles'!$S$17, 0)</f>
        <v>5.7861034181094277</v>
      </c>
      <c r="R120" s="11">
        <f>IF(AND(N120-'Outil Cibles'!$T$7&lt;=60,N120-'Outil Cibles'!$T$7&gt;=0), 'Outil Cibles'!$T$17, 0)</f>
        <v>3.9285483356528981</v>
      </c>
      <c r="S120" s="11">
        <f>IF(AND(N120-'Outil Cibles'!$U$7&lt;=60,N120-'Outil Cibles'!$U$7&gt;=0), 'Outil Cibles'!$U$17, 0)</f>
        <v>3.1156336157567535</v>
      </c>
      <c r="T120" s="11">
        <f>IF(AND(N120-'Outil Cibles'!$V$7&lt;=60,N120-'Outil Cibles'!$V$7&gt;=0), 'Outil Cibles'!$V$17, 0)</f>
        <v>2.6699626409394961</v>
      </c>
      <c r="U120" s="11">
        <f>IF(AND(N120-'Outil Cibles'!$W$7&lt;=60,N120-'Outil Cibles'!$W$7&gt;=0), 'Outil Cibles'!$W$17, 0)</f>
        <v>2.2883803860824354</v>
      </c>
      <c r="V120" s="11">
        <f>IF(AND(N120-'Outil Cibles'!$X$7&lt;=60,N120-'Outil Cibles'!$X$7&gt;=0), 'Outil Cibles'!$X$17, 0)</f>
        <v>1.9616157649480985</v>
      </c>
      <c r="W120" s="11">
        <f>IF(AND(N120-'Outil Cibles'!$Y$7&lt;=60,N120-'Outil Cibles'!$Y$7&gt;=0), 'Outil Cibles'!$Y$17, 0)</f>
        <v>1.4420078055173704</v>
      </c>
      <c r="X120" s="11">
        <f>IF(AND(N120-'Outil Cibles'!$Z$7&lt;=60,N120-'Outil Cibles'!$Z$7&gt;=0), 'Outil Cibles'!$Z$17, 0)</f>
        <v>1.2366099769912016</v>
      </c>
      <c r="Y120" s="11">
        <f t="shared" si="5"/>
        <v>39.542678668513091</v>
      </c>
    </row>
    <row r="121" spans="1:25" x14ac:dyDescent="0.3">
      <c r="A121">
        <v>2056</v>
      </c>
      <c r="B121" s="11">
        <f>IF(AND(A121-'Outil Cibles'!$D$7&lt;=60,A121-'Outil Cibles'!$D$7&gt;=0), 'Outil Cibles'!$D$17, 0)</f>
        <v>8.7624493817977029</v>
      </c>
      <c r="C121" s="11">
        <f>IF(AND(A121-'Outil Cibles'!$E$7&lt;=60,A121-'Outil Cibles'!$E$7&gt;=0), 'Outil Cibles'!$E$17, 0)</f>
        <v>7.6922353293822718</v>
      </c>
      <c r="D121" s="11">
        <f>IF(AND(A121-'Outil Cibles'!$F$7&lt;=60,A121-'Outil Cibles'!$F$7&gt;=0), 'Outil Cibles'!$F$17, 0)</f>
        <v>6.6208262323138225</v>
      </c>
      <c r="E121" s="11">
        <f>IF(AND(A121-'Outil Cibles'!$G$7&lt;=60,A121-'Outil Cibles'!$G$7&gt;=0), 'Outil Cibles'!$G$17, 0)</f>
        <v>5.3823222388442451</v>
      </c>
      <c r="F121" s="11">
        <f>IF(AND(A121-'Outil Cibles'!$H$7&lt;=60,A121-'Outil Cibles'!$H$7&gt;=0), 'Outil Cibles'!$H$17, 0)</f>
        <v>4.6974836188392803</v>
      </c>
      <c r="G121" s="11">
        <f>IF(AND(A121-'Outil Cibles'!$I$7&lt;=60,A121-'Outil Cibles'!$I$7&gt;=0), 'Outil Cibles'!$I$17, 0)</f>
        <v>4.2500459859961417</v>
      </c>
      <c r="H121" s="11">
        <f>IF(AND(A121-'Outil Cibles'!$J$7&lt;=60,A121-'Outil Cibles'!$J$7&gt;=0), 'Outil Cibles'!$J$17, 0)</f>
        <v>3.8781564147749821</v>
      </c>
      <c r="L121" s="11">
        <f t="shared" si="4"/>
        <v>41.283519201948444</v>
      </c>
      <c r="N121">
        <v>2056</v>
      </c>
      <c r="O121" s="11">
        <f>IF(AND(N121-'Outil Cibles'!$Q$7&lt;=60,N121-'Outil Cibles'!$Q$7&gt;=0), 'Outil Cibles'!$Q$17, 0)</f>
        <v>9.2209307000221994</v>
      </c>
      <c r="P121" s="11">
        <f>IF(AND(N121-'Outil Cibles'!$R$7&lt;=60,N121-'Outil Cibles'!$R$7&gt;=0), 'Outil Cibles'!$R$17, 0)</f>
        <v>7.8928860244932029</v>
      </c>
      <c r="Q121" s="11">
        <f>IF(AND(N121-'Outil Cibles'!$S$7&lt;=60,N121-'Outil Cibles'!$S$7&gt;=0), 'Outil Cibles'!$S$17, 0)</f>
        <v>5.7861034181094277</v>
      </c>
      <c r="R121" s="11">
        <f>IF(AND(N121-'Outil Cibles'!$T$7&lt;=60,N121-'Outil Cibles'!$T$7&gt;=0), 'Outil Cibles'!$T$17, 0)</f>
        <v>3.9285483356528981</v>
      </c>
      <c r="S121" s="11">
        <f>IF(AND(N121-'Outil Cibles'!$U$7&lt;=60,N121-'Outil Cibles'!$U$7&gt;=0), 'Outil Cibles'!$U$17, 0)</f>
        <v>3.1156336157567535</v>
      </c>
      <c r="T121" s="11">
        <f>IF(AND(N121-'Outil Cibles'!$V$7&lt;=60,N121-'Outil Cibles'!$V$7&gt;=0), 'Outil Cibles'!$V$17, 0)</f>
        <v>2.6699626409394961</v>
      </c>
      <c r="U121" s="11">
        <f>IF(AND(N121-'Outil Cibles'!$W$7&lt;=60,N121-'Outil Cibles'!$W$7&gt;=0), 'Outil Cibles'!$W$17, 0)</f>
        <v>2.2883803860824354</v>
      </c>
      <c r="V121" s="11">
        <f>IF(AND(N121-'Outil Cibles'!$X$7&lt;=60,N121-'Outil Cibles'!$X$7&gt;=0), 'Outil Cibles'!$X$17, 0)</f>
        <v>1.9616157649480985</v>
      </c>
      <c r="W121" s="11">
        <f>IF(AND(N121-'Outil Cibles'!$Y$7&lt;=60,N121-'Outil Cibles'!$Y$7&gt;=0), 'Outil Cibles'!$Y$17, 0)</f>
        <v>1.4420078055173704</v>
      </c>
      <c r="X121" s="11">
        <f>IF(AND(N121-'Outil Cibles'!$Z$7&lt;=60,N121-'Outil Cibles'!$Z$7&gt;=0), 'Outil Cibles'!$Z$17, 0)</f>
        <v>1.2366099769912016</v>
      </c>
      <c r="Y121" s="11">
        <f t="shared" si="5"/>
        <v>39.542678668513091</v>
      </c>
    </row>
    <row r="122" spans="1:25" x14ac:dyDescent="0.3">
      <c r="A122">
        <v>2057</v>
      </c>
      <c r="B122" s="11">
        <f>IF(AND(A122-'Outil Cibles'!$D$7&lt;=60,A122-'Outil Cibles'!$D$7&gt;=0), 'Outil Cibles'!$D$17, 0)</f>
        <v>8.7624493817977029</v>
      </c>
      <c r="C122" s="11">
        <f>IF(AND(A122-'Outil Cibles'!$E$7&lt;=60,A122-'Outil Cibles'!$E$7&gt;=0), 'Outil Cibles'!$E$17, 0)</f>
        <v>7.6922353293822718</v>
      </c>
      <c r="D122" s="11">
        <f>IF(AND(A122-'Outil Cibles'!$F$7&lt;=60,A122-'Outil Cibles'!$F$7&gt;=0), 'Outil Cibles'!$F$17, 0)</f>
        <v>6.6208262323138225</v>
      </c>
      <c r="E122" s="11">
        <f>IF(AND(A122-'Outil Cibles'!$G$7&lt;=60,A122-'Outil Cibles'!$G$7&gt;=0), 'Outil Cibles'!$G$17, 0)</f>
        <v>5.3823222388442451</v>
      </c>
      <c r="F122" s="11">
        <f>IF(AND(A122-'Outil Cibles'!$H$7&lt;=60,A122-'Outil Cibles'!$H$7&gt;=0), 'Outil Cibles'!$H$17, 0)</f>
        <v>4.6974836188392803</v>
      </c>
      <c r="G122" s="11">
        <f>IF(AND(A122-'Outil Cibles'!$I$7&lt;=60,A122-'Outil Cibles'!$I$7&gt;=0), 'Outil Cibles'!$I$17, 0)</f>
        <v>4.2500459859961417</v>
      </c>
      <c r="H122" s="11">
        <f>IF(AND(A122-'Outil Cibles'!$J$7&lt;=60,A122-'Outil Cibles'!$J$7&gt;=0), 'Outil Cibles'!$J$17, 0)</f>
        <v>3.8781564147749821</v>
      </c>
      <c r="L122" s="11">
        <f t="shared" si="4"/>
        <v>41.283519201948444</v>
      </c>
      <c r="N122">
        <v>2057</v>
      </c>
      <c r="O122" s="11">
        <f>IF(AND(N122-'Outil Cibles'!$Q$7&lt;=60,N122-'Outil Cibles'!$Q$7&gt;=0), 'Outil Cibles'!$Q$17, 0)</f>
        <v>9.2209307000221994</v>
      </c>
      <c r="P122" s="11">
        <f>IF(AND(N122-'Outil Cibles'!$R$7&lt;=60,N122-'Outil Cibles'!$R$7&gt;=0), 'Outil Cibles'!$R$17, 0)</f>
        <v>7.8928860244932029</v>
      </c>
      <c r="Q122" s="11">
        <f>IF(AND(N122-'Outil Cibles'!$S$7&lt;=60,N122-'Outil Cibles'!$S$7&gt;=0), 'Outil Cibles'!$S$17, 0)</f>
        <v>5.7861034181094277</v>
      </c>
      <c r="R122" s="11">
        <f>IF(AND(N122-'Outil Cibles'!$T$7&lt;=60,N122-'Outil Cibles'!$T$7&gt;=0), 'Outil Cibles'!$T$17, 0)</f>
        <v>3.9285483356528981</v>
      </c>
      <c r="S122" s="11">
        <f>IF(AND(N122-'Outil Cibles'!$U$7&lt;=60,N122-'Outil Cibles'!$U$7&gt;=0), 'Outil Cibles'!$U$17, 0)</f>
        <v>3.1156336157567535</v>
      </c>
      <c r="T122" s="11">
        <f>IF(AND(N122-'Outil Cibles'!$V$7&lt;=60,N122-'Outil Cibles'!$V$7&gt;=0), 'Outil Cibles'!$V$17, 0)</f>
        <v>2.6699626409394961</v>
      </c>
      <c r="U122" s="11">
        <f>IF(AND(N122-'Outil Cibles'!$W$7&lt;=60,N122-'Outil Cibles'!$W$7&gt;=0), 'Outil Cibles'!$W$17, 0)</f>
        <v>2.2883803860824354</v>
      </c>
      <c r="V122" s="11">
        <f>IF(AND(N122-'Outil Cibles'!$X$7&lt;=60,N122-'Outil Cibles'!$X$7&gt;=0), 'Outil Cibles'!$X$17, 0)</f>
        <v>1.9616157649480985</v>
      </c>
      <c r="W122" s="11">
        <f>IF(AND(N122-'Outil Cibles'!$Y$7&lt;=60,N122-'Outil Cibles'!$Y$7&gt;=0), 'Outil Cibles'!$Y$17, 0)</f>
        <v>1.4420078055173704</v>
      </c>
      <c r="X122" s="11">
        <f>IF(AND(N122-'Outil Cibles'!$Z$7&lt;=60,N122-'Outil Cibles'!$Z$7&gt;=0), 'Outil Cibles'!$Z$17, 0)</f>
        <v>1.2366099769912016</v>
      </c>
      <c r="Y122" s="11">
        <f t="shared" si="5"/>
        <v>39.542678668513091</v>
      </c>
    </row>
    <row r="123" spans="1:25" x14ac:dyDescent="0.3">
      <c r="A123" s="10">
        <v>2058</v>
      </c>
      <c r="B123" s="11">
        <f>IF(AND(A123-'Outil Cibles'!$D$7&lt;=60,A123-'Outil Cibles'!$D$7&gt;=0), 'Outil Cibles'!$D$17, 0)</f>
        <v>8.7624493817977029</v>
      </c>
      <c r="C123" s="11">
        <f>IF(AND(A123-'Outil Cibles'!$E$7&lt;=60,A123-'Outil Cibles'!$E$7&gt;=0), 'Outil Cibles'!$E$17, 0)</f>
        <v>7.6922353293822718</v>
      </c>
      <c r="D123" s="11">
        <f>IF(AND(A123-'Outil Cibles'!$F$7&lt;=60,A123-'Outil Cibles'!$F$7&gt;=0), 'Outil Cibles'!$F$17, 0)</f>
        <v>6.6208262323138225</v>
      </c>
      <c r="E123" s="11">
        <f>IF(AND(A123-'Outil Cibles'!$G$7&lt;=60,A123-'Outil Cibles'!$G$7&gt;=0), 'Outil Cibles'!$G$17, 0)</f>
        <v>5.3823222388442451</v>
      </c>
      <c r="F123" s="11">
        <f>IF(AND(A123-'Outil Cibles'!$H$7&lt;=60,A123-'Outil Cibles'!$H$7&gt;=0), 'Outil Cibles'!$H$17, 0)</f>
        <v>4.6974836188392803</v>
      </c>
      <c r="G123" s="11">
        <f>IF(AND(A123-'Outil Cibles'!$I$7&lt;=60,A123-'Outil Cibles'!$I$7&gt;=0), 'Outil Cibles'!$I$17, 0)</f>
        <v>4.2500459859961417</v>
      </c>
      <c r="H123" s="11">
        <f>IF(AND(A123-'Outil Cibles'!$J$7&lt;=60,A123-'Outil Cibles'!$J$7&gt;=0), 'Outil Cibles'!$J$17, 0)</f>
        <v>3.8781564147749821</v>
      </c>
      <c r="L123" s="11">
        <f t="shared" si="4"/>
        <v>41.283519201948444</v>
      </c>
      <c r="N123" s="10">
        <v>2058</v>
      </c>
      <c r="O123" s="11">
        <f>IF(AND(N123-'Outil Cibles'!$Q$7&lt;=60,N123-'Outil Cibles'!$Q$7&gt;=0), 'Outil Cibles'!$Q$17, 0)</f>
        <v>9.2209307000221994</v>
      </c>
      <c r="P123" s="11">
        <f>IF(AND(N123-'Outil Cibles'!$R$7&lt;=60,N123-'Outil Cibles'!$R$7&gt;=0), 'Outil Cibles'!$R$17, 0)</f>
        <v>7.8928860244932029</v>
      </c>
      <c r="Q123" s="11">
        <f>IF(AND(N123-'Outil Cibles'!$S$7&lt;=60,N123-'Outil Cibles'!$S$7&gt;=0), 'Outil Cibles'!$S$17, 0)</f>
        <v>5.7861034181094277</v>
      </c>
      <c r="R123" s="11">
        <f>IF(AND(N123-'Outil Cibles'!$T$7&lt;=60,N123-'Outil Cibles'!$T$7&gt;=0), 'Outil Cibles'!$T$17, 0)</f>
        <v>3.9285483356528981</v>
      </c>
      <c r="S123" s="11">
        <f>IF(AND(N123-'Outil Cibles'!$U$7&lt;=60,N123-'Outil Cibles'!$U$7&gt;=0), 'Outil Cibles'!$U$17, 0)</f>
        <v>3.1156336157567535</v>
      </c>
      <c r="T123" s="11">
        <f>IF(AND(N123-'Outil Cibles'!$V$7&lt;=60,N123-'Outil Cibles'!$V$7&gt;=0), 'Outil Cibles'!$V$17, 0)</f>
        <v>2.6699626409394961</v>
      </c>
      <c r="U123" s="11">
        <f>IF(AND(N123-'Outil Cibles'!$W$7&lt;=60,N123-'Outil Cibles'!$W$7&gt;=0), 'Outil Cibles'!$W$17, 0)</f>
        <v>2.2883803860824354</v>
      </c>
      <c r="V123" s="11">
        <f>IF(AND(N123-'Outil Cibles'!$X$7&lt;=60,N123-'Outil Cibles'!$X$7&gt;=0), 'Outil Cibles'!$X$17, 0)</f>
        <v>1.9616157649480985</v>
      </c>
      <c r="W123" s="11">
        <f>IF(AND(N123-'Outil Cibles'!$Y$7&lt;=60,N123-'Outil Cibles'!$Y$7&gt;=0), 'Outil Cibles'!$Y$17, 0)</f>
        <v>1.4420078055173704</v>
      </c>
      <c r="X123" s="11">
        <f>IF(AND(N123-'Outil Cibles'!$Z$7&lt;=60,N123-'Outil Cibles'!$Z$7&gt;=0), 'Outil Cibles'!$Z$17, 0)</f>
        <v>1.2366099769912016</v>
      </c>
      <c r="Y123" s="11">
        <f t="shared" si="5"/>
        <v>39.542678668513091</v>
      </c>
    </row>
    <row r="124" spans="1:25" x14ac:dyDescent="0.3">
      <c r="A124">
        <v>2059</v>
      </c>
      <c r="B124" s="11">
        <f>IF(AND(A124-'Outil Cibles'!$D$7&lt;=60,A124-'Outil Cibles'!$D$7&gt;=0), 'Outil Cibles'!$D$17, 0)</f>
        <v>8.7624493817977029</v>
      </c>
      <c r="C124" s="11">
        <f>IF(AND(A124-'Outil Cibles'!$E$7&lt;=60,A124-'Outil Cibles'!$E$7&gt;=0), 'Outil Cibles'!$E$17, 0)</f>
        <v>7.6922353293822718</v>
      </c>
      <c r="D124" s="11">
        <f>IF(AND(A124-'Outil Cibles'!$F$7&lt;=60,A124-'Outil Cibles'!$F$7&gt;=0), 'Outil Cibles'!$F$17, 0)</f>
        <v>6.6208262323138225</v>
      </c>
      <c r="E124" s="11">
        <f>IF(AND(A124-'Outil Cibles'!$G$7&lt;=60,A124-'Outil Cibles'!$G$7&gt;=0), 'Outil Cibles'!$G$17, 0)</f>
        <v>5.3823222388442451</v>
      </c>
      <c r="F124" s="11">
        <f>IF(AND(A124-'Outil Cibles'!$H$7&lt;=60,A124-'Outil Cibles'!$H$7&gt;=0), 'Outil Cibles'!$H$17, 0)</f>
        <v>4.6974836188392803</v>
      </c>
      <c r="G124" s="11">
        <f>IF(AND(A124-'Outil Cibles'!$I$7&lt;=60,A124-'Outil Cibles'!$I$7&gt;=0), 'Outil Cibles'!$I$17, 0)</f>
        <v>4.2500459859961417</v>
      </c>
      <c r="H124" s="11">
        <f>IF(AND(A124-'Outil Cibles'!$J$7&lt;=60,A124-'Outil Cibles'!$J$7&gt;=0), 'Outil Cibles'!$J$17, 0)</f>
        <v>3.8781564147749821</v>
      </c>
      <c r="L124" s="11">
        <f t="shared" si="4"/>
        <v>41.283519201948444</v>
      </c>
      <c r="N124">
        <v>2059</v>
      </c>
      <c r="O124" s="11">
        <f>IF(AND(N124-'Outil Cibles'!$Q$7&lt;=60,N124-'Outil Cibles'!$Q$7&gt;=0), 'Outil Cibles'!$Q$17, 0)</f>
        <v>9.2209307000221994</v>
      </c>
      <c r="P124" s="11">
        <f>IF(AND(N124-'Outil Cibles'!$R$7&lt;=60,N124-'Outil Cibles'!$R$7&gt;=0), 'Outil Cibles'!$R$17, 0)</f>
        <v>7.8928860244932029</v>
      </c>
      <c r="Q124" s="11">
        <f>IF(AND(N124-'Outil Cibles'!$S$7&lt;=60,N124-'Outil Cibles'!$S$7&gt;=0), 'Outil Cibles'!$S$17, 0)</f>
        <v>5.7861034181094277</v>
      </c>
      <c r="R124" s="11">
        <f>IF(AND(N124-'Outil Cibles'!$T$7&lt;=60,N124-'Outil Cibles'!$T$7&gt;=0), 'Outil Cibles'!$T$17, 0)</f>
        <v>3.9285483356528981</v>
      </c>
      <c r="S124" s="11">
        <f>IF(AND(N124-'Outil Cibles'!$U$7&lt;=60,N124-'Outil Cibles'!$U$7&gt;=0), 'Outil Cibles'!$U$17, 0)</f>
        <v>3.1156336157567535</v>
      </c>
      <c r="T124" s="11">
        <f>IF(AND(N124-'Outil Cibles'!$V$7&lt;=60,N124-'Outil Cibles'!$V$7&gt;=0), 'Outil Cibles'!$V$17, 0)</f>
        <v>2.6699626409394961</v>
      </c>
      <c r="U124" s="11">
        <f>IF(AND(N124-'Outil Cibles'!$W$7&lt;=60,N124-'Outil Cibles'!$W$7&gt;=0), 'Outil Cibles'!$W$17, 0)</f>
        <v>2.2883803860824354</v>
      </c>
      <c r="V124" s="11">
        <f>IF(AND(N124-'Outil Cibles'!$X$7&lt;=60,N124-'Outil Cibles'!$X$7&gt;=0), 'Outil Cibles'!$X$17, 0)</f>
        <v>1.9616157649480985</v>
      </c>
      <c r="W124" s="11">
        <f>IF(AND(N124-'Outil Cibles'!$Y$7&lt;=60,N124-'Outil Cibles'!$Y$7&gt;=0), 'Outil Cibles'!$Y$17, 0)</f>
        <v>1.4420078055173704</v>
      </c>
      <c r="X124" s="11">
        <f>IF(AND(N124-'Outil Cibles'!$Z$7&lt;=60,N124-'Outil Cibles'!$Z$7&gt;=0), 'Outil Cibles'!$Z$17, 0)</f>
        <v>1.2366099769912016</v>
      </c>
      <c r="Y124" s="11">
        <f t="shared" si="5"/>
        <v>39.542678668513091</v>
      </c>
    </row>
    <row r="125" spans="1:25" x14ac:dyDescent="0.3">
      <c r="A125">
        <v>2060</v>
      </c>
      <c r="B125" s="11">
        <f>IF(AND(A125-'Outil Cibles'!$D$7&lt;=60,A125-'Outil Cibles'!$D$7&gt;=0), 'Outil Cibles'!$D$17, 0)</f>
        <v>8.7624493817977029</v>
      </c>
      <c r="C125" s="11">
        <f>IF(AND(A125-'Outil Cibles'!$E$7&lt;=60,A125-'Outil Cibles'!$E$7&gt;=0), 'Outil Cibles'!$E$17, 0)</f>
        <v>7.6922353293822718</v>
      </c>
      <c r="D125" s="11">
        <f>IF(AND(A125-'Outil Cibles'!$F$7&lt;=60,A125-'Outil Cibles'!$F$7&gt;=0), 'Outil Cibles'!$F$17, 0)</f>
        <v>6.6208262323138225</v>
      </c>
      <c r="E125" s="11">
        <f>IF(AND(A125-'Outil Cibles'!$G$7&lt;=60,A125-'Outil Cibles'!$G$7&gt;=0), 'Outil Cibles'!$G$17, 0)</f>
        <v>5.3823222388442451</v>
      </c>
      <c r="F125" s="11">
        <f>IF(AND(A125-'Outil Cibles'!$H$7&lt;=60,A125-'Outil Cibles'!$H$7&gt;=0), 'Outil Cibles'!$H$17, 0)</f>
        <v>4.6974836188392803</v>
      </c>
      <c r="G125" s="11">
        <f>IF(AND(A125-'Outil Cibles'!$I$7&lt;=60,A125-'Outil Cibles'!$I$7&gt;=0), 'Outil Cibles'!$I$17, 0)</f>
        <v>4.2500459859961417</v>
      </c>
      <c r="H125" s="11">
        <f>IF(AND(A125-'Outil Cibles'!$J$7&lt;=60,A125-'Outil Cibles'!$J$7&gt;=0), 'Outil Cibles'!$J$17, 0)</f>
        <v>3.8781564147749821</v>
      </c>
      <c r="L125" s="11">
        <f t="shared" si="4"/>
        <v>41.283519201948444</v>
      </c>
      <c r="N125">
        <v>2060</v>
      </c>
      <c r="O125" s="11">
        <f>IF(AND(N125-'Outil Cibles'!$Q$7&lt;=60,N125-'Outil Cibles'!$Q$7&gt;=0), 'Outil Cibles'!$Q$17, 0)</f>
        <v>9.2209307000221994</v>
      </c>
      <c r="P125" s="11">
        <f>IF(AND(N125-'Outil Cibles'!$R$7&lt;=60,N125-'Outil Cibles'!$R$7&gt;=0), 'Outil Cibles'!$R$17, 0)</f>
        <v>7.8928860244932029</v>
      </c>
      <c r="Q125" s="11">
        <f>IF(AND(N125-'Outil Cibles'!$S$7&lt;=60,N125-'Outil Cibles'!$S$7&gt;=0), 'Outil Cibles'!$S$17, 0)</f>
        <v>5.7861034181094277</v>
      </c>
      <c r="R125" s="11">
        <f>IF(AND(N125-'Outil Cibles'!$T$7&lt;=60,N125-'Outil Cibles'!$T$7&gt;=0), 'Outil Cibles'!$T$17, 0)</f>
        <v>3.9285483356528981</v>
      </c>
      <c r="S125" s="11">
        <f>IF(AND(N125-'Outil Cibles'!$U$7&lt;=60,N125-'Outil Cibles'!$U$7&gt;=0), 'Outil Cibles'!$U$17, 0)</f>
        <v>3.1156336157567535</v>
      </c>
      <c r="T125" s="11">
        <f>IF(AND(N125-'Outil Cibles'!$V$7&lt;=60,N125-'Outil Cibles'!$V$7&gt;=0), 'Outil Cibles'!$V$17, 0)</f>
        <v>2.6699626409394961</v>
      </c>
      <c r="U125" s="11">
        <f>IF(AND(N125-'Outil Cibles'!$W$7&lt;=60,N125-'Outil Cibles'!$W$7&gt;=0), 'Outil Cibles'!$W$17, 0)</f>
        <v>2.2883803860824354</v>
      </c>
      <c r="V125" s="11">
        <f>IF(AND(N125-'Outil Cibles'!$X$7&lt;=60,N125-'Outil Cibles'!$X$7&gt;=0), 'Outil Cibles'!$X$17, 0)</f>
        <v>1.9616157649480985</v>
      </c>
      <c r="W125" s="11">
        <f>IF(AND(N125-'Outil Cibles'!$Y$7&lt;=60,N125-'Outil Cibles'!$Y$7&gt;=0), 'Outil Cibles'!$Y$17, 0)</f>
        <v>1.4420078055173704</v>
      </c>
      <c r="X125" s="11">
        <f>IF(AND(N125-'Outil Cibles'!$Z$7&lt;=60,N125-'Outil Cibles'!$Z$7&gt;=0), 'Outil Cibles'!$Z$17, 0)</f>
        <v>1.2366099769912016</v>
      </c>
      <c r="Y125" s="11">
        <f t="shared" si="5"/>
        <v>39.542678668513091</v>
      </c>
    </row>
    <row r="126" spans="1:25" x14ac:dyDescent="0.3">
      <c r="A126">
        <v>2061</v>
      </c>
      <c r="B126" s="11">
        <f>IF(AND(A126-'Outil Cibles'!$D$7&lt;=60,A126-'Outil Cibles'!$D$7&gt;=0), 'Outil Cibles'!$D$17, 0)</f>
        <v>8.7624493817977029</v>
      </c>
      <c r="C126" s="11">
        <f>IF(AND(A126-'Outil Cibles'!$E$7&lt;=60,A126-'Outil Cibles'!$E$7&gt;=0), 'Outil Cibles'!$E$17, 0)</f>
        <v>7.6922353293822718</v>
      </c>
      <c r="D126" s="11">
        <f>IF(AND(A126-'Outil Cibles'!$F$7&lt;=60,A126-'Outil Cibles'!$F$7&gt;=0), 'Outil Cibles'!$F$17, 0)</f>
        <v>6.6208262323138225</v>
      </c>
      <c r="E126" s="11">
        <f>IF(AND(A126-'Outil Cibles'!$G$7&lt;=60,A126-'Outil Cibles'!$G$7&gt;=0), 'Outil Cibles'!$G$17, 0)</f>
        <v>5.3823222388442451</v>
      </c>
      <c r="F126" s="11">
        <f>IF(AND(A126-'Outil Cibles'!$H$7&lt;=60,A126-'Outil Cibles'!$H$7&gt;=0), 'Outil Cibles'!$H$17, 0)</f>
        <v>4.6974836188392803</v>
      </c>
      <c r="G126" s="11">
        <f>IF(AND(A126-'Outil Cibles'!$I$7&lt;=60,A126-'Outil Cibles'!$I$7&gt;=0), 'Outil Cibles'!$I$17, 0)</f>
        <v>4.2500459859961417</v>
      </c>
      <c r="H126" s="11">
        <f>IF(AND(A126-'Outil Cibles'!$J$7&lt;=60,A126-'Outil Cibles'!$J$7&gt;=0), 'Outil Cibles'!$J$17, 0)</f>
        <v>3.8781564147749821</v>
      </c>
      <c r="L126" s="11">
        <f t="shared" si="4"/>
        <v>41.283519201948444</v>
      </c>
      <c r="N126">
        <v>2061</v>
      </c>
      <c r="O126" s="11">
        <f>IF(AND(N126-'Outil Cibles'!$Q$7&lt;=60,N126-'Outil Cibles'!$Q$7&gt;=0), 'Outil Cibles'!$Q$17, 0)</f>
        <v>9.2209307000221994</v>
      </c>
      <c r="P126" s="11">
        <f>IF(AND(N126-'Outil Cibles'!$R$7&lt;=60,N126-'Outil Cibles'!$R$7&gt;=0), 'Outil Cibles'!$R$17, 0)</f>
        <v>7.8928860244932029</v>
      </c>
      <c r="Q126" s="11">
        <f>IF(AND(N126-'Outil Cibles'!$S$7&lt;=60,N126-'Outil Cibles'!$S$7&gt;=0), 'Outil Cibles'!$S$17, 0)</f>
        <v>5.7861034181094277</v>
      </c>
      <c r="R126" s="11">
        <f>IF(AND(N126-'Outil Cibles'!$T$7&lt;=60,N126-'Outil Cibles'!$T$7&gt;=0), 'Outil Cibles'!$T$17, 0)</f>
        <v>3.9285483356528981</v>
      </c>
      <c r="S126" s="11">
        <f>IF(AND(N126-'Outil Cibles'!$U$7&lt;=60,N126-'Outil Cibles'!$U$7&gt;=0), 'Outil Cibles'!$U$17, 0)</f>
        <v>3.1156336157567535</v>
      </c>
      <c r="T126" s="11">
        <f>IF(AND(N126-'Outil Cibles'!$V$7&lt;=60,N126-'Outil Cibles'!$V$7&gt;=0), 'Outil Cibles'!$V$17, 0)</f>
        <v>2.6699626409394961</v>
      </c>
      <c r="U126" s="11">
        <f>IF(AND(N126-'Outil Cibles'!$W$7&lt;=60,N126-'Outil Cibles'!$W$7&gt;=0), 'Outil Cibles'!$W$17, 0)</f>
        <v>2.2883803860824354</v>
      </c>
      <c r="V126" s="11">
        <f>IF(AND(N126-'Outil Cibles'!$X$7&lt;=60,N126-'Outil Cibles'!$X$7&gt;=0), 'Outil Cibles'!$X$17, 0)</f>
        <v>1.9616157649480985</v>
      </c>
      <c r="W126" s="11">
        <f>IF(AND(N126-'Outil Cibles'!$Y$7&lt;=60,N126-'Outil Cibles'!$Y$7&gt;=0), 'Outil Cibles'!$Y$17, 0)</f>
        <v>1.4420078055173704</v>
      </c>
      <c r="X126" s="11">
        <f>IF(AND(N126-'Outil Cibles'!$Z$7&lt;=60,N126-'Outil Cibles'!$Z$7&gt;=0), 'Outil Cibles'!$Z$17, 0)</f>
        <v>1.2366099769912016</v>
      </c>
      <c r="Y126" s="11">
        <f t="shared" si="5"/>
        <v>39.542678668513091</v>
      </c>
    </row>
    <row r="127" spans="1:25" x14ac:dyDescent="0.3">
      <c r="A127" s="10">
        <v>2062</v>
      </c>
      <c r="B127" s="11">
        <f>IF(AND(A127-'Outil Cibles'!$D$7&lt;=60,A127-'Outil Cibles'!$D$7&gt;=0), 'Outil Cibles'!$D$17, 0)</f>
        <v>8.7624493817977029</v>
      </c>
      <c r="C127" s="11">
        <f>IF(AND(A127-'Outil Cibles'!$E$7&lt;=60,A127-'Outil Cibles'!$E$7&gt;=0), 'Outil Cibles'!$E$17, 0)</f>
        <v>7.6922353293822718</v>
      </c>
      <c r="D127" s="11">
        <f>IF(AND(A127-'Outil Cibles'!$F$7&lt;=60,A127-'Outil Cibles'!$F$7&gt;=0), 'Outil Cibles'!$F$17, 0)</f>
        <v>6.6208262323138225</v>
      </c>
      <c r="E127" s="11">
        <f>IF(AND(A127-'Outil Cibles'!$G$7&lt;=60,A127-'Outil Cibles'!$G$7&gt;=0), 'Outil Cibles'!$G$17, 0)</f>
        <v>5.3823222388442451</v>
      </c>
      <c r="F127" s="11">
        <f>IF(AND(A127-'Outil Cibles'!$H$7&lt;=60,A127-'Outil Cibles'!$H$7&gt;=0), 'Outil Cibles'!$H$17, 0)</f>
        <v>4.6974836188392803</v>
      </c>
      <c r="G127" s="11">
        <f>IF(AND(A127-'Outil Cibles'!$I$7&lt;=60,A127-'Outil Cibles'!$I$7&gt;=0), 'Outil Cibles'!$I$17, 0)</f>
        <v>4.2500459859961417</v>
      </c>
      <c r="H127" s="11">
        <f>IF(AND(A127-'Outil Cibles'!$J$7&lt;=60,A127-'Outil Cibles'!$J$7&gt;=0), 'Outil Cibles'!$J$17, 0)</f>
        <v>3.8781564147749821</v>
      </c>
      <c r="L127" s="11">
        <f t="shared" si="4"/>
        <v>41.283519201948444</v>
      </c>
      <c r="N127" s="10">
        <v>2062</v>
      </c>
      <c r="O127" s="11">
        <f>IF(AND(N127-'Outil Cibles'!$Q$7&lt;=60,N127-'Outil Cibles'!$Q$7&gt;=0), 'Outil Cibles'!$Q$17, 0)</f>
        <v>9.2209307000221994</v>
      </c>
      <c r="P127" s="11">
        <f>IF(AND(N127-'Outil Cibles'!$R$7&lt;=60,N127-'Outil Cibles'!$R$7&gt;=0), 'Outil Cibles'!$R$17, 0)</f>
        <v>7.8928860244932029</v>
      </c>
      <c r="Q127" s="11">
        <f>IF(AND(N127-'Outil Cibles'!$S$7&lt;=60,N127-'Outil Cibles'!$S$7&gt;=0), 'Outil Cibles'!$S$17, 0)</f>
        <v>5.7861034181094277</v>
      </c>
      <c r="R127" s="11">
        <f>IF(AND(N127-'Outil Cibles'!$T$7&lt;=60,N127-'Outil Cibles'!$T$7&gt;=0), 'Outil Cibles'!$T$17, 0)</f>
        <v>3.9285483356528981</v>
      </c>
      <c r="S127" s="11">
        <f>IF(AND(N127-'Outil Cibles'!$U$7&lt;=60,N127-'Outil Cibles'!$U$7&gt;=0), 'Outil Cibles'!$U$17, 0)</f>
        <v>3.1156336157567535</v>
      </c>
      <c r="T127" s="11">
        <f>IF(AND(N127-'Outil Cibles'!$V$7&lt;=60,N127-'Outil Cibles'!$V$7&gt;=0), 'Outil Cibles'!$V$17, 0)</f>
        <v>2.6699626409394961</v>
      </c>
      <c r="U127" s="11">
        <f>IF(AND(N127-'Outil Cibles'!$W$7&lt;=60,N127-'Outil Cibles'!$W$7&gt;=0), 'Outil Cibles'!$W$17, 0)</f>
        <v>2.2883803860824354</v>
      </c>
      <c r="V127" s="11">
        <f>IF(AND(N127-'Outil Cibles'!$X$7&lt;=60,N127-'Outil Cibles'!$X$7&gt;=0), 'Outil Cibles'!$X$17, 0)</f>
        <v>1.9616157649480985</v>
      </c>
      <c r="W127" s="11">
        <f>IF(AND(N127-'Outil Cibles'!$Y$7&lt;=60,N127-'Outil Cibles'!$Y$7&gt;=0), 'Outil Cibles'!$Y$17, 0)</f>
        <v>1.4420078055173704</v>
      </c>
      <c r="X127" s="11">
        <f>IF(AND(N127-'Outil Cibles'!$Z$7&lt;=60,N127-'Outil Cibles'!$Z$7&gt;=0), 'Outil Cibles'!$Z$17, 0)</f>
        <v>1.2366099769912016</v>
      </c>
      <c r="Y127" s="11">
        <f t="shared" si="5"/>
        <v>39.542678668513091</v>
      </c>
    </row>
    <row r="128" spans="1:25" x14ac:dyDescent="0.3">
      <c r="A128">
        <v>2063</v>
      </c>
      <c r="B128" s="11">
        <f>IF(AND(A128-'Outil Cibles'!$D$7&lt;=60,A128-'Outil Cibles'!$D$7&gt;=0), 'Outil Cibles'!$D$17, 0)</f>
        <v>8.7624493817977029</v>
      </c>
      <c r="C128" s="11">
        <f>IF(AND(A128-'Outil Cibles'!$E$7&lt;=60,A128-'Outil Cibles'!$E$7&gt;=0), 'Outil Cibles'!$E$17, 0)</f>
        <v>7.6922353293822718</v>
      </c>
      <c r="D128" s="11">
        <f>IF(AND(A128-'Outil Cibles'!$F$7&lt;=60,A128-'Outil Cibles'!$F$7&gt;=0), 'Outil Cibles'!$F$17, 0)</f>
        <v>6.6208262323138225</v>
      </c>
      <c r="E128" s="11">
        <f>IF(AND(A128-'Outil Cibles'!$G$7&lt;=60,A128-'Outil Cibles'!$G$7&gt;=0), 'Outil Cibles'!$G$17, 0)</f>
        <v>5.3823222388442451</v>
      </c>
      <c r="F128" s="11">
        <f>IF(AND(A128-'Outil Cibles'!$H$7&lt;=60,A128-'Outil Cibles'!$H$7&gt;=0), 'Outil Cibles'!$H$17, 0)</f>
        <v>4.6974836188392803</v>
      </c>
      <c r="G128" s="11">
        <f>IF(AND(A128-'Outil Cibles'!$I$7&lt;=60,A128-'Outil Cibles'!$I$7&gt;=0), 'Outil Cibles'!$I$17, 0)</f>
        <v>4.2500459859961417</v>
      </c>
      <c r="H128" s="11">
        <f>IF(AND(A128-'Outil Cibles'!$J$7&lt;=60,A128-'Outil Cibles'!$J$7&gt;=0), 'Outil Cibles'!$J$17, 0)</f>
        <v>3.8781564147749821</v>
      </c>
      <c r="L128" s="11">
        <f t="shared" si="4"/>
        <v>41.283519201948444</v>
      </c>
      <c r="N128">
        <v>2063</v>
      </c>
      <c r="O128" s="11">
        <f>IF(AND(N128-'Outil Cibles'!$Q$7&lt;=60,N128-'Outil Cibles'!$Q$7&gt;=0), 'Outil Cibles'!$Q$17, 0)</f>
        <v>9.2209307000221994</v>
      </c>
      <c r="P128" s="11">
        <f>IF(AND(N128-'Outil Cibles'!$R$7&lt;=60,N128-'Outil Cibles'!$R$7&gt;=0), 'Outil Cibles'!$R$17, 0)</f>
        <v>7.8928860244932029</v>
      </c>
      <c r="Q128" s="11">
        <f>IF(AND(N128-'Outil Cibles'!$S$7&lt;=60,N128-'Outil Cibles'!$S$7&gt;=0), 'Outil Cibles'!$S$17, 0)</f>
        <v>5.7861034181094277</v>
      </c>
      <c r="R128" s="11">
        <f>IF(AND(N128-'Outil Cibles'!$T$7&lt;=60,N128-'Outil Cibles'!$T$7&gt;=0), 'Outil Cibles'!$T$17, 0)</f>
        <v>3.9285483356528981</v>
      </c>
      <c r="S128" s="11">
        <f>IF(AND(N128-'Outil Cibles'!$U$7&lt;=60,N128-'Outil Cibles'!$U$7&gt;=0), 'Outil Cibles'!$U$17, 0)</f>
        <v>3.1156336157567535</v>
      </c>
      <c r="T128" s="11">
        <f>IF(AND(N128-'Outil Cibles'!$V$7&lt;=60,N128-'Outil Cibles'!$V$7&gt;=0), 'Outil Cibles'!$V$17, 0)</f>
        <v>2.6699626409394961</v>
      </c>
      <c r="U128" s="11">
        <f>IF(AND(N128-'Outil Cibles'!$W$7&lt;=60,N128-'Outil Cibles'!$W$7&gt;=0), 'Outil Cibles'!$W$17, 0)</f>
        <v>2.2883803860824354</v>
      </c>
      <c r="V128" s="11">
        <f>IF(AND(N128-'Outil Cibles'!$X$7&lt;=60,N128-'Outil Cibles'!$X$7&gt;=0), 'Outil Cibles'!$X$17, 0)</f>
        <v>1.9616157649480985</v>
      </c>
      <c r="W128" s="11">
        <f>IF(AND(N128-'Outil Cibles'!$Y$7&lt;=60,N128-'Outil Cibles'!$Y$7&gt;=0), 'Outil Cibles'!$Y$17, 0)</f>
        <v>1.4420078055173704</v>
      </c>
      <c r="X128" s="11">
        <f>IF(AND(N128-'Outil Cibles'!$Z$7&lt;=60,N128-'Outil Cibles'!$Z$7&gt;=0), 'Outil Cibles'!$Z$17, 0)</f>
        <v>1.2366099769912016</v>
      </c>
      <c r="Y128" s="11">
        <f t="shared" si="5"/>
        <v>39.542678668513091</v>
      </c>
    </row>
    <row r="129" spans="1:25" x14ac:dyDescent="0.3">
      <c r="A129">
        <v>2064</v>
      </c>
      <c r="B129" s="11">
        <f>IF(AND(A129-'Outil Cibles'!$D$7&lt;=60,A129-'Outil Cibles'!$D$7&gt;=0), 'Outil Cibles'!$D$17, 0)</f>
        <v>8.7624493817977029</v>
      </c>
      <c r="C129" s="11">
        <f>IF(AND(A129-'Outil Cibles'!$E$7&lt;=60,A129-'Outil Cibles'!$E$7&gt;=0), 'Outil Cibles'!$E$17, 0)</f>
        <v>7.6922353293822718</v>
      </c>
      <c r="D129" s="11">
        <f>IF(AND(A129-'Outil Cibles'!$F$7&lt;=60,A129-'Outil Cibles'!$F$7&gt;=0), 'Outil Cibles'!$F$17, 0)</f>
        <v>6.6208262323138225</v>
      </c>
      <c r="E129" s="11">
        <f>IF(AND(A129-'Outil Cibles'!$G$7&lt;=60,A129-'Outil Cibles'!$G$7&gt;=0), 'Outil Cibles'!$G$17, 0)</f>
        <v>5.3823222388442451</v>
      </c>
      <c r="F129" s="11">
        <f>IF(AND(A129-'Outil Cibles'!$H$7&lt;=60,A129-'Outil Cibles'!$H$7&gt;=0), 'Outil Cibles'!$H$17, 0)</f>
        <v>4.6974836188392803</v>
      </c>
      <c r="G129" s="11">
        <f>IF(AND(A129-'Outil Cibles'!$I$7&lt;=60,A129-'Outil Cibles'!$I$7&gt;=0), 'Outil Cibles'!$I$17, 0)</f>
        <v>4.2500459859961417</v>
      </c>
      <c r="H129" s="11">
        <f>IF(AND(A129-'Outil Cibles'!$J$7&lt;=60,A129-'Outil Cibles'!$J$7&gt;=0), 'Outil Cibles'!$J$17, 0)</f>
        <v>3.8781564147749821</v>
      </c>
      <c r="L129" s="11">
        <f t="shared" si="4"/>
        <v>41.283519201948444</v>
      </c>
      <c r="N129">
        <v>2064</v>
      </c>
      <c r="O129" s="11">
        <f>IF(AND(N129-'Outil Cibles'!$Q$7&lt;=60,N129-'Outil Cibles'!$Q$7&gt;=0), 'Outil Cibles'!$Q$17, 0)</f>
        <v>9.2209307000221994</v>
      </c>
      <c r="P129" s="11">
        <f>IF(AND(N129-'Outil Cibles'!$R$7&lt;=60,N129-'Outil Cibles'!$R$7&gt;=0), 'Outil Cibles'!$R$17, 0)</f>
        <v>7.8928860244932029</v>
      </c>
      <c r="Q129" s="11">
        <f>IF(AND(N129-'Outil Cibles'!$S$7&lt;=60,N129-'Outil Cibles'!$S$7&gt;=0), 'Outil Cibles'!$S$17, 0)</f>
        <v>5.7861034181094277</v>
      </c>
      <c r="R129" s="11">
        <f>IF(AND(N129-'Outil Cibles'!$T$7&lt;=60,N129-'Outil Cibles'!$T$7&gt;=0), 'Outil Cibles'!$T$17, 0)</f>
        <v>3.9285483356528981</v>
      </c>
      <c r="S129" s="11">
        <f>IF(AND(N129-'Outil Cibles'!$U$7&lt;=60,N129-'Outil Cibles'!$U$7&gt;=0), 'Outil Cibles'!$U$17, 0)</f>
        <v>3.1156336157567535</v>
      </c>
      <c r="T129" s="11">
        <f>IF(AND(N129-'Outil Cibles'!$V$7&lt;=60,N129-'Outil Cibles'!$V$7&gt;=0), 'Outil Cibles'!$V$17, 0)</f>
        <v>2.6699626409394961</v>
      </c>
      <c r="U129" s="11">
        <f>IF(AND(N129-'Outil Cibles'!$W$7&lt;=60,N129-'Outil Cibles'!$W$7&gt;=0), 'Outil Cibles'!$W$17, 0)</f>
        <v>2.2883803860824354</v>
      </c>
      <c r="V129" s="11">
        <f>IF(AND(N129-'Outil Cibles'!$X$7&lt;=60,N129-'Outil Cibles'!$X$7&gt;=0), 'Outil Cibles'!$X$17, 0)</f>
        <v>1.9616157649480985</v>
      </c>
      <c r="W129" s="11">
        <f>IF(AND(N129-'Outil Cibles'!$Y$7&lt;=60,N129-'Outil Cibles'!$Y$7&gt;=0), 'Outil Cibles'!$Y$17, 0)</f>
        <v>1.4420078055173704</v>
      </c>
      <c r="X129" s="11">
        <f>IF(AND(N129-'Outil Cibles'!$Z$7&lt;=60,N129-'Outil Cibles'!$Z$7&gt;=0), 'Outil Cibles'!$Z$17, 0)</f>
        <v>1.2366099769912016</v>
      </c>
      <c r="Y129" s="11">
        <f t="shared" si="5"/>
        <v>39.542678668513091</v>
      </c>
    </row>
    <row r="130" spans="1:25" x14ac:dyDescent="0.3">
      <c r="A130">
        <v>2065</v>
      </c>
      <c r="B130" s="11">
        <f>IF(AND(A130-'Outil Cibles'!$D$7&lt;=60,A130-'Outil Cibles'!$D$7&gt;=0), 'Outil Cibles'!$D$17, 0)</f>
        <v>8.7624493817977029</v>
      </c>
      <c r="C130" s="11">
        <f>IF(AND(A130-'Outil Cibles'!$E$7&lt;=60,A130-'Outil Cibles'!$E$7&gt;=0), 'Outil Cibles'!$E$17, 0)</f>
        <v>7.6922353293822718</v>
      </c>
      <c r="D130" s="11">
        <f>IF(AND(A130-'Outil Cibles'!$F$7&lt;=60,A130-'Outil Cibles'!$F$7&gt;=0), 'Outil Cibles'!$F$17, 0)</f>
        <v>6.6208262323138225</v>
      </c>
      <c r="E130" s="11">
        <f>IF(AND(A130-'Outil Cibles'!$G$7&lt;=60,A130-'Outil Cibles'!$G$7&gt;=0), 'Outil Cibles'!$G$17, 0)</f>
        <v>5.3823222388442451</v>
      </c>
      <c r="F130" s="11">
        <f>IF(AND(A130-'Outil Cibles'!$H$7&lt;=60,A130-'Outil Cibles'!$H$7&gt;=0), 'Outil Cibles'!$H$17, 0)</f>
        <v>4.6974836188392803</v>
      </c>
      <c r="G130" s="11">
        <f>IF(AND(A130-'Outil Cibles'!$I$7&lt;=60,A130-'Outil Cibles'!$I$7&gt;=0), 'Outil Cibles'!$I$17, 0)</f>
        <v>4.2500459859961417</v>
      </c>
      <c r="H130" s="11">
        <f>IF(AND(A130-'Outil Cibles'!$J$7&lt;=60,A130-'Outil Cibles'!$J$7&gt;=0), 'Outil Cibles'!$J$17, 0)</f>
        <v>3.8781564147749821</v>
      </c>
      <c r="L130" s="11">
        <f t="shared" si="4"/>
        <v>41.283519201948444</v>
      </c>
      <c r="N130">
        <v>2065</v>
      </c>
      <c r="O130" s="11">
        <f>IF(AND(N130-'Outil Cibles'!$Q$7&lt;=60,N130-'Outil Cibles'!$Q$7&gt;=0), 'Outil Cibles'!$Q$17, 0)</f>
        <v>9.2209307000221994</v>
      </c>
      <c r="P130" s="11">
        <f>IF(AND(N130-'Outil Cibles'!$R$7&lt;=60,N130-'Outil Cibles'!$R$7&gt;=0), 'Outil Cibles'!$R$17, 0)</f>
        <v>7.8928860244932029</v>
      </c>
      <c r="Q130" s="11">
        <f>IF(AND(N130-'Outil Cibles'!$S$7&lt;=60,N130-'Outil Cibles'!$S$7&gt;=0), 'Outil Cibles'!$S$17, 0)</f>
        <v>5.7861034181094277</v>
      </c>
      <c r="R130" s="11">
        <f>IF(AND(N130-'Outil Cibles'!$T$7&lt;=60,N130-'Outil Cibles'!$T$7&gt;=0), 'Outil Cibles'!$T$17, 0)</f>
        <v>3.9285483356528981</v>
      </c>
      <c r="S130" s="11">
        <f>IF(AND(N130-'Outil Cibles'!$U$7&lt;=60,N130-'Outil Cibles'!$U$7&gt;=0), 'Outil Cibles'!$U$17, 0)</f>
        <v>3.1156336157567535</v>
      </c>
      <c r="T130" s="11">
        <f>IF(AND(N130-'Outil Cibles'!$V$7&lt;=60,N130-'Outil Cibles'!$V$7&gt;=0), 'Outil Cibles'!$V$17, 0)</f>
        <v>2.6699626409394961</v>
      </c>
      <c r="U130" s="11">
        <f>IF(AND(N130-'Outil Cibles'!$W$7&lt;=60,N130-'Outil Cibles'!$W$7&gt;=0), 'Outil Cibles'!$W$17, 0)</f>
        <v>2.2883803860824354</v>
      </c>
      <c r="V130" s="11">
        <f>IF(AND(N130-'Outil Cibles'!$X$7&lt;=60,N130-'Outil Cibles'!$X$7&gt;=0), 'Outil Cibles'!$X$17, 0)</f>
        <v>1.9616157649480985</v>
      </c>
      <c r="W130" s="11">
        <f>IF(AND(N130-'Outil Cibles'!$Y$7&lt;=60,N130-'Outil Cibles'!$Y$7&gt;=0), 'Outil Cibles'!$Y$17, 0)</f>
        <v>1.4420078055173704</v>
      </c>
      <c r="X130" s="11">
        <f>IF(AND(N130-'Outil Cibles'!$Z$7&lt;=60,N130-'Outil Cibles'!$Z$7&gt;=0), 'Outil Cibles'!$Z$17, 0)</f>
        <v>1.2366099769912016</v>
      </c>
      <c r="Y130" s="11">
        <f t="shared" si="5"/>
        <v>39.542678668513091</v>
      </c>
    </row>
    <row r="131" spans="1:25" x14ac:dyDescent="0.3">
      <c r="A131" s="10">
        <v>2066</v>
      </c>
      <c r="B131" s="11">
        <f>IF(AND(A131-'Outil Cibles'!$D$7&lt;=60,A131-'Outil Cibles'!$D$7&gt;=0), 'Outil Cibles'!$D$17, 0)</f>
        <v>8.7624493817977029</v>
      </c>
      <c r="C131" s="11">
        <f>IF(AND(A131-'Outil Cibles'!$E$7&lt;=60,A131-'Outil Cibles'!$E$7&gt;=0), 'Outil Cibles'!$E$17, 0)</f>
        <v>7.6922353293822718</v>
      </c>
      <c r="D131" s="11">
        <f>IF(AND(A131-'Outil Cibles'!$F$7&lt;=60,A131-'Outil Cibles'!$F$7&gt;=0), 'Outil Cibles'!$F$17, 0)</f>
        <v>6.6208262323138225</v>
      </c>
      <c r="E131" s="11">
        <f>IF(AND(A131-'Outil Cibles'!$G$7&lt;=60,A131-'Outil Cibles'!$G$7&gt;=0), 'Outil Cibles'!$G$17, 0)</f>
        <v>5.3823222388442451</v>
      </c>
      <c r="F131" s="11">
        <f>IF(AND(A131-'Outil Cibles'!$H$7&lt;=60,A131-'Outil Cibles'!$H$7&gt;=0), 'Outil Cibles'!$H$17, 0)</f>
        <v>4.6974836188392803</v>
      </c>
      <c r="G131" s="11">
        <f>IF(AND(A131-'Outil Cibles'!$I$7&lt;=60,A131-'Outil Cibles'!$I$7&gt;=0), 'Outil Cibles'!$I$17, 0)</f>
        <v>4.2500459859961417</v>
      </c>
      <c r="H131" s="11">
        <f>IF(AND(A131-'Outil Cibles'!$J$7&lt;=60,A131-'Outil Cibles'!$J$7&gt;=0), 'Outil Cibles'!$J$17, 0)</f>
        <v>3.8781564147749821</v>
      </c>
      <c r="L131" s="11">
        <f t="shared" si="4"/>
        <v>41.283519201948444</v>
      </c>
      <c r="N131" s="10">
        <v>2066</v>
      </c>
      <c r="O131" s="11">
        <f>IF(AND(N131-'Outil Cibles'!$Q$7&lt;=60,N131-'Outil Cibles'!$Q$7&gt;=0), 'Outil Cibles'!$Q$17, 0)</f>
        <v>9.2209307000221994</v>
      </c>
      <c r="P131" s="11">
        <f>IF(AND(N131-'Outil Cibles'!$R$7&lt;=60,N131-'Outil Cibles'!$R$7&gt;=0), 'Outil Cibles'!$R$17, 0)</f>
        <v>7.8928860244932029</v>
      </c>
      <c r="Q131" s="11">
        <f>IF(AND(N131-'Outil Cibles'!$S$7&lt;=60,N131-'Outil Cibles'!$S$7&gt;=0), 'Outil Cibles'!$S$17, 0)</f>
        <v>5.7861034181094277</v>
      </c>
      <c r="R131" s="11">
        <f>IF(AND(N131-'Outil Cibles'!$T$7&lt;=60,N131-'Outil Cibles'!$T$7&gt;=0), 'Outil Cibles'!$T$17, 0)</f>
        <v>3.9285483356528981</v>
      </c>
      <c r="S131" s="11">
        <f>IF(AND(N131-'Outil Cibles'!$U$7&lt;=60,N131-'Outil Cibles'!$U$7&gt;=0), 'Outil Cibles'!$U$17, 0)</f>
        <v>3.1156336157567535</v>
      </c>
      <c r="T131" s="11">
        <f>IF(AND(N131-'Outil Cibles'!$V$7&lt;=60,N131-'Outil Cibles'!$V$7&gt;=0), 'Outil Cibles'!$V$17, 0)</f>
        <v>2.6699626409394961</v>
      </c>
      <c r="U131" s="11">
        <f>IF(AND(N131-'Outil Cibles'!$W$7&lt;=60,N131-'Outil Cibles'!$W$7&gt;=0), 'Outil Cibles'!$W$17, 0)</f>
        <v>2.2883803860824354</v>
      </c>
      <c r="V131" s="11">
        <f>IF(AND(N131-'Outil Cibles'!$X$7&lt;=60,N131-'Outil Cibles'!$X$7&gt;=0), 'Outil Cibles'!$X$17, 0)</f>
        <v>1.9616157649480985</v>
      </c>
      <c r="W131" s="11">
        <f>IF(AND(N131-'Outil Cibles'!$Y$7&lt;=60,N131-'Outil Cibles'!$Y$7&gt;=0), 'Outil Cibles'!$Y$17, 0)</f>
        <v>1.4420078055173704</v>
      </c>
      <c r="X131" s="11">
        <f>IF(AND(N131-'Outil Cibles'!$Z$7&lt;=60,N131-'Outil Cibles'!$Z$7&gt;=0), 'Outil Cibles'!$Z$17, 0)</f>
        <v>1.2366099769912016</v>
      </c>
      <c r="Y131" s="11">
        <f t="shared" si="5"/>
        <v>39.542678668513091</v>
      </c>
    </row>
    <row r="132" spans="1:25" x14ac:dyDescent="0.3">
      <c r="A132">
        <v>2067</v>
      </c>
      <c r="B132" s="11">
        <f>IF(AND(A132-'Outil Cibles'!$D$7&lt;=60,A132-'Outil Cibles'!$D$7&gt;=0), 'Outil Cibles'!$D$17, 0)</f>
        <v>8.7624493817977029</v>
      </c>
      <c r="C132" s="11">
        <f>IF(AND(A132-'Outil Cibles'!$E$7&lt;=60,A132-'Outil Cibles'!$E$7&gt;=0), 'Outil Cibles'!$E$17, 0)</f>
        <v>7.6922353293822718</v>
      </c>
      <c r="D132" s="11">
        <f>IF(AND(A132-'Outil Cibles'!$F$7&lt;=60,A132-'Outil Cibles'!$F$7&gt;=0), 'Outil Cibles'!$F$17, 0)</f>
        <v>6.6208262323138225</v>
      </c>
      <c r="E132" s="11">
        <f>IF(AND(A132-'Outil Cibles'!$G$7&lt;=60,A132-'Outil Cibles'!$G$7&gt;=0), 'Outil Cibles'!$G$17, 0)</f>
        <v>5.3823222388442451</v>
      </c>
      <c r="F132" s="11">
        <f>IF(AND(A132-'Outil Cibles'!$H$7&lt;=60,A132-'Outil Cibles'!$H$7&gt;=0), 'Outil Cibles'!$H$17, 0)</f>
        <v>4.6974836188392803</v>
      </c>
      <c r="G132" s="11">
        <f>IF(AND(A132-'Outil Cibles'!$I$7&lt;=60,A132-'Outil Cibles'!$I$7&gt;=0), 'Outil Cibles'!$I$17, 0)</f>
        <v>4.2500459859961417</v>
      </c>
      <c r="H132" s="11">
        <f>IF(AND(A132-'Outil Cibles'!$J$7&lt;=60,A132-'Outil Cibles'!$J$7&gt;=0), 'Outil Cibles'!$J$17, 0)</f>
        <v>3.8781564147749821</v>
      </c>
      <c r="L132" s="11">
        <f t="shared" si="4"/>
        <v>41.283519201948444</v>
      </c>
      <c r="N132">
        <v>2067</v>
      </c>
      <c r="O132" s="11">
        <f>IF(AND(N132-'Outil Cibles'!$Q$7&lt;=60,N132-'Outil Cibles'!$Q$7&gt;=0), 'Outil Cibles'!$Q$17, 0)</f>
        <v>9.2209307000221994</v>
      </c>
      <c r="P132" s="11">
        <f>IF(AND(N132-'Outil Cibles'!$R$7&lt;=60,N132-'Outil Cibles'!$R$7&gt;=0), 'Outil Cibles'!$R$17, 0)</f>
        <v>7.8928860244932029</v>
      </c>
      <c r="Q132" s="11">
        <f>IF(AND(N132-'Outil Cibles'!$S$7&lt;=60,N132-'Outil Cibles'!$S$7&gt;=0), 'Outil Cibles'!$S$17, 0)</f>
        <v>5.7861034181094277</v>
      </c>
      <c r="R132" s="11">
        <f>IF(AND(N132-'Outil Cibles'!$T$7&lt;=60,N132-'Outil Cibles'!$T$7&gt;=0), 'Outil Cibles'!$T$17, 0)</f>
        <v>3.9285483356528981</v>
      </c>
      <c r="S132" s="11">
        <f>IF(AND(N132-'Outil Cibles'!$U$7&lt;=60,N132-'Outil Cibles'!$U$7&gt;=0), 'Outil Cibles'!$U$17, 0)</f>
        <v>3.1156336157567535</v>
      </c>
      <c r="T132" s="11">
        <f>IF(AND(N132-'Outil Cibles'!$V$7&lt;=60,N132-'Outil Cibles'!$V$7&gt;=0), 'Outil Cibles'!$V$17, 0)</f>
        <v>2.6699626409394961</v>
      </c>
      <c r="U132" s="11">
        <f>IF(AND(N132-'Outil Cibles'!$W$7&lt;=60,N132-'Outil Cibles'!$W$7&gt;=0), 'Outil Cibles'!$W$17, 0)</f>
        <v>2.2883803860824354</v>
      </c>
      <c r="V132" s="11">
        <f>IF(AND(N132-'Outil Cibles'!$X$7&lt;=60,N132-'Outil Cibles'!$X$7&gt;=0), 'Outil Cibles'!$X$17, 0)</f>
        <v>1.9616157649480985</v>
      </c>
      <c r="W132" s="11">
        <f>IF(AND(N132-'Outil Cibles'!$Y$7&lt;=60,N132-'Outil Cibles'!$Y$7&gt;=0), 'Outil Cibles'!$Y$17, 0)</f>
        <v>1.4420078055173704</v>
      </c>
      <c r="X132" s="11">
        <f>IF(AND(N132-'Outil Cibles'!$Z$7&lt;=60,N132-'Outil Cibles'!$Z$7&gt;=0), 'Outil Cibles'!$Z$17, 0)</f>
        <v>1.2366099769912016</v>
      </c>
      <c r="Y132" s="11">
        <f t="shared" si="5"/>
        <v>39.542678668513091</v>
      </c>
    </row>
    <row r="133" spans="1:25" x14ac:dyDescent="0.3">
      <c r="A133">
        <v>2068</v>
      </c>
      <c r="B133" s="11">
        <f>IF(AND(A133-'Outil Cibles'!$D$7&lt;=60,A133-'Outil Cibles'!$D$7&gt;=0), 'Outil Cibles'!$D$17, 0)</f>
        <v>8.7624493817977029</v>
      </c>
      <c r="C133" s="11">
        <f>IF(AND(A133-'Outil Cibles'!$E$7&lt;=60,A133-'Outil Cibles'!$E$7&gt;=0), 'Outil Cibles'!$E$17, 0)</f>
        <v>7.6922353293822718</v>
      </c>
      <c r="D133" s="11">
        <f>IF(AND(A133-'Outil Cibles'!$F$7&lt;=60,A133-'Outil Cibles'!$F$7&gt;=0), 'Outil Cibles'!$F$17, 0)</f>
        <v>6.6208262323138225</v>
      </c>
      <c r="E133" s="11">
        <f>IF(AND(A133-'Outil Cibles'!$G$7&lt;=60,A133-'Outil Cibles'!$G$7&gt;=0), 'Outil Cibles'!$G$17, 0)</f>
        <v>5.3823222388442451</v>
      </c>
      <c r="F133" s="11">
        <f>IF(AND(A133-'Outil Cibles'!$H$7&lt;=60,A133-'Outil Cibles'!$H$7&gt;=0), 'Outil Cibles'!$H$17, 0)</f>
        <v>4.6974836188392803</v>
      </c>
      <c r="G133" s="11">
        <f>IF(AND(A133-'Outil Cibles'!$I$7&lt;=60,A133-'Outil Cibles'!$I$7&gt;=0), 'Outil Cibles'!$I$17, 0)</f>
        <v>4.2500459859961417</v>
      </c>
      <c r="H133" s="11">
        <f>IF(AND(A133-'Outil Cibles'!$J$7&lt;=60,A133-'Outil Cibles'!$J$7&gt;=0), 'Outil Cibles'!$J$17, 0)</f>
        <v>3.8781564147749821</v>
      </c>
      <c r="L133" s="11">
        <f t="shared" si="4"/>
        <v>41.283519201948444</v>
      </c>
      <c r="N133">
        <v>2068</v>
      </c>
      <c r="O133" s="11">
        <f>IF(AND(N133-'Outil Cibles'!$Q$7&lt;=60,N133-'Outil Cibles'!$Q$7&gt;=0), 'Outil Cibles'!$Q$17, 0)</f>
        <v>9.2209307000221994</v>
      </c>
      <c r="P133" s="11">
        <f>IF(AND(N133-'Outil Cibles'!$R$7&lt;=60,N133-'Outil Cibles'!$R$7&gt;=0), 'Outil Cibles'!$R$17, 0)</f>
        <v>7.8928860244932029</v>
      </c>
      <c r="Q133" s="11">
        <f>IF(AND(N133-'Outil Cibles'!$S$7&lt;=60,N133-'Outil Cibles'!$S$7&gt;=0), 'Outil Cibles'!$S$17, 0)</f>
        <v>5.7861034181094277</v>
      </c>
      <c r="R133" s="11">
        <f>IF(AND(N133-'Outil Cibles'!$T$7&lt;=60,N133-'Outil Cibles'!$T$7&gt;=0), 'Outil Cibles'!$T$17, 0)</f>
        <v>3.9285483356528981</v>
      </c>
      <c r="S133" s="11">
        <f>IF(AND(N133-'Outil Cibles'!$U$7&lt;=60,N133-'Outil Cibles'!$U$7&gt;=0), 'Outil Cibles'!$U$17, 0)</f>
        <v>3.1156336157567535</v>
      </c>
      <c r="T133" s="11">
        <f>IF(AND(N133-'Outil Cibles'!$V$7&lt;=60,N133-'Outil Cibles'!$V$7&gt;=0), 'Outil Cibles'!$V$17, 0)</f>
        <v>2.6699626409394961</v>
      </c>
      <c r="U133" s="11">
        <f>IF(AND(N133-'Outil Cibles'!$W$7&lt;=60,N133-'Outil Cibles'!$W$7&gt;=0), 'Outil Cibles'!$W$17, 0)</f>
        <v>2.2883803860824354</v>
      </c>
      <c r="V133" s="11">
        <f>IF(AND(N133-'Outil Cibles'!$X$7&lt;=60,N133-'Outil Cibles'!$X$7&gt;=0), 'Outil Cibles'!$X$17, 0)</f>
        <v>1.9616157649480985</v>
      </c>
      <c r="W133" s="11">
        <f>IF(AND(N133-'Outil Cibles'!$Y$7&lt;=60,N133-'Outil Cibles'!$Y$7&gt;=0), 'Outil Cibles'!$Y$17, 0)</f>
        <v>1.4420078055173704</v>
      </c>
      <c r="X133" s="11">
        <f>IF(AND(N133-'Outil Cibles'!$Z$7&lt;=60,N133-'Outil Cibles'!$Z$7&gt;=0), 'Outil Cibles'!$Z$17, 0)</f>
        <v>1.2366099769912016</v>
      </c>
      <c r="Y133" s="11">
        <f t="shared" si="5"/>
        <v>39.542678668513091</v>
      </c>
    </row>
    <row r="134" spans="1:25" x14ac:dyDescent="0.3">
      <c r="A134">
        <v>2069</v>
      </c>
      <c r="B134" s="11">
        <f>IF(AND(A134-'Outil Cibles'!$D$7&lt;=60,A134-'Outil Cibles'!$D$7&gt;=0), 'Outil Cibles'!$D$17, 0)</f>
        <v>8.7624493817977029</v>
      </c>
      <c r="C134" s="11">
        <f>IF(AND(A134-'Outil Cibles'!$E$7&lt;=60,A134-'Outil Cibles'!$E$7&gt;=0), 'Outil Cibles'!$E$17, 0)</f>
        <v>7.6922353293822718</v>
      </c>
      <c r="D134" s="11">
        <f>IF(AND(A134-'Outil Cibles'!$F$7&lt;=60,A134-'Outil Cibles'!$F$7&gt;=0), 'Outil Cibles'!$F$17, 0)</f>
        <v>6.6208262323138225</v>
      </c>
      <c r="E134" s="11">
        <f>IF(AND(A134-'Outil Cibles'!$G$7&lt;=60,A134-'Outil Cibles'!$G$7&gt;=0), 'Outil Cibles'!$G$17, 0)</f>
        <v>5.3823222388442451</v>
      </c>
      <c r="F134" s="11">
        <f>IF(AND(A134-'Outil Cibles'!$H$7&lt;=60,A134-'Outil Cibles'!$H$7&gt;=0), 'Outil Cibles'!$H$17, 0)</f>
        <v>4.6974836188392803</v>
      </c>
      <c r="G134" s="11">
        <f>IF(AND(A134-'Outil Cibles'!$I$7&lt;=60,A134-'Outil Cibles'!$I$7&gt;=0), 'Outil Cibles'!$I$17, 0)</f>
        <v>4.2500459859961417</v>
      </c>
      <c r="H134" s="11">
        <f>IF(AND(A134-'Outil Cibles'!$J$7&lt;=60,A134-'Outil Cibles'!$J$7&gt;=0), 'Outil Cibles'!$J$17, 0)</f>
        <v>3.8781564147749821</v>
      </c>
      <c r="L134" s="11">
        <f t="shared" si="4"/>
        <v>41.283519201948444</v>
      </c>
      <c r="N134">
        <v>2069</v>
      </c>
      <c r="O134" s="11">
        <f>IF(AND(N134-'Outil Cibles'!$Q$7&lt;=60,N134-'Outil Cibles'!$Q$7&gt;=0), 'Outil Cibles'!$Q$17, 0)</f>
        <v>9.2209307000221994</v>
      </c>
      <c r="P134" s="11">
        <f>IF(AND(N134-'Outil Cibles'!$R$7&lt;=60,N134-'Outil Cibles'!$R$7&gt;=0), 'Outil Cibles'!$R$17, 0)</f>
        <v>7.8928860244932029</v>
      </c>
      <c r="Q134" s="11">
        <f>IF(AND(N134-'Outil Cibles'!$S$7&lt;=60,N134-'Outil Cibles'!$S$7&gt;=0), 'Outil Cibles'!$S$17, 0)</f>
        <v>5.7861034181094277</v>
      </c>
      <c r="R134" s="11">
        <f>IF(AND(N134-'Outil Cibles'!$T$7&lt;=60,N134-'Outil Cibles'!$T$7&gt;=0), 'Outil Cibles'!$T$17, 0)</f>
        <v>3.9285483356528981</v>
      </c>
      <c r="S134" s="11">
        <f>IF(AND(N134-'Outil Cibles'!$U$7&lt;=60,N134-'Outil Cibles'!$U$7&gt;=0), 'Outil Cibles'!$U$17, 0)</f>
        <v>3.1156336157567535</v>
      </c>
      <c r="T134" s="11">
        <f>IF(AND(N134-'Outil Cibles'!$V$7&lt;=60,N134-'Outil Cibles'!$V$7&gt;=0), 'Outil Cibles'!$V$17, 0)</f>
        <v>2.6699626409394961</v>
      </c>
      <c r="U134" s="11">
        <f>IF(AND(N134-'Outil Cibles'!$W$7&lt;=60,N134-'Outil Cibles'!$W$7&gt;=0), 'Outil Cibles'!$W$17, 0)</f>
        <v>2.2883803860824354</v>
      </c>
      <c r="V134" s="11">
        <f>IF(AND(N134-'Outil Cibles'!$X$7&lt;=60,N134-'Outil Cibles'!$X$7&gt;=0), 'Outil Cibles'!$X$17, 0)</f>
        <v>1.9616157649480985</v>
      </c>
      <c r="W134" s="11">
        <f>IF(AND(N134-'Outil Cibles'!$Y$7&lt;=60,N134-'Outil Cibles'!$Y$7&gt;=0), 'Outil Cibles'!$Y$17, 0)</f>
        <v>1.4420078055173704</v>
      </c>
      <c r="X134" s="11">
        <f>IF(AND(N134-'Outil Cibles'!$Z$7&lt;=60,N134-'Outil Cibles'!$Z$7&gt;=0), 'Outil Cibles'!$Z$17, 0)</f>
        <v>1.2366099769912016</v>
      </c>
      <c r="Y134" s="11">
        <f t="shared" si="5"/>
        <v>39.542678668513091</v>
      </c>
    </row>
    <row r="135" spans="1:25" x14ac:dyDescent="0.3">
      <c r="A135">
        <v>2070</v>
      </c>
      <c r="B135" s="11">
        <f>IF(AND(A135-'Outil Cibles'!$D$7&lt;=60,A135-'Outil Cibles'!$D$7&gt;=0), 'Outil Cibles'!$D$17, 0)</f>
        <v>8.7624493817977029</v>
      </c>
      <c r="C135" s="11">
        <f>IF(AND(A135-'Outil Cibles'!$E$7&lt;=60,A135-'Outil Cibles'!$E$7&gt;=0), 'Outil Cibles'!$E$17, 0)</f>
        <v>7.6922353293822718</v>
      </c>
      <c r="D135" s="11">
        <f>IF(AND(A135-'Outil Cibles'!$F$7&lt;=60,A135-'Outil Cibles'!$F$7&gt;=0), 'Outil Cibles'!$F$17, 0)</f>
        <v>6.6208262323138225</v>
      </c>
      <c r="E135" s="11">
        <f>IF(AND(A135-'Outil Cibles'!$G$7&lt;=60,A135-'Outil Cibles'!$G$7&gt;=0), 'Outil Cibles'!$G$17, 0)</f>
        <v>5.3823222388442451</v>
      </c>
      <c r="F135" s="11">
        <f>IF(AND(A135-'Outil Cibles'!$H$7&lt;=60,A135-'Outil Cibles'!$H$7&gt;=0), 'Outil Cibles'!$H$17, 0)</f>
        <v>4.6974836188392803</v>
      </c>
      <c r="G135" s="11">
        <f>IF(AND(A135-'Outil Cibles'!$I$7&lt;=60,A135-'Outil Cibles'!$I$7&gt;=0), 'Outil Cibles'!$I$17, 0)</f>
        <v>4.2500459859961417</v>
      </c>
      <c r="H135" s="11">
        <f>IF(AND(A135-'Outil Cibles'!$J$7&lt;=60,A135-'Outil Cibles'!$J$7&gt;=0), 'Outil Cibles'!$J$17, 0)</f>
        <v>3.8781564147749821</v>
      </c>
      <c r="L135" s="11">
        <f t="shared" si="4"/>
        <v>41.283519201948444</v>
      </c>
      <c r="N135">
        <v>2070</v>
      </c>
      <c r="O135" s="11">
        <f>IF(AND(N135-'Outil Cibles'!$Q$7&lt;=60,N135-'Outil Cibles'!$Q$7&gt;=0), 'Outil Cibles'!$Q$17, 0)</f>
        <v>9.2209307000221994</v>
      </c>
      <c r="P135" s="11">
        <f>IF(AND(N135-'Outil Cibles'!$R$7&lt;=60,N135-'Outil Cibles'!$R$7&gt;=0), 'Outil Cibles'!$R$17, 0)</f>
        <v>7.8928860244932029</v>
      </c>
      <c r="Q135" s="11">
        <f>IF(AND(N135-'Outil Cibles'!$S$7&lt;=60,N135-'Outil Cibles'!$S$7&gt;=0), 'Outil Cibles'!$S$17, 0)</f>
        <v>5.7861034181094277</v>
      </c>
      <c r="R135" s="11">
        <f>IF(AND(N135-'Outil Cibles'!$T$7&lt;=60,N135-'Outil Cibles'!$T$7&gt;=0), 'Outil Cibles'!$T$17, 0)</f>
        <v>3.9285483356528981</v>
      </c>
      <c r="S135" s="11">
        <f>IF(AND(N135-'Outil Cibles'!$U$7&lt;=60,N135-'Outil Cibles'!$U$7&gt;=0), 'Outil Cibles'!$U$17, 0)</f>
        <v>3.1156336157567535</v>
      </c>
      <c r="T135" s="11">
        <f>IF(AND(N135-'Outil Cibles'!$V$7&lt;=60,N135-'Outil Cibles'!$V$7&gt;=0), 'Outil Cibles'!$V$17, 0)</f>
        <v>2.6699626409394961</v>
      </c>
      <c r="U135" s="11">
        <f>IF(AND(N135-'Outil Cibles'!$W$7&lt;=60,N135-'Outil Cibles'!$W$7&gt;=0), 'Outil Cibles'!$W$17, 0)</f>
        <v>2.2883803860824354</v>
      </c>
      <c r="V135" s="11">
        <f>IF(AND(N135-'Outil Cibles'!$X$7&lt;=60,N135-'Outil Cibles'!$X$7&gt;=0), 'Outil Cibles'!$X$17, 0)</f>
        <v>1.9616157649480985</v>
      </c>
      <c r="W135" s="11">
        <f>IF(AND(N135-'Outil Cibles'!$Y$7&lt;=60,N135-'Outil Cibles'!$Y$7&gt;=0), 'Outil Cibles'!$Y$17, 0)</f>
        <v>1.4420078055173704</v>
      </c>
      <c r="X135" s="11">
        <f>IF(AND(N135-'Outil Cibles'!$Z$7&lt;=60,N135-'Outil Cibles'!$Z$7&gt;=0), 'Outil Cibles'!$Z$17, 0)</f>
        <v>1.2366099769912016</v>
      </c>
      <c r="Y135" s="11">
        <f t="shared" si="5"/>
        <v>39.542678668513091</v>
      </c>
    </row>
    <row r="136" spans="1:25" x14ac:dyDescent="0.3">
      <c r="A136">
        <v>2071</v>
      </c>
      <c r="B136" s="11">
        <f>IF(AND(A136-'Outil Cibles'!$D$7&lt;=60,A136-'Outil Cibles'!$D$7&gt;=0), 'Outil Cibles'!$D$17, 0)</f>
        <v>8.7624493817977029</v>
      </c>
      <c r="C136" s="11">
        <f>IF(AND(A136-'Outil Cibles'!$E$7&lt;=60,A136-'Outil Cibles'!$E$7&gt;=0), 'Outil Cibles'!$E$17, 0)</f>
        <v>7.6922353293822718</v>
      </c>
      <c r="D136" s="11">
        <f>IF(AND(A136-'Outil Cibles'!$F$7&lt;=60,A136-'Outil Cibles'!$F$7&gt;=0), 'Outil Cibles'!$F$17, 0)</f>
        <v>6.6208262323138225</v>
      </c>
      <c r="E136" s="11">
        <f>IF(AND(A136-'Outil Cibles'!$G$7&lt;=60,A136-'Outil Cibles'!$G$7&gt;=0), 'Outil Cibles'!$G$17, 0)</f>
        <v>5.3823222388442451</v>
      </c>
      <c r="F136" s="11">
        <f>IF(AND(A136-'Outil Cibles'!$H$7&lt;=60,A136-'Outil Cibles'!$H$7&gt;=0), 'Outil Cibles'!$H$17, 0)</f>
        <v>4.6974836188392803</v>
      </c>
      <c r="G136" s="11">
        <f>IF(AND(A136-'Outil Cibles'!$I$7&lt;=60,A136-'Outil Cibles'!$I$7&gt;=0), 'Outil Cibles'!$I$17, 0)</f>
        <v>4.2500459859961417</v>
      </c>
      <c r="H136" s="11">
        <f>IF(AND(A136-'Outil Cibles'!$J$7&lt;=60,A136-'Outil Cibles'!$J$7&gt;=0), 'Outil Cibles'!$J$17, 0)</f>
        <v>3.8781564147749821</v>
      </c>
      <c r="L136" s="11">
        <f t="shared" si="4"/>
        <v>41.283519201948444</v>
      </c>
      <c r="N136">
        <v>2071</v>
      </c>
      <c r="O136" s="11">
        <f>IF(AND(N136-'Outil Cibles'!$Q$7&lt;=60,N136-'Outil Cibles'!$Q$7&gt;=0), 'Outil Cibles'!$Q$17, 0)</f>
        <v>9.2209307000221994</v>
      </c>
      <c r="P136" s="11">
        <f>IF(AND(N136-'Outil Cibles'!$R$7&lt;=60,N136-'Outil Cibles'!$R$7&gt;=0), 'Outil Cibles'!$R$17, 0)</f>
        <v>7.8928860244932029</v>
      </c>
      <c r="Q136" s="11">
        <f>IF(AND(N136-'Outil Cibles'!$S$7&lt;=60,N136-'Outil Cibles'!$S$7&gt;=0), 'Outil Cibles'!$S$17, 0)</f>
        <v>5.7861034181094277</v>
      </c>
      <c r="R136" s="11">
        <f>IF(AND(N136-'Outil Cibles'!$T$7&lt;=60,N136-'Outil Cibles'!$T$7&gt;=0), 'Outil Cibles'!$T$17, 0)</f>
        <v>3.9285483356528981</v>
      </c>
      <c r="S136" s="11">
        <f>IF(AND(N136-'Outil Cibles'!$U$7&lt;=60,N136-'Outil Cibles'!$U$7&gt;=0), 'Outil Cibles'!$U$17, 0)</f>
        <v>3.1156336157567535</v>
      </c>
      <c r="T136" s="11">
        <f>IF(AND(N136-'Outil Cibles'!$V$7&lt;=60,N136-'Outil Cibles'!$V$7&gt;=0), 'Outil Cibles'!$V$17, 0)</f>
        <v>2.6699626409394961</v>
      </c>
      <c r="U136" s="11">
        <f>IF(AND(N136-'Outil Cibles'!$W$7&lt;=60,N136-'Outil Cibles'!$W$7&gt;=0), 'Outil Cibles'!$W$17, 0)</f>
        <v>2.2883803860824354</v>
      </c>
      <c r="V136" s="11">
        <f>IF(AND(N136-'Outil Cibles'!$X$7&lt;=60,N136-'Outil Cibles'!$X$7&gt;=0), 'Outil Cibles'!$X$17, 0)</f>
        <v>1.9616157649480985</v>
      </c>
      <c r="W136" s="11">
        <f>IF(AND(N136-'Outil Cibles'!$Y$7&lt;=60,N136-'Outil Cibles'!$Y$7&gt;=0), 'Outil Cibles'!$Y$17, 0)</f>
        <v>1.4420078055173704</v>
      </c>
      <c r="X136" s="11">
        <f>IF(AND(N136-'Outil Cibles'!$Z$7&lt;=60,N136-'Outil Cibles'!$Z$7&gt;=0), 'Outil Cibles'!$Z$17, 0)</f>
        <v>1.2366099769912016</v>
      </c>
      <c r="Y136" s="11">
        <f t="shared" si="5"/>
        <v>39.542678668513091</v>
      </c>
    </row>
    <row r="137" spans="1:25" x14ac:dyDescent="0.3">
      <c r="A137">
        <v>2072</v>
      </c>
      <c r="B137" s="11">
        <f>IF(AND(A137-'Outil Cibles'!$D$7&lt;=60,A137-'Outil Cibles'!$D$7&gt;=0), 'Outil Cibles'!$D$17, 0)</f>
        <v>8.7624493817977029</v>
      </c>
      <c r="C137" s="11">
        <f>IF(AND(A137-'Outil Cibles'!$E$7&lt;=60,A137-'Outil Cibles'!$E$7&gt;=0), 'Outil Cibles'!$E$17, 0)</f>
        <v>7.6922353293822718</v>
      </c>
      <c r="D137" s="11">
        <f>IF(AND(A137-'Outil Cibles'!$F$7&lt;=60,A137-'Outil Cibles'!$F$7&gt;=0), 'Outil Cibles'!$F$17, 0)</f>
        <v>6.6208262323138225</v>
      </c>
      <c r="E137" s="11">
        <f>IF(AND(A137-'Outil Cibles'!$G$7&lt;=60,A137-'Outil Cibles'!$G$7&gt;=0), 'Outil Cibles'!$G$17, 0)</f>
        <v>5.3823222388442451</v>
      </c>
      <c r="F137" s="11">
        <f>IF(AND(A137-'Outil Cibles'!$H$7&lt;=60,A137-'Outil Cibles'!$H$7&gt;=0), 'Outil Cibles'!$H$17, 0)</f>
        <v>4.6974836188392803</v>
      </c>
      <c r="G137" s="11">
        <f>IF(AND(A137-'Outil Cibles'!$I$7&lt;=60,A137-'Outil Cibles'!$I$7&gt;=0), 'Outil Cibles'!$I$17, 0)</f>
        <v>4.2500459859961417</v>
      </c>
      <c r="H137" s="11">
        <f>IF(AND(A137-'Outil Cibles'!$J$7&lt;=60,A137-'Outil Cibles'!$J$7&gt;=0), 'Outil Cibles'!$J$17, 0)</f>
        <v>3.8781564147749821</v>
      </c>
      <c r="L137" s="11">
        <f t="shared" si="4"/>
        <v>41.283519201948444</v>
      </c>
      <c r="N137">
        <v>2072</v>
      </c>
      <c r="O137" s="11">
        <f>IF(AND(N137-'Outil Cibles'!$Q$7&lt;=60,N137-'Outil Cibles'!$Q$7&gt;=0), 'Outil Cibles'!$Q$17, 0)</f>
        <v>9.2209307000221994</v>
      </c>
      <c r="P137" s="11">
        <f>IF(AND(N137-'Outil Cibles'!$R$7&lt;=60,N137-'Outil Cibles'!$R$7&gt;=0), 'Outil Cibles'!$R$17, 0)</f>
        <v>7.8928860244932029</v>
      </c>
      <c r="Q137" s="11">
        <f>IF(AND(N137-'Outil Cibles'!$S$7&lt;=60,N137-'Outil Cibles'!$S$7&gt;=0), 'Outil Cibles'!$S$17, 0)</f>
        <v>5.7861034181094277</v>
      </c>
      <c r="R137" s="11">
        <f>IF(AND(N137-'Outil Cibles'!$T$7&lt;=60,N137-'Outil Cibles'!$T$7&gt;=0), 'Outil Cibles'!$T$17, 0)</f>
        <v>3.9285483356528981</v>
      </c>
      <c r="S137" s="11">
        <f>IF(AND(N137-'Outil Cibles'!$U$7&lt;=60,N137-'Outil Cibles'!$U$7&gt;=0), 'Outil Cibles'!$U$17, 0)</f>
        <v>3.1156336157567535</v>
      </c>
      <c r="T137" s="11">
        <f>IF(AND(N137-'Outil Cibles'!$V$7&lt;=60,N137-'Outil Cibles'!$V$7&gt;=0), 'Outil Cibles'!$V$17, 0)</f>
        <v>2.6699626409394961</v>
      </c>
      <c r="U137" s="11">
        <f>IF(AND(N137-'Outil Cibles'!$W$7&lt;=60,N137-'Outil Cibles'!$W$7&gt;=0), 'Outil Cibles'!$W$17, 0)</f>
        <v>2.2883803860824354</v>
      </c>
      <c r="V137" s="11">
        <f>IF(AND(N137-'Outil Cibles'!$X$7&lt;=60,N137-'Outil Cibles'!$X$7&gt;=0), 'Outil Cibles'!$X$17, 0)</f>
        <v>1.9616157649480985</v>
      </c>
      <c r="W137" s="11">
        <f>IF(AND(N137-'Outil Cibles'!$Y$7&lt;=60,N137-'Outil Cibles'!$Y$7&gt;=0), 'Outil Cibles'!$Y$17, 0)</f>
        <v>1.4420078055173704</v>
      </c>
      <c r="X137" s="11">
        <f>IF(AND(N137-'Outil Cibles'!$Z$7&lt;=60,N137-'Outil Cibles'!$Z$7&gt;=0), 'Outil Cibles'!$Z$17, 0)</f>
        <v>1.2366099769912016</v>
      </c>
      <c r="Y137" s="11">
        <f t="shared" si="5"/>
        <v>39.542678668513091</v>
      </c>
    </row>
    <row r="138" spans="1:25" x14ac:dyDescent="0.3">
      <c r="A138" s="10">
        <v>2073</v>
      </c>
      <c r="B138" s="11">
        <f>IF(AND(A138-'Outil Cibles'!$D$7&lt;=60,A138-'Outil Cibles'!$D$7&gt;=0), 'Outil Cibles'!$D$17, 0)</f>
        <v>8.7624493817977029</v>
      </c>
      <c r="C138" s="11">
        <f>IF(AND(A138-'Outil Cibles'!$E$7&lt;=60,A138-'Outil Cibles'!$E$7&gt;=0), 'Outil Cibles'!$E$17, 0)</f>
        <v>7.6922353293822718</v>
      </c>
      <c r="D138" s="11">
        <f>IF(AND(A138-'Outil Cibles'!$F$7&lt;=60,A138-'Outil Cibles'!$F$7&gt;=0), 'Outil Cibles'!$F$17, 0)</f>
        <v>6.6208262323138225</v>
      </c>
      <c r="E138" s="11">
        <f>IF(AND(A138-'Outil Cibles'!$G$7&lt;=60,A138-'Outil Cibles'!$G$7&gt;=0), 'Outil Cibles'!$G$17, 0)</f>
        <v>5.3823222388442451</v>
      </c>
      <c r="F138" s="11">
        <f>IF(AND(A138-'Outil Cibles'!$H$7&lt;=60,A138-'Outil Cibles'!$H$7&gt;=0), 'Outil Cibles'!$H$17, 0)</f>
        <v>4.6974836188392803</v>
      </c>
      <c r="G138" s="11">
        <f>IF(AND(A138-'Outil Cibles'!$I$7&lt;=60,A138-'Outil Cibles'!$I$7&gt;=0), 'Outil Cibles'!$I$17, 0)</f>
        <v>4.2500459859961417</v>
      </c>
      <c r="H138" s="11">
        <f>IF(AND(A138-'Outil Cibles'!$J$7&lt;=60,A138-'Outil Cibles'!$J$7&gt;=0), 'Outil Cibles'!$J$17, 0)</f>
        <v>3.8781564147749821</v>
      </c>
      <c r="L138" s="11">
        <f t="shared" si="4"/>
        <v>41.283519201948444</v>
      </c>
      <c r="N138" s="10">
        <v>2073</v>
      </c>
      <c r="O138" s="11">
        <f>IF(AND(N138-'Outil Cibles'!$Q$7&lt;=60,N138-'Outil Cibles'!$Q$7&gt;=0), 'Outil Cibles'!$Q$17, 0)</f>
        <v>9.2209307000221994</v>
      </c>
      <c r="P138" s="11">
        <f>IF(AND(N138-'Outil Cibles'!$R$7&lt;=60,N138-'Outil Cibles'!$R$7&gt;=0), 'Outil Cibles'!$R$17, 0)</f>
        <v>7.8928860244932029</v>
      </c>
      <c r="Q138" s="11">
        <f>IF(AND(N138-'Outil Cibles'!$S$7&lt;=60,N138-'Outil Cibles'!$S$7&gt;=0), 'Outil Cibles'!$S$17, 0)</f>
        <v>5.7861034181094277</v>
      </c>
      <c r="R138" s="11">
        <f>IF(AND(N138-'Outil Cibles'!$T$7&lt;=60,N138-'Outil Cibles'!$T$7&gt;=0), 'Outil Cibles'!$T$17, 0)</f>
        <v>3.9285483356528981</v>
      </c>
      <c r="S138" s="11">
        <f>IF(AND(N138-'Outil Cibles'!$U$7&lt;=60,N138-'Outil Cibles'!$U$7&gt;=0), 'Outil Cibles'!$U$17, 0)</f>
        <v>3.1156336157567535</v>
      </c>
      <c r="T138" s="11">
        <f>IF(AND(N138-'Outil Cibles'!$V$7&lt;=60,N138-'Outil Cibles'!$V$7&gt;=0), 'Outil Cibles'!$V$17, 0)</f>
        <v>2.6699626409394961</v>
      </c>
      <c r="U138" s="11">
        <f>IF(AND(N138-'Outil Cibles'!$W$7&lt;=60,N138-'Outil Cibles'!$W$7&gt;=0), 'Outil Cibles'!$W$17, 0)</f>
        <v>2.2883803860824354</v>
      </c>
      <c r="V138" s="11">
        <f>IF(AND(N138-'Outil Cibles'!$X$7&lt;=60,N138-'Outil Cibles'!$X$7&gt;=0), 'Outil Cibles'!$X$17, 0)</f>
        <v>1.9616157649480985</v>
      </c>
      <c r="W138" s="11">
        <f>IF(AND(N138-'Outil Cibles'!$Y$7&lt;=60,N138-'Outil Cibles'!$Y$7&gt;=0), 'Outil Cibles'!$Y$17, 0)</f>
        <v>1.4420078055173704</v>
      </c>
      <c r="X138" s="11">
        <f>IF(AND(N138-'Outil Cibles'!$Z$7&lt;=60,N138-'Outil Cibles'!$Z$7&gt;=0), 'Outil Cibles'!$Z$17, 0)</f>
        <v>1.2366099769912016</v>
      </c>
      <c r="Y138" s="11">
        <f t="shared" si="5"/>
        <v>39.542678668513091</v>
      </c>
    </row>
    <row r="139" spans="1:25" x14ac:dyDescent="0.3">
      <c r="A139">
        <v>2074</v>
      </c>
      <c r="B139" s="11">
        <f>IF(AND(A139-'Outil Cibles'!$D$7&lt;=60,A139-'Outil Cibles'!$D$7&gt;=0), 'Outil Cibles'!$D$17, 0)</f>
        <v>8.7624493817977029</v>
      </c>
      <c r="C139" s="11">
        <f>IF(AND(A139-'Outil Cibles'!$E$7&lt;=60,A139-'Outil Cibles'!$E$7&gt;=0), 'Outil Cibles'!$E$17, 0)</f>
        <v>7.6922353293822718</v>
      </c>
      <c r="D139" s="11">
        <f>IF(AND(A139-'Outil Cibles'!$F$7&lt;=60,A139-'Outil Cibles'!$F$7&gt;=0), 'Outil Cibles'!$F$17, 0)</f>
        <v>6.6208262323138225</v>
      </c>
      <c r="E139" s="11">
        <f>IF(AND(A139-'Outil Cibles'!$G$7&lt;=60,A139-'Outil Cibles'!$G$7&gt;=0), 'Outil Cibles'!$G$17, 0)</f>
        <v>5.3823222388442451</v>
      </c>
      <c r="F139" s="11">
        <f>IF(AND(A139-'Outil Cibles'!$H$7&lt;=60,A139-'Outil Cibles'!$H$7&gt;=0), 'Outil Cibles'!$H$17, 0)</f>
        <v>4.6974836188392803</v>
      </c>
      <c r="G139" s="11">
        <f>IF(AND(A139-'Outil Cibles'!$I$7&lt;=60,A139-'Outil Cibles'!$I$7&gt;=0), 'Outil Cibles'!$I$17, 0)</f>
        <v>4.2500459859961417</v>
      </c>
      <c r="H139" s="11">
        <f>IF(AND(A139-'Outil Cibles'!$J$7&lt;=60,A139-'Outil Cibles'!$J$7&gt;=0), 'Outil Cibles'!$J$17, 0)</f>
        <v>3.8781564147749821</v>
      </c>
      <c r="L139" s="11">
        <f t="shared" si="4"/>
        <v>41.283519201948444</v>
      </c>
      <c r="N139">
        <v>2074</v>
      </c>
      <c r="O139" s="11">
        <f>IF(AND(N139-'Outil Cibles'!$Q$7&lt;=60,N139-'Outil Cibles'!$Q$7&gt;=0), 'Outil Cibles'!$Q$17, 0)</f>
        <v>9.2209307000221994</v>
      </c>
      <c r="P139" s="11">
        <f>IF(AND(N139-'Outil Cibles'!$R$7&lt;=60,N139-'Outil Cibles'!$R$7&gt;=0), 'Outil Cibles'!$R$17, 0)</f>
        <v>7.8928860244932029</v>
      </c>
      <c r="Q139" s="11">
        <f>IF(AND(N139-'Outil Cibles'!$S$7&lt;=60,N139-'Outil Cibles'!$S$7&gt;=0), 'Outil Cibles'!$S$17, 0)</f>
        <v>5.7861034181094277</v>
      </c>
      <c r="R139" s="11">
        <f>IF(AND(N139-'Outil Cibles'!$T$7&lt;=60,N139-'Outil Cibles'!$T$7&gt;=0), 'Outil Cibles'!$T$17, 0)</f>
        <v>3.9285483356528981</v>
      </c>
      <c r="S139" s="11">
        <f>IF(AND(N139-'Outil Cibles'!$U$7&lt;=60,N139-'Outil Cibles'!$U$7&gt;=0), 'Outil Cibles'!$U$17, 0)</f>
        <v>3.1156336157567535</v>
      </c>
      <c r="T139" s="11">
        <f>IF(AND(N139-'Outil Cibles'!$V$7&lt;=60,N139-'Outil Cibles'!$V$7&gt;=0), 'Outil Cibles'!$V$17, 0)</f>
        <v>2.6699626409394961</v>
      </c>
      <c r="U139" s="11">
        <f>IF(AND(N139-'Outil Cibles'!$W$7&lt;=60,N139-'Outil Cibles'!$W$7&gt;=0), 'Outil Cibles'!$W$17, 0)</f>
        <v>2.2883803860824354</v>
      </c>
      <c r="V139" s="11">
        <f>IF(AND(N139-'Outil Cibles'!$X$7&lt;=60,N139-'Outil Cibles'!$X$7&gt;=0), 'Outil Cibles'!$X$17, 0)</f>
        <v>1.9616157649480985</v>
      </c>
      <c r="W139" s="11">
        <f>IF(AND(N139-'Outil Cibles'!$Y$7&lt;=60,N139-'Outil Cibles'!$Y$7&gt;=0), 'Outil Cibles'!$Y$17, 0)</f>
        <v>1.4420078055173704</v>
      </c>
      <c r="X139" s="11">
        <f>IF(AND(N139-'Outil Cibles'!$Z$7&lt;=60,N139-'Outil Cibles'!$Z$7&gt;=0), 'Outil Cibles'!$Z$17, 0)</f>
        <v>1.2366099769912016</v>
      </c>
      <c r="Y139" s="11">
        <f t="shared" si="5"/>
        <v>39.542678668513091</v>
      </c>
    </row>
    <row r="140" spans="1:25" x14ac:dyDescent="0.3">
      <c r="A140">
        <v>2075</v>
      </c>
      <c r="B140" s="11">
        <f>IF(AND(A140-'Outil Cibles'!$D$7&lt;=60,A140-'Outil Cibles'!$D$7&gt;=0), 'Outil Cibles'!$D$17, 0)</f>
        <v>8.7624493817977029</v>
      </c>
      <c r="C140" s="11">
        <f>IF(AND(A140-'Outil Cibles'!$E$7&lt;=60,A140-'Outil Cibles'!$E$7&gt;=0), 'Outil Cibles'!$E$17, 0)</f>
        <v>7.6922353293822718</v>
      </c>
      <c r="D140" s="11">
        <f>IF(AND(A140-'Outil Cibles'!$F$7&lt;=60,A140-'Outil Cibles'!$F$7&gt;=0), 'Outil Cibles'!$F$17, 0)</f>
        <v>6.6208262323138225</v>
      </c>
      <c r="E140" s="11">
        <f>IF(AND(A140-'Outil Cibles'!$G$7&lt;=60,A140-'Outil Cibles'!$G$7&gt;=0), 'Outil Cibles'!$G$17, 0)</f>
        <v>5.3823222388442451</v>
      </c>
      <c r="F140" s="11">
        <f>IF(AND(A140-'Outil Cibles'!$H$7&lt;=60,A140-'Outil Cibles'!$H$7&gt;=0), 'Outil Cibles'!$H$17, 0)</f>
        <v>4.6974836188392803</v>
      </c>
      <c r="G140" s="11">
        <f>IF(AND(A140-'Outil Cibles'!$I$7&lt;=60,A140-'Outil Cibles'!$I$7&gt;=0), 'Outil Cibles'!$I$17, 0)</f>
        <v>4.2500459859961417</v>
      </c>
      <c r="H140" s="11">
        <f>IF(AND(A140-'Outil Cibles'!$J$7&lt;=60,A140-'Outil Cibles'!$J$7&gt;=0), 'Outil Cibles'!$J$17, 0)</f>
        <v>3.8781564147749821</v>
      </c>
      <c r="L140" s="11">
        <f t="shared" si="4"/>
        <v>41.283519201948444</v>
      </c>
      <c r="N140">
        <v>2075</v>
      </c>
      <c r="O140" s="11">
        <f>IF(AND(N140-'Outil Cibles'!$Q$7&lt;=60,N140-'Outil Cibles'!$Q$7&gt;=0), 'Outil Cibles'!$Q$17, 0)</f>
        <v>9.2209307000221994</v>
      </c>
      <c r="P140" s="11">
        <f>IF(AND(N140-'Outil Cibles'!$R$7&lt;=60,N140-'Outil Cibles'!$R$7&gt;=0), 'Outil Cibles'!$R$17, 0)</f>
        <v>7.8928860244932029</v>
      </c>
      <c r="Q140" s="11">
        <f>IF(AND(N140-'Outil Cibles'!$S$7&lt;=60,N140-'Outil Cibles'!$S$7&gt;=0), 'Outil Cibles'!$S$17, 0)</f>
        <v>5.7861034181094277</v>
      </c>
      <c r="R140" s="11">
        <f>IF(AND(N140-'Outil Cibles'!$T$7&lt;=60,N140-'Outil Cibles'!$T$7&gt;=0), 'Outil Cibles'!$T$17, 0)</f>
        <v>3.9285483356528981</v>
      </c>
      <c r="S140" s="11">
        <f>IF(AND(N140-'Outil Cibles'!$U$7&lt;=60,N140-'Outil Cibles'!$U$7&gt;=0), 'Outil Cibles'!$U$17, 0)</f>
        <v>3.1156336157567535</v>
      </c>
      <c r="T140" s="11">
        <f>IF(AND(N140-'Outil Cibles'!$V$7&lt;=60,N140-'Outil Cibles'!$V$7&gt;=0), 'Outil Cibles'!$V$17, 0)</f>
        <v>2.6699626409394961</v>
      </c>
      <c r="U140" s="11">
        <f>IF(AND(N140-'Outil Cibles'!$W$7&lt;=60,N140-'Outil Cibles'!$W$7&gt;=0), 'Outil Cibles'!$W$17, 0)</f>
        <v>2.2883803860824354</v>
      </c>
      <c r="V140" s="11">
        <f>IF(AND(N140-'Outil Cibles'!$X$7&lt;=60,N140-'Outil Cibles'!$X$7&gt;=0), 'Outil Cibles'!$X$17, 0)</f>
        <v>1.9616157649480985</v>
      </c>
      <c r="W140" s="11">
        <f>IF(AND(N140-'Outil Cibles'!$Y$7&lt;=60,N140-'Outil Cibles'!$Y$7&gt;=0), 'Outil Cibles'!$Y$17, 0)</f>
        <v>1.4420078055173704</v>
      </c>
      <c r="X140" s="11">
        <f>IF(AND(N140-'Outil Cibles'!$Z$7&lt;=60,N140-'Outil Cibles'!$Z$7&gt;=0), 'Outil Cibles'!$Z$17, 0)</f>
        <v>1.2366099769912016</v>
      </c>
      <c r="Y140" s="11">
        <f t="shared" si="5"/>
        <v>39.542678668513091</v>
      </c>
    </row>
    <row r="141" spans="1:25" x14ac:dyDescent="0.3">
      <c r="A141">
        <v>2076</v>
      </c>
      <c r="B141" s="11">
        <f>IF(AND(A141-'Outil Cibles'!$D$7&lt;=60,A141-'Outil Cibles'!$D$7&gt;=0), 'Outil Cibles'!$D$17, 0)</f>
        <v>8.7624493817977029</v>
      </c>
      <c r="C141" s="11">
        <f>IF(AND(A141-'Outil Cibles'!$E$7&lt;=60,A141-'Outil Cibles'!$E$7&gt;=0), 'Outil Cibles'!$E$17, 0)</f>
        <v>7.6922353293822718</v>
      </c>
      <c r="D141" s="11">
        <f>IF(AND(A141-'Outil Cibles'!$F$7&lt;=60,A141-'Outil Cibles'!$F$7&gt;=0), 'Outil Cibles'!$F$17, 0)</f>
        <v>6.6208262323138225</v>
      </c>
      <c r="E141" s="11">
        <f>IF(AND(A141-'Outil Cibles'!$G$7&lt;=60,A141-'Outil Cibles'!$G$7&gt;=0), 'Outil Cibles'!$G$17, 0)</f>
        <v>5.3823222388442451</v>
      </c>
      <c r="F141" s="11">
        <f>IF(AND(A141-'Outil Cibles'!$H$7&lt;=60,A141-'Outil Cibles'!$H$7&gt;=0), 'Outil Cibles'!$H$17, 0)</f>
        <v>4.6974836188392803</v>
      </c>
      <c r="G141" s="11">
        <f>IF(AND(A141-'Outil Cibles'!$I$7&lt;=60,A141-'Outil Cibles'!$I$7&gt;=0), 'Outil Cibles'!$I$17, 0)</f>
        <v>4.2500459859961417</v>
      </c>
      <c r="H141" s="11">
        <f>IF(AND(A141-'Outil Cibles'!$J$7&lt;=60,A141-'Outil Cibles'!$J$7&gt;=0), 'Outil Cibles'!$J$17, 0)</f>
        <v>3.8781564147749821</v>
      </c>
      <c r="L141" s="11">
        <f t="shared" si="4"/>
        <v>41.283519201948444</v>
      </c>
      <c r="N141">
        <v>2076</v>
      </c>
      <c r="O141" s="11">
        <f>IF(AND(N141-'Outil Cibles'!$Q$7&lt;=60,N141-'Outil Cibles'!$Q$7&gt;=0), 'Outil Cibles'!$Q$17, 0)</f>
        <v>9.2209307000221994</v>
      </c>
      <c r="P141" s="11">
        <f>IF(AND(N141-'Outil Cibles'!$R$7&lt;=60,N141-'Outil Cibles'!$R$7&gt;=0), 'Outil Cibles'!$R$17, 0)</f>
        <v>7.8928860244932029</v>
      </c>
      <c r="Q141" s="11">
        <f>IF(AND(N141-'Outil Cibles'!$S$7&lt;=60,N141-'Outil Cibles'!$S$7&gt;=0), 'Outil Cibles'!$S$17, 0)</f>
        <v>5.7861034181094277</v>
      </c>
      <c r="R141" s="11">
        <f>IF(AND(N141-'Outil Cibles'!$T$7&lt;=60,N141-'Outil Cibles'!$T$7&gt;=0), 'Outil Cibles'!$T$17, 0)</f>
        <v>3.9285483356528981</v>
      </c>
      <c r="S141" s="11">
        <f>IF(AND(N141-'Outil Cibles'!$U$7&lt;=60,N141-'Outil Cibles'!$U$7&gt;=0), 'Outil Cibles'!$U$17, 0)</f>
        <v>3.1156336157567535</v>
      </c>
      <c r="T141" s="11">
        <f>IF(AND(N141-'Outil Cibles'!$V$7&lt;=60,N141-'Outil Cibles'!$V$7&gt;=0), 'Outil Cibles'!$V$17, 0)</f>
        <v>2.6699626409394961</v>
      </c>
      <c r="U141" s="11">
        <f>IF(AND(N141-'Outil Cibles'!$W$7&lt;=60,N141-'Outil Cibles'!$W$7&gt;=0), 'Outil Cibles'!$W$17, 0)</f>
        <v>2.2883803860824354</v>
      </c>
      <c r="V141" s="11">
        <f>IF(AND(N141-'Outil Cibles'!$X$7&lt;=60,N141-'Outil Cibles'!$X$7&gt;=0), 'Outil Cibles'!$X$17, 0)</f>
        <v>1.9616157649480985</v>
      </c>
      <c r="W141" s="11">
        <f>IF(AND(N141-'Outil Cibles'!$Y$7&lt;=60,N141-'Outil Cibles'!$Y$7&gt;=0), 'Outil Cibles'!$Y$17, 0)</f>
        <v>1.4420078055173704</v>
      </c>
      <c r="X141" s="11">
        <f>IF(AND(N141-'Outil Cibles'!$Z$7&lt;=60,N141-'Outil Cibles'!$Z$7&gt;=0), 'Outil Cibles'!$Z$17, 0)</f>
        <v>1.2366099769912016</v>
      </c>
      <c r="Y141" s="11">
        <f t="shared" si="5"/>
        <v>39.542678668513091</v>
      </c>
    </row>
    <row r="142" spans="1:25" x14ac:dyDescent="0.3">
      <c r="A142" s="10">
        <v>2077</v>
      </c>
      <c r="B142" s="11">
        <f>IF(AND(A142-'Outil Cibles'!$D$7&lt;=60,A142-'Outil Cibles'!$D$7&gt;=0), 'Outil Cibles'!$D$17, 0)</f>
        <v>8.7624493817977029</v>
      </c>
      <c r="C142" s="11">
        <f>IF(AND(A142-'Outil Cibles'!$E$7&lt;=60,A142-'Outil Cibles'!$E$7&gt;=0), 'Outil Cibles'!$E$17, 0)</f>
        <v>7.6922353293822718</v>
      </c>
      <c r="D142" s="11">
        <f>IF(AND(A142-'Outil Cibles'!$F$7&lt;=60,A142-'Outil Cibles'!$F$7&gt;=0), 'Outil Cibles'!$F$17, 0)</f>
        <v>6.6208262323138225</v>
      </c>
      <c r="E142" s="11">
        <f>IF(AND(A142-'Outil Cibles'!$G$7&lt;=60,A142-'Outil Cibles'!$G$7&gt;=0), 'Outil Cibles'!$G$17, 0)</f>
        <v>5.3823222388442451</v>
      </c>
      <c r="F142" s="11">
        <f>IF(AND(A142-'Outil Cibles'!$H$7&lt;=60,A142-'Outil Cibles'!$H$7&gt;=0), 'Outil Cibles'!$H$17, 0)</f>
        <v>4.6974836188392803</v>
      </c>
      <c r="G142" s="11">
        <f>IF(AND(A142-'Outil Cibles'!$I$7&lt;=60,A142-'Outil Cibles'!$I$7&gt;=0), 'Outil Cibles'!$I$17, 0)</f>
        <v>4.2500459859961417</v>
      </c>
      <c r="H142" s="11">
        <f>IF(AND(A142-'Outil Cibles'!$J$7&lt;=60,A142-'Outil Cibles'!$J$7&gt;=0), 'Outil Cibles'!$J$17, 0)</f>
        <v>3.8781564147749821</v>
      </c>
      <c r="L142" s="11">
        <f t="shared" si="4"/>
        <v>41.283519201948444</v>
      </c>
      <c r="N142" s="10">
        <v>2077</v>
      </c>
      <c r="O142" s="11">
        <f>IF(AND(N142-'Outil Cibles'!$Q$7&lt;=60,N142-'Outil Cibles'!$Q$7&gt;=0), 'Outil Cibles'!$Q$17, 0)</f>
        <v>9.2209307000221994</v>
      </c>
      <c r="P142" s="11">
        <f>IF(AND(N142-'Outil Cibles'!$R$7&lt;=60,N142-'Outil Cibles'!$R$7&gt;=0), 'Outil Cibles'!$R$17, 0)</f>
        <v>7.8928860244932029</v>
      </c>
      <c r="Q142" s="11">
        <f>IF(AND(N142-'Outil Cibles'!$S$7&lt;=60,N142-'Outil Cibles'!$S$7&gt;=0), 'Outil Cibles'!$S$17, 0)</f>
        <v>5.7861034181094277</v>
      </c>
      <c r="R142" s="11">
        <f>IF(AND(N142-'Outil Cibles'!$T$7&lt;=60,N142-'Outil Cibles'!$T$7&gt;=0), 'Outil Cibles'!$T$17, 0)</f>
        <v>3.9285483356528981</v>
      </c>
      <c r="S142" s="11">
        <f>IF(AND(N142-'Outil Cibles'!$U$7&lt;=60,N142-'Outil Cibles'!$U$7&gt;=0), 'Outil Cibles'!$U$17, 0)</f>
        <v>3.1156336157567535</v>
      </c>
      <c r="T142" s="11">
        <f>IF(AND(N142-'Outil Cibles'!$V$7&lt;=60,N142-'Outil Cibles'!$V$7&gt;=0), 'Outil Cibles'!$V$17, 0)</f>
        <v>2.6699626409394961</v>
      </c>
      <c r="U142" s="11">
        <f>IF(AND(N142-'Outil Cibles'!$W$7&lt;=60,N142-'Outil Cibles'!$W$7&gt;=0), 'Outil Cibles'!$W$17, 0)</f>
        <v>2.2883803860824354</v>
      </c>
      <c r="V142" s="11">
        <f>IF(AND(N142-'Outil Cibles'!$X$7&lt;=60,N142-'Outil Cibles'!$X$7&gt;=0), 'Outil Cibles'!$X$17, 0)</f>
        <v>1.9616157649480985</v>
      </c>
      <c r="W142" s="11">
        <f>IF(AND(N142-'Outil Cibles'!$Y$7&lt;=60,N142-'Outil Cibles'!$Y$7&gt;=0), 'Outil Cibles'!$Y$17, 0)</f>
        <v>1.4420078055173704</v>
      </c>
      <c r="X142" s="11">
        <f>IF(AND(N142-'Outil Cibles'!$Z$7&lt;=60,N142-'Outil Cibles'!$Z$7&gt;=0), 'Outil Cibles'!$Z$17, 0)</f>
        <v>1.2366099769912016</v>
      </c>
      <c r="Y142" s="11">
        <f t="shared" si="5"/>
        <v>39.542678668513091</v>
      </c>
    </row>
    <row r="143" spans="1:25" x14ac:dyDescent="0.3">
      <c r="A143">
        <v>2078</v>
      </c>
      <c r="B143" s="11">
        <f>IF(AND(A143-'Outil Cibles'!$D$7&lt;=60,A143-'Outil Cibles'!$D$7&gt;=0), 'Outil Cibles'!$D$17, 0)</f>
        <v>8.7624493817977029</v>
      </c>
      <c r="C143" s="11">
        <f>IF(AND(A143-'Outil Cibles'!$E$7&lt;=60,A143-'Outil Cibles'!$E$7&gt;=0), 'Outil Cibles'!$E$17, 0)</f>
        <v>7.6922353293822718</v>
      </c>
      <c r="D143" s="11">
        <f>IF(AND(A143-'Outil Cibles'!$F$7&lt;=60,A143-'Outil Cibles'!$F$7&gt;=0), 'Outil Cibles'!$F$17, 0)</f>
        <v>6.6208262323138225</v>
      </c>
      <c r="E143" s="11">
        <f>IF(AND(A143-'Outil Cibles'!$G$7&lt;=60,A143-'Outil Cibles'!$G$7&gt;=0), 'Outil Cibles'!$G$17, 0)</f>
        <v>5.3823222388442451</v>
      </c>
      <c r="F143" s="11">
        <f>IF(AND(A143-'Outil Cibles'!$H$7&lt;=60,A143-'Outil Cibles'!$H$7&gt;=0), 'Outil Cibles'!$H$17, 0)</f>
        <v>4.6974836188392803</v>
      </c>
      <c r="G143" s="11">
        <f>IF(AND(A143-'Outil Cibles'!$I$7&lt;=60,A143-'Outil Cibles'!$I$7&gt;=0), 'Outil Cibles'!$I$17, 0)</f>
        <v>4.2500459859961417</v>
      </c>
      <c r="H143" s="11">
        <f>IF(AND(A143-'Outil Cibles'!$J$7&lt;=60,A143-'Outil Cibles'!$J$7&gt;=0), 'Outil Cibles'!$J$17, 0)</f>
        <v>3.8781564147749821</v>
      </c>
      <c r="L143" s="11">
        <f t="shared" si="4"/>
        <v>41.283519201948444</v>
      </c>
      <c r="N143">
        <v>2078</v>
      </c>
      <c r="O143" s="11">
        <f>IF(AND(N143-'Outil Cibles'!$Q$7&lt;=60,N143-'Outil Cibles'!$Q$7&gt;=0), 'Outil Cibles'!$Q$17, 0)</f>
        <v>9.2209307000221994</v>
      </c>
      <c r="P143" s="11">
        <f>IF(AND(N143-'Outil Cibles'!$R$7&lt;=60,N143-'Outil Cibles'!$R$7&gt;=0), 'Outil Cibles'!$R$17, 0)</f>
        <v>7.8928860244932029</v>
      </c>
      <c r="Q143" s="11">
        <f>IF(AND(N143-'Outil Cibles'!$S$7&lt;=60,N143-'Outil Cibles'!$S$7&gt;=0), 'Outil Cibles'!$S$17, 0)</f>
        <v>5.7861034181094277</v>
      </c>
      <c r="R143" s="11">
        <f>IF(AND(N143-'Outil Cibles'!$T$7&lt;=60,N143-'Outil Cibles'!$T$7&gt;=0), 'Outil Cibles'!$T$17, 0)</f>
        <v>3.9285483356528981</v>
      </c>
      <c r="S143" s="11">
        <f>IF(AND(N143-'Outil Cibles'!$U$7&lt;=60,N143-'Outil Cibles'!$U$7&gt;=0), 'Outil Cibles'!$U$17, 0)</f>
        <v>3.1156336157567535</v>
      </c>
      <c r="T143" s="11">
        <f>IF(AND(N143-'Outil Cibles'!$V$7&lt;=60,N143-'Outil Cibles'!$V$7&gt;=0), 'Outil Cibles'!$V$17, 0)</f>
        <v>2.6699626409394961</v>
      </c>
      <c r="U143" s="11">
        <f>IF(AND(N143-'Outil Cibles'!$W$7&lt;=60,N143-'Outil Cibles'!$W$7&gt;=0), 'Outil Cibles'!$W$17, 0)</f>
        <v>2.2883803860824354</v>
      </c>
      <c r="V143" s="11">
        <f>IF(AND(N143-'Outil Cibles'!$X$7&lt;=60,N143-'Outil Cibles'!$X$7&gt;=0), 'Outil Cibles'!$X$17, 0)</f>
        <v>1.9616157649480985</v>
      </c>
      <c r="W143" s="11">
        <f>IF(AND(N143-'Outil Cibles'!$Y$7&lt;=60,N143-'Outil Cibles'!$Y$7&gt;=0), 'Outil Cibles'!$Y$17, 0)</f>
        <v>1.4420078055173704</v>
      </c>
      <c r="X143" s="11">
        <f>IF(AND(N143-'Outil Cibles'!$Z$7&lt;=60,N143-'Outil Cibles'!$Z$7&gt;=0), 'Outil Cibles'!$Z$17, 0)</f>
        <v>1.2366099769912016</v>
      </c>
      <c r="Y143" s="11">
        <f t="shared" si="5"/>
        <v>39.542678668513091</v>
      </c>
    </row>
    <row r="144" spans="1:25" x14ac:dyDescent="0.3">
      <c r="A144">
        <v>2079</v>
      </c>
      <c r="B144" s="11">
        <f>IF(AND(A144-'Outil Cibles'!$D$7&lt;=60,A144-'Outil Cibles'!$D$7&gt;=0), 'Outil Cibles'!$D$17, 0)</f>
        <v>8.7624493817977029</v>
      </c>
      <c r="C144" s="11">
        <f>IF(AND(A144-'Outil Cibles'!$E$7&lt;=60,A144-'Outil Cibles'!$E$7&gt;=0), 'Outil Cibles'!$E$17, 0)</f>
        <v>7.6922353293822718</v>
      </c>
      <c r="D144" s="11">
        <f>IF(AND(A144-'Outil Cibles'!$F$7&lt;=60,A144-'Outil Cibles'!$F$7&gt;=0), 'Outil Cibles'!$F$17, 0)</f>
        <v>6.6208262323138225</v>
      </c>
      <c r="E144" s="11">
        <f>IF(AND(A144-'Outil Cibles'!$G$7&lt;=60,A144-'Outil Cibles'!$G$7&gt;=0), 'Outil Cibles'!$G$17, 0)</f>
        <v>5.3823222388442451</v>
      </c>
      <c r="F144" s="11">
        <f>IF(AND(A144-'Outil Cibles'!$H$7&lt;=60,A144-'Outil Cibles'!$H$7&gt;=0), 'Outil Cibles'!$H$17, 0)</f>
        <v>4.6974836188392803</v>
      </c>
      <c r="G144" s="11">
        <f>IF(AND(A144-'Outil Cibles'!$I$7&lt;=60,A144-'Outil Cibles'!$I$7&gt;=0), 'Outil Cibles'!$I$17, 0)</f>
        <v>4.2500459859961417</v>
      </c>
      <c r="H144" s="11">
        <f>IF(AND(A144-'Outil Cibles'!$J$7&lt;=60,A144-'Outil Cibles'!$J$7&gt;=0), 'Outil Cibles'!$J$17, 0)</f>
        <v>3.8781564147749821</v>
      </c>
      <c r="L144" s="11">
        <f t="shared" si="4"/>
        <v>41.283519201948444</v>
      </c>
      <c r="N144">
        <v>2079</v>
      </c>
      <c r="O144" s="11">
        <f>IF(AND(N144-'Outil Cibles'!$Q$7&lt;=60,N144-'Outil Cibles'!$Q$7&gt;=0), 'Outil Cibles'!$Q$17, 0)</f>
        <v>9.2209307000221994</v>
      </c>
      <c r="P144" s="11">
        <f>IF(AND(N144-'Outil Cibles'!$R$7&lt;=60,N144-'Outil Cibles'!$R$7&gt;=0), 'Outil Cibles'!$R$17, 0)</f>
        <v>7.8928860244932029</v>
      </c>
      <c r="Q144" s="11">
        <f>IF(AND(N144-'Outil Cibles'!$S$7&lt;=60,N144-'Outil Cibles'!$S$7&gt;=0), 'Outil Cibles'!$S$17, 0)</f>
        <v>5.7861034181094277</v>
      </c>
      <c r="R144" s="11">
        <f>IF(AND(N144-'Outil Cibles'!$T$7&lt;=60,N144-'Outil Cibles'!$T$7&gt;=0), 'Outil Cibles'!$T$17, 0)</f>
        <v>3.9285483356528981</v>
      </c>
      <c r="S144" s="11">
        <f>IF(AND(N144-'Outil Cibles'!$U$7&lt;=60,N144-'Outil Cibles'!$U$7&gt;=0), 'Outil Cibles'!$U$17, 0)</f>
        <v>3.1156336157567535</v>
      </c>
      <c r="T144" s="11">
        <f>IF(AND(N144-'Outil Cibles'!$V$7&lt;=60,N144-'Outil Cibles'!$V$7&gt;=0), 'Outil Cibles'!$V$17, 0)</f>
        <v>2.6699626409394961</v>
      </c>
      <c r="U144" s="11">
        <f>IF(AND(N144-'Outil Cibles'!$W$7&lt;=60,N144-'Outil Cibles'!$W$7&gt;=0), 'Outil Cibles'!$W$17, 0)</f>
        <v>2.2883803860824354</v>
      </c>
      <c r="V144" s="11">
        <f>IF(AND(N144-'Outil Cibles'!$X$7&lt;=60,N144-'Outil Cibles'!$X$7&gt;=0), 'Outil Cibles'!$X$17, 0)</f>
        <v>1.9616157649480985</v>
      </c>
      <c r="W144" s="11">
        <f>IF(AND(N144-'Outil Cibles'!$Y$7&lt;=60,N144-'Outil Cibles'!$Y$7&gt;=0), 'Outil Cibles'!$Y$17, 0)</f>
        <v>1.4420078055173704</v>
      </c>
      <c r="X144" s="11">
        <f>IF(AND(N144-'Outil Cibles'!$Z$7&lt;=60,N144-'Outil Cibles'!$Z$7&gt;=0), 'Outil Cibles'!$Z$17, 0)</f>
        <v>1.2366099769912016</v>
      </c>
      <c r="Y144" s="11">
        <f t="shared" si="5"/>
        <v>39.542678668513091</v>
      </c>
    </row>
    <row r="145" spans="1:25" x14ac:dyDescent="0.3">
      <c r="A145">
        <v>2080</v>
      </c>
      <c r="B145" s="11">
        <f>IF(AND(A145-'Outil Cibles'!$D$7&lt;=60,A145-'Outil Cibles'!$D$7&gt;=0), 'Outil Cibles'!$D$17, 0)</f>
        <v>8.7624493817977029</v>
      </c>
      <c r="C145" s="11">
        <f>IF(AND(A145-'Outil Cibles'!$E$7&lt;=60,A145-'Outil Cibles'!$E$7&gt;=0), 'Outil Cibles'!$E$17, 0)</f>
        <v>7.6922353293822718</v>
      </c>
      <c r="D145" s="11">
        <f>IF(AND(A145-'Outil Cibles'!$F$7&lt;=60,A145-'Outil Cibles'!$F$7&gt;=0), 'Outil Cibles'!$F$17, 0)</f>
        <v>6.6208262323138225</v>
      </c>
      <c r="E145" s="11">
        <f>IF(AND(A145-'Outil Cibles'!$G$7&lt;=60,A145-'Outil Cibles'!$G$7&gt;=0), 'Outil Cibles'!$G$17, 0)</f>
        <v>5.3823222388442451</v>
      </c>
      <c r="F145" s="11">
        <f>IF(AND(A145-'Outil Cibles'!$H$7&lt;=60,A145-'Outil Cibles'!$H$7&gt;=0), 'Outil Cibles'!$H$17, 0)</f>
        <v>4.6974836188392803</v>
      </c>
      <c r="G145" s="11">
        <f>IF(AND(A145-'Outil Cibles'!$I$7&lt;=60,A145-'Outil Cibles'!$I$7&gt;=0), 'Outil Cibles'!$I$17, 0)</f>
        <v>4.2500459859961417</v>
      </c>
      <c r="H145" s="11">
        <f>IF(AND(A145-'Outil Cibles'!$J$7&lt;=60,A145-'Outil Cibles'!$J$7&gt;=0), 'Outil Cibles'!$J$17, 0)</f>
        <v>3.8781564147749821</v>
      </c>
      <c r="L145" s="11">
        <f t="shared" si="4"/>
        <v>41.283519201948444</v>
      </c>
      <c r="N145">
        <v>2080</v>
      </c>
      <c r="O145" s="11">
        <f>IF(AND(N145-'Outil Cibles'!$Q$7&lt;=60,N145-'Outil Cibles'!$Q$7&gt;=0), 'Outil Cibles'!$Q$17, 0)</f>
        <v>9.2209307000221994</v>
      </c>
      <c r="P145" s="11">
        <f>IF(AND(N145-'Outil Cibles'!$R$7&lt;=60,N145-'Outil Cibles'!$R$7&gt;=0), 'Outil Cibles'!$R$17, 0)</f>
        <v>7.8928860244932029</v>
      </c>
      <c r="Q145" s="11">
        <f>IF(AND(N145-'Outil Cibles'!$S$7&lt;=60,N145-'Outil Cibles'!$S$7&gt;=0), 'Outil Cibles'!$S$17, 0)</f>
        <v>5.7861034181094277</v>
      </c>
      <c r="R145" s="11">
        <f>IF(AND(N145-'Outil Cibles'!$T$7&lt;=60,N145-'Outil Cibles'!$T$7&gt;=0), 'Outil Cibles'!$T$17, 0)</f>
        <v>3.9285483356528981</v>
      </c>
      <c r="S145" s="11">
        <f>IF(AND(N145-'Outil Cibles'!$U$7&lt;=60,N145-'Outil Cibles'!$U$7&gt;=0), 'Outil Cibles'!$U$17, 0)</f>
        <v>3.1156336157567535</v>
      </c>
      <c r="T145" s="11">
        <f>IF(AND(N145-'Outil Cibles'!$V$7&lt;=60,N145-'Outil Cibles'!$V$7&gt;=0), 'Outil Cibles'!$V$17, 0)</f>
        <v>2.6699626409394961</v>
      </c>
      <c r="U145" s="11">
        <f>IF(AND(N145-'Outil Cibles'!$W$7&lt;=60,N145-'Outil Cibles'!$W$7&gt;=0), 'Outil Cibles'!$W$17, 0)</f>
        <v>2.2883803860824354</v>
      </c>
      <c r="V145" s="11">
        <f>IF(AND(N145-'Outil Cibles'!$X$7&lt;=60,N145-'Outil Cibles'!$X$7&gt;=0), 'Outil Cibles'!$X$17, 0)</f>
        <v>1.9616157649480985</v>
      </c>
      <c r="W145" s="11">
        <f>IF(AND(N145-'Outil Cibles'!$Y$7&lt;=60,N145-'Outil Cibles'!$Y$7&gt;=0), 'Outil Cibles'!$Y$17, 0)</f>
        <v>1.4420078055173704</v>
      </c>
      <c r="X145" s="11">
        <f>IF(AND(N145-'Outil Cibles'!$Z$7&lt;=60,N145-'Outil Cibles'!$Z$7&gt;=0), 'Outil Cibles'!$Z$17, 0)</f>
        <v>1.2366099769912016</v>
      </c>
      <c r="Y145" s="11">
        <f t="shared" si="5"/>
        <v>39.542678668513091</v>
      </c>
    </row>
    <row r="146" spans="1:25" x14ac:dyDescent="0.3">
      <c r="A146" s="10">
        <v>2081</v>
      </c>
      <c r="B146" s="11">
        <f>IF(AND(A146-'Outil Cibles'!$D$7&lt;=60,A146-'Outil Cibles'!$D$7&gt;=0), 'Outil Cibles'!$D$17, 0)</f>
        <v>8.7624493817977029</v>
      </c>
      <c r="C146" s="11">
        <f>IF(AND(A146-'Outil Cibles'!$E$7&lt;=60,A146-'Outil Cibles'!$E$7&gt;=0), 'Outil Cibles'!$E$17, 0)</f>
        <v>7.6922353293822718</v>
      </c>
      <c r="D146" s="11">
        <f>IF(AND(A146-'Outil Cibles'!$F$7&lt;=60,A146-'Outil Cibles'!$F$7&gt;=0), 'Outil Cibles'!$F$17, 0)</f>
        <v>6.6208262323138225</v>
      </c>
      <c r="E146" s="11">
        <f>IF(AND(A146-'Outil Cibles'!$G$7&lt;=60,A146-'Outil Cibles'!$G$7&gt;=0), 'Outil Cibles'!$G$17, 0)</f>
        <v>5.3823222388442451</v>
      </c>
      <c r="F146" s="11">
        <f>IF(AND(A146-'Outil Cibles'!$H$7&lt;=60,A146-'Outil Cibles'!$H$7&gt;=0), 'Outil Cibles'!$H$17, 0)</f>
        <v>4.6974836188392803</v>
      </c>
      <c r="G146" s="11">
        <f>IF(AND(A146-'Outil Cibles'!$I$7&lt;=60,A146-'Outil Cibles'!$I$7&gt;=0), 'Outil Cibles'!$I$17, 0)</f>
        <v>4.2500459859961417</v>
      </c>
      <c r="H146" s="11">
        <f>IF(AND(A146-'Outil Cibles'!$J$7&lt;=60,A146-'Outil Cibles'!$J$7&gt;=0), 'Outil Cibles'!$J$17, 0)</f>
        <v>3.8781564147749821</v>
      </c>
      <c r="L146" s="11">
        <f t="shared" si="4"/>
        <v>41.283519201948444</v>
      </c>
      <c r="N146" s="10">
        <v>2081</v>
      </c>
      <c r="O146" s="11">
        <f>IF(AND(N146-'Outil Cibles'!$Q$7&lt;=60,N146-'Outil Cibles'!$Q$7&gt;=0), 'Outil Cibles'!$Q$17, 0)</f>
        <v>9.2209307000221994</v>
      </c>
      <c r="P146" s="11">
        <f>IF(AND(N146-'Outil Cibles'!$R$7&lt;=60,N146-'Outil Cibles'!$R$7&gt;=0), 'Outil Cibles'!$R$17, 0)</f>
        <v>7.8928860244932029</v>
      </c>
      <c r="Q146" s="11">
        <f>IF(AND(N146-'Outil Cibles'!$S$7&lt;=60,N146-'Outil Cibles'!$S$7&gt;=0), 'Outil Cibles'!$S$17, 0)</f>
        <v>5.7861034181094277</v>
      </c>
      <c r="R146" s="11">
        <f>IF(AND(N146-'Outil Cibles'!$T$7&lt;=60,N146-'Outil Cibles'!$T$7&gt;=0), 'Outil Cibles'!$T$17, 0)</f>
        <v>3.9285483356528981</v>
      </c>
      <c r="S146" s="11">
        <f>IF(AND(N146-'Outil Cibles'!$U$7&lt;=60,N146-'Outil Cibles'!$U$7&gt;=0), 'Outil Cibles'!$U$17, 0)</f>
        <v>3.1156336157567535</v>
      </c>
      <c r="T146" s="11">
        <f>IF(AND(N146-'Outil Cibles'!$V$7&lt;=60,N146-'Outil Cibles'!$V$7&gt;=0), 'Outil Cibles'!$V$17, 0)</f>
        <v>2.6699626409394961</v>
      </c>
      <c r="U146" s="11">
        <f>IF(AND(N146-'Outil Cibles'!$W$7&lt;=60,N146-'Outil Cibles'!$W$7&gt;=0), 'Outil Cibles'!$W$17, 0)</f>
        <v>2.2883803860824354</v>
      </c>
      <c r="V146" s="11">
        <f>IF(AND(N146-'Outil Cibles'!$X$7&lt;=60,N146-'Outil Cibles'!$X$7&gt;=0), 'Outil Cibles'!$X$17, 0)</f>
        <v>1.9616157649480985</v>
      </c>
      <c r="W146" s="11">
        <f>IF(AND(N146-'Outil Cibles'!$Y$7&lt;=60,N146-'Outil Cibles'!$Y$7&gt;=0), 'Outil Cibles'!$Y$17, 0)</f>
        <v>1.4420078055173704</v>
      </c>
      <c r="X146" s="11">
        <f>IF(AND(N146-'Outil Cibles'!$Z$7&lt;=60,N146-'Outil Cibles'!$Z$7&gt;=0), 'Outil Cibles'!$Z$17, 0)</f>
        <v>1.2366099769912016</v>
      </c>
      <c r="Y146" s="11">
        <f t="shared" si="5"/>
        <v>39.542678668513091</v>
      </c>
    </row>
    <row r="147" spans="1:25" x14ac:dyDescent="0.3">
      <c r="A147">
        <v>2082</v>
      </c>
      <c r="B147" s="11">
        <f>IF(AND(A147-'Outil Cibles'!$D$7&lt;=60,A147-'Outil Cibles'!$D$7&gt;=0), 'Outil Cibles'!$D$17, 0)</f>
        <v>8.7624493817977029</v>
      </c>
      <c r="C147" s="11">
        <f>IF(AND(A147-'Outil Cibles'!$E$7&lt;=60,A147-'Outil Cibles'!$E$7&gt;=0), 'Outil Cibles'!$E$17, 0)</f>
        <v>7.6922353293822718</v>
      </c>
      <c r="D147" s="11">
        <f>IF(AND(A147-'Outil Cibles'!$F$7&lt;=60,A147-'Outil Cibles'!$F$7&gt;=0), 'Outil Cibles'!$F$17, 0)</f>
        <v>6.6208262323138225</v>
      </c>
      <c r="E147" s="11">
        <f>IF(AND(A147-'Outil Cibles'!$G$7&lt;=60,A147-'Outil Cibles'!$G$7&gt;=0), 'Outil Cibles'!$G$17, 0)</f>
        <v>5.3823222388442451</v>
      </c>
      <c r="F147" s="11">
        <f>IF(AND(A147-'Outil Cibles'!$H$7&lt;=60,A147-'Outil Cibles'!$H$7&gt;=0), 'Outil Cibles'!$H$17, 0)</f>
        <v>4.6974836188392803</v>
      </c>
      <c r="G147" s="11">
        <f>IF(AND(A147-'Outil Cibles'!$I$7&lt;=60,A147-'Outil Cibles'!$I$7&gt;=0), 'Outil Cibles'!$I$17, 0)</f>
        <v>4.2500459859961417</v>
      </c>
      <c r="H147" s="11">
        <f>IF(AND(A147-'Outil Cibles'!$J$7&lt;=60,A147-'Outil Cibles'!$J$7&gt;=0), 'Outil Cibles'!$J$17, 0)</f>
        <v>3.8781564147749821</v>
      </c>
      <c r="L147" s="11">
        <f t="shared" si="4"/>
        <v>41.283519201948444</v>
      </c>
      <c r="N147">
        <v>2082</v>
      </c>
      <c r="O147" s="11">
        <f>IF(AND(N147-'Outil Cibles'!$Q$7&lt;=60,N147-'Outil Cibles'!$Q$7&gt;=0), 'Outil Cibles'!$Q$17, 0)</f>
        <v>9.2209307000221994</v>
      </c>
      <c r="P147" s="11">
        <f>IF(AND(N147-'Outil Cibles'!$R$7&lt;=60,N147-'Outil Cibles'!$R$7&gt;=0), 'Outil Cibles'!$R$17, 0)</f>
        <v>7.8928860244932029</v>
      </c>
      <c r="Q147" s="11">
        <f>IF(AND(N147-'Outil Cibles'!$S$7&lt;=60,N147-'Outil Cibles'!$S$7&gt;=0), 'Outil Cibles'!$S$17, 0)</f>
        <v>5.7861034181094277</v>
      </c>
      <c r="R147" s="11">
        <f>IF(AND(N147-'Outil Cibles'!$T$7&lt;=60,N147-'Outil Cibles'!$T$7&gt;=0), 'Outil Cibles'!$T$17, 0)</f>
        <v>3.9285483356528981</v>
      </c>
      <c r="S147" s="11">
        <f>IF(AND(N147-'Outil Cibles'!$U$7&lt;=60,N147-'Outil Cibles'!$U$7&gt;=0), 'Outil Cibles'!$U$17, 0)</f>
        <v>3.1156336157567535</v>
      </c>
      <c r="T147" s="11">
        <f>IF(AND(N147-'Outil Cibles'!$V$7&lt;=60,N147-'Outil Cibles'!$V$7&gt;=0), 'Outil Cibles'!$V$17, 0)</f>
        <v>2.6699626409394961</v>
      </c>
      <c r="U147" s="11">
        <f>IF(AND(N147-'Outil Cibles'!$W$7&lt;=60,N147-'Outil Cibles'!$W$7&gt;=0), 'Outil Cibles'!$W$17, 0)</f>
        <v>2.2883803860824354</v>
      </c>
      <c r="V147" s="11">
        <f>IF(AND(N147-'Outil Cibles'!$X$7&lt;=60,N147-'Outil Cibles'!$X$7&gt;=0), 'Outil Cibles'!$X$17, 0)</f>
        <v>1.9616157649480985</v>
      </c>
      <c r="W147" s="11">
        <f>IF(AND(N147-'Outil Cibles'!$Y$7&lt;=60,N147-'Outil Cibles'!$Y$7&gt;=0), 'Outil Cibles'!$Y$17, 0)</f>
        <v>1.4420078055173704</v>
      </c>
      <c r="X147" s="11">
        <f>IF(AND(N147-'Outil Cibles'!$Z$7&lt;=60,N147-'Outil Cibles'!$Z$7&gt;=0), 'Outil Cibles'!$Z$17, 0)</f>
        <v>1.2366099769912016</v>
      </c>
      <c r="Y147" s="11">
        <f t="shared" si="5"/>
        <v>39.542678668513091</v>
      </c>
    </row>
    <row r="148" spans="1:25" x14ac:dyDescent="0.3">
      <c r="A148">
        <v>2083</v>
      </c>
      <c r="B148" s="11">
        <f>IF(AND(A148-'Outil Cibles'!$D$7&lt;=60,A148-'Outil Cibles'!$D$7&gt;=0), 'Outil Cibles'!$D$17, 0)</f>
        <v>8.7624493817977029</v>
      </c>
      <c r="C148" s="11">
        <f>IF(AND(A148-'Outil Cibles'!$E$7&lt;=60,A148-'Outil Cibles'!$E$7&gt;=0), 'Outil Cibles'!$E$17, 0)</f>
        <v>7.6922353293822718</v>
      </c>
      <c r="D148" s="11">
        <f>IF(AND(A148-'Outil Cibles'!$F$7&lt;=60,A148-'Outil Cibles'!$F$7&gt;=0), 'Outil Cibles'!$F$17, 0)</f>
        <v>6.6208262323138225</v>
      </c>
      <c r="E148" s="11">
        <f>IF(AND(A148-'Outil Cibles'!$G$7&lt;=60,A148-'Outil Cibles'!$G$7&gt;=0), 'Outil Cibles'!$G$17, 0)</f>
        <v>5.3823222388442451</v>
      </c>
      <c r="F148" s="11">
        <f>IF(AND(A148-'Outil Cibles'!$H$7&lt;=60,A148-'Outil Cibles'!$H$7&gt;=0), 'Outil Cibles'!$H$17, 0)</f>
        <v>4.6974836188392803</v>
      </c>
      <c r="G148" s="11">
        <f>IF(AND(A148-'Outil Cibles'!$I$7&lt;=60,A148-'Outil Cibles'!$I$7&gt;=0), 'Outil Cibles'!$I$17, 0)</f>
        <v>4.2500459859961417</v>
      </c>
      <c r="H148" s="11">
        <f>IF(AND(A148-'Outil Cibles'!$J$7&lt;=60,A148-'Outil Cibles'!$J$7&gt;=0), 'Outil Cibles'!$J$17, 0)</f>
        <v>3.8781564147749821</v>
      </c>
      <c r="L148" s="11">
        <f t="shared" si="4"/>
        <v>41.283519201948444</v>
      </c>
      <c r="N148">
        <v>2083</v>
      </c>
      <c r="O148" s="11">
        <f>IF(AND(N148-'Outil Cibles'!$Q$7&lt;=60,N148-'Outil Cibles'!$Q$7&gt;=0), 'Outil Cibles'!$Q$17, 0)</f>
        <v>9.2209307000221994</v>
      </c>
      <c r="P148" s="11">
        <f>IF(AND(N148-'Outil Cibles'!$R$7&lt;=60,N148-'Outil Cibles'!$R$7&gt;=0), 'Outil Cibles'!$R$17, 0)</f>
        <v>7.8928860244932029</v>
      </c>
      <c r="Q148" s="11">
        <f>IF(AND(N148-'Outil Cibles'!$S$7&lt;=60,N148-'Outil Cibles'!$S$7&gt;=0), 'Outil Cibles'!$S$17, 0)</f>
        <v>5.7861034181094277</v>
      </c>
      <c r="R148" s="11">
        <f>IF(AND(N148-'Outil Cibles'!$T$7&lt;=60,N148-'Outil Cibles'!$T$7&gt;=0), 'Outil Cibles'!$T$17, 0)</f>
        <v>3.9285483356528981</v>
      </c>
      <c r="S148" s="11">
        <f>IF(AND(N148-'Outil Cibles'!$U$7&lt;=60,N148-'Outil Cibles'!$U$7&gt;=0), 'Outil Cibles'!$U$17, 0)</f>
        <v>3.1156336157567535</v>
      </c>
      <c r="T148" s="11">
        <f>IF(AND(N148-'Outil Cibles'!$V$7&lt;=60,N148-'Outil Cibles'!$V$7&gt;=0), 'Outil Cibles'!$V$17, 0)</f>
        <v>2.6699626409394961</v>
      </c>
      <c r="U148" s="11">
        <f>IF(AND(N148-'Outil Cibles'!$W$7&lt;=60,N148-'Outil Cibles'!$W$7&gt;=0), 'Outil Cibles'!$W$17, 0)</f>
        <v>2.2883803860824354</v>
      </c>
      <c r="V148" s="11">
        <f>IF(AND(N148-'Outil Cibles'!$X$7&lt;=60,N148-'Outil Cibles'!$X$7&gt;=0), 'Outil Cibles'!$X$17, 0)</f>
        <v>1.9616157649480985</v>
      </c>
      <c r="W148" s="11">
        <f>IF(AND(N148-'Outil Cibles'!$Y$7&lt;=60,N148-'Outil Cibles'!$Y$7&gt;=0), 'Outil Cibles'!$Y$17, 0)</f>
        <v>1.4420078055173704</v>
      </c>
      <c r="X148" s="11">
        <f>IF(AND(N148-'Outil Cibles'!$Z$7&lt;=60,N148-'Outil Cibles'!$Z$7&gt;=0), 'Outil Cibles'!$Z$17, 0)</f>
        <v>1.2366099769912016</v>
      </c>
      <c r="Y148" s="11">
        <f t="shared" si="5"/>
        <v>39.542678668513091</v>
      </c>
    </row>
    <row r="149" spans="1:25" x14ac:dyDescent="0.3">
      <c r="A149">
        <v>2084</v>
      </c>
      <c r="B149" s="11">
        <f>IF(AND(A149-'Outil Cibles'!$D$7&lt;=60,A149-'Outil Cibles'!$D$7&gt;=0), 'Outil Cibles'!$D$17, 0)</f>
        <v>8.7624493817977029</v>
      </c>
      <c r="C149" s="11">
        <f>IF(AND(A149-'Outil Cibles'!$E$7&lt;=60,A149-'Outil Cibles'!$E$7&gt;=0), 'Outil Cibles'!$E$17, 0)</f>
        <v>7.6922353293822718</v>
      </c>
      <c r="D149" s="11">
        <f>IF(AND(A149-'Outil Cibles'!$F$7&lt;=60,A149-'Outil Cibles'!$F$7&gt;=0), 'Outil Cibles'!$F$17, 0)</f>
        <v>6.6208262323138225</v>
      </c>
      <c r="E149" s="11">
        <f>IF(AND(A149-'Outil Cibles'!$G$7&lt;=60,A149-'Outil Cibles'!$G$7&gt;=0), 'Outil Cibles'!$G$17, 0)</f>
        <v>5.3823222388442451</v>
      </c>
      <c r="F149" s="11">
        <f>IF(AND(A149-'Outil Cibles'!$H$7&lt;=60,A149-'Outil Cibles'!$H$7&gt;=0), 'Outil Cibles'!$H$17, 0)</f>
        <v>4.6974836188392803</v>
      </c>
      <c r="G149" s="11">
        <f>IF(AND(A149-'Outil Cibles'!$I$7&lt;=60,A149-'Outil Cibles'!$I$7&gt;=0), 'Outil Cibles'!$I$17, 0)</f>
        <v>4.2500459859961417</v>
      </c>
      <c r="H149" s="11">
        <f>IF(AND(A149-'Outil Cibles'!$J$7&lt;=60,A149-'Outil Cibles'!$J$7&gt;=0), 'Outil Cibles'!$J$17, 0)</f>
        <v>3.8781564147749821</v>
      </c>
      <c r="L149" s="11">
        <f t="shared" si="4"/>
        <v>41.283519201948444</v>
      </c>
      <c r="N149">
        <v>2084</v>
      </c>
      <c r="O149" s="11">
        <f>IF(AND(N149-'Outil Cibles'!$Q$7&lt;=60,N149-'Outil Cibles'!$Q$7&gt;=0), 'Outil Cibles'!$Q$17, 0)</f>
        <v>9.2209307000221994</v>
      </c>
      <c r="P149" s="11">
        <f>IF(AND(N149-'Outil Cibles'!$R$7&lt;=60,N149-'Outil Cibles'!$R$7&gt;=0), 'Outil Cibles'!$R$17, 0)</f>
        <v>7.8928860244932029</v>
      </c>
      <c r="Q149" s="11">
        <f>IF(AND(N149-'Outil Cibles'!$S$7&lt;=60,N149-'Outil Cibles'!$S$7&gt;=0), 'Outil Cibles'!$S$17, 0)</f>
        <v>5.7861034181094277</v>
      </c>
      <c r="R149" s="11">
        <f>IF(AND(N149-'Outil Cibles'!$T$7&lt;=60,N149-'Outil Cibles'!$T$7&gt;=0), 'Outil Cibles'!$T$17, 0)</f>
        <v>3.9285483356528981</v>
      </c>
      <c r="S149" s="11">
        <f>IF(AND(N149-'Outil Cibles'!$U$7&lt;=60,N149-'Outil Cibles'!$U$7&gt;=0), 'Outil Cibles'!$U$17, 0)</f>
        <v>3.1156336157567535</v>
      </c>
      <c r="T149" s="11">
        <f>IF(AND(N149-'Outil Cibles'!$V$7&lt;=60,N149-'Outil Cibles'!$V$7&gt;=0), 'Outil Cibles'!$V$17, 0)</f>
        <v>2.6699626409394961</v>
      </c>
      <c r="U149" s="11">
        <f>IF(AND(N149-'Outil Cibles'!$W$7&lt;=60,N149-'Outil Cibles'!$W$7&gt;=0), 'Outil Cibles'!$W$17, 0)</f>
        <v>2.2883803860824354</v>
      </c>
      <c r="V149" s="11">
        <f>IF(AND(N149-'Outil Cibles'!$X$7&lt;=60,N149-'Outil Cibles'!$X$7&gt;=0), 'Outil Cibles'!$X$17, 0)</f>
        <v>1.9616157649480985</v>
      </c>
      <c r="W149" s="11">
        <f>IF(AND(N149-'Outil Cibles'!$Y$7&lt;=60,N149-'Outil Cibles'!$Y$7&gt;=0), 'Outil Cibles'!$Y$17, 0)</f>
        <v>1.4420078055173704</v>
      </c>
      <c r="X149" s="11">
        <f>IF(AND(N149-'Outil Cibles'!$Z$7&lt;=60,N149-'Outil Cibles'!$Z$7&gt;=0), 'Outil Cibles'!$Z$17, 0)</f>
        <v>1.2366099769912016</v>
      </c>
      <c r="Y149" s="11">
        <f t="shared" si="5"/>
        <v>39.542678668513091</v>
      </c>
    </row>
    <row r="150" spans="1:25" x14ac:dyDescent="0.3">
      <c r="A150" s="10">
        <v>2085</v>
      </c>
      <c r="B150" s="11">
        <f>IF(AND(A150-'Outil Cibles'!$D$7&lt;=60,A150-'Outil Cibles'!$D$7&gt;=0), 'Outil Cibles'!$D$17, 0)</f>
        <v>0</v>
      </c>
      <c r="C150" s="11">
        <f>IF(AND(A150-'Outil Cibles'!$E$7&lt;=60,A150-'Outil Cibles'!$E$7&gt;=0), 'Outil Cibles'!$E$17, 0)</f>
        <v>7.6922353293822718</v>
      </c>
      <c r="D150" s="11">
        <f>IF(AND(A150-'Outil Cibles'!$F$7&lt;=60,A150-'Outil Cibles'!$F$7&gt;=0), 'Outil Cibles'!$F$17, 0)</f>
        <v>6.6208262323138225</v>
      </c>
      <c r="E150" s="11">
        <f>IF(AND(A150-'Outil Cibles'!$G$7&lt;=60,A150-'Outil Cibles'!$G$7&gt;=0), 'Outil Cibles'!$G$17, 0)</f>
        <v>5.3823222388442451</v>
      </c>
      <c r="F150" s="11">
        <f>IF(AND(A150-'Outil Cibles'!$H$7&lt;=60,A150-'Outil Cibles'!$H$7&gt;=0), 'Outil Cibles'!$H$17, 0)</f>
        <v>4.6974836188392803</v>
      </c>
      <c r="G150" s="11">
        <f>IF(AND(A150-'Outil Cibles'!$I$7&lt;=60,A150-'Outil Cibles'!$I$7&gt;=0), 'Outil Cibles'!$I$17, 0)</f>
        <v>4.2500459859961417</v>
      </c>
      <c r="H150" s="11">
        <f>IF(AND(A150-'Outil Cibles'!$J$7&lt;=60,A150-'Outil Cibles'!$J$7&gt;=0), 'Outil Cibles'!$J$17, 0)</f>
        <v>3.8781564147749821</v>
      </c>
      <c r="L150" s="11">
        <f t="shared" si="4"/>
        <v>32.521069820150743</v>
      </c>
      <c r="N150" s="10">
        <v>2085</v>
      </c>
      <c r="O150" s="11">
        <f>IF(AND(N150-'Outil Cibles'!$Q$7&lt;=60,N150-'Outil Cibles'!$Q$7&gt;=0), 'Outil Cibles'!$Q$17, 0)</f>
        <v>0</v>
      </c>
      <c r="P150" s="11">
        <f>IF(AND(N150-'Outil Cibles'!$R$7&lt;=60,N150-'Outil Cibles'!$R$7&gt;=0), 'Outil Cibles'!$R$17, 0)</f>
        <v>7.8928860244932029</v>
      </c>
      <c r="Q150" s="11">
        <f>IF(AND(N150-'Outil Cibles'!$S$7&lt;=60,N150-'Outil Cibles'!$S$7&gt;=0), 'Outil Cibles'!$S$17, 0)</f>
        <v>5.7861034181094277</v>
      </c>
      <c r="R150" s="11">
        <f>IF(AND(N150-'Outil Cibles'!$T$7&lt;=60,N150-'Outil Cibles'!$T$7&gt;=0), 'Outil Cibles'!$T$17, 0)</f>
        <v>3.9285483356528981</v>
      </c>
      <c r="S150" s="11">
        <f>IF(AND(N150-'Outil Cibles'!$U$7&lt;=60,N150-'Outil Cibles'!$U$7&gt;=0), 'Outil Cibles'!$U$17, 0)</f>
        <v>3.1156336157567535</v>
      </c>
      <c r="T150" s="11">
        <f>IF(AND(N150-'Outil Cibles'!$V$7&lt;=60,N150-'Outil Cibles'!$V$7&gt;=0), 'Outil Cibles'!$V$17, 0)</f>
        <v>2.6699626409394961</v>
      </c>
      <c r="U150" s="11">
        <f>IF(AND(N150-'Outil Cibles'!$W$7&lt;=60,N150-'Outil Cibles'!$W$7&gt;=0), 'Outil Cibles'!$W$17, 0)</f>
        <v>2.2883803860824354</v>
      </c>
      <c r="V150" s="11">
        <f>IF(AND(N150-'Outil Cibles'!$X$7&lt;=60,N150-'Outil Cibles'!$X$7&gt;=0), 'Outil Cibles'!$X$17, 0)</f>
        <v>1.9616157649480985</v>
      </c>
      <c r="W150" s="11">
        <f>IF(AND(N150-'Outil Cibles'!$Y$7&lt;=60,N150-'Outil Cibles'!$Y$7&gt;=0), 'Outil Cibles'!$Y$17, 0)</f>
        <v>1.4420078055173704</v>
      </c>
      <c r="X150" s="11">
        <f>IF(AND(N150-'Outil Cibles'!$Z$7&lt;=60,N150-'Outil Cibles'!$Z$7&gt;=0), 'Outil Cibles'!$Z$17, 0)</f>
        <v>1.2366099769912016</v>
      </c>
      <c r="Y150" s="11">
        <f t="shared" si="5"/>
        <v>30.321747968490886</v>
      </c>
    </row>
    <row r="151" spans="1:25" x14ac:dyDescent="0.3">
      <c r="A151">
        <v>2086</v>
      </c>
      <c r="B151" s="11">
        <f>IF(AND(A151-'Outil Cibles'!$D$7&lt;=60,A151-'Outil Cibles'!$D$7&gt;=0), 'Outil Cibles'!$D$17, 0)</f>
        <v>0</v>
      </c>
      <c r="C151" s="11">
        <f>IF(AND(A151-'Outil Cibles'!$E$7&lt;=60,A151-'Outil Cibles'!$E$7&gt;=0), 'Outil Cibles'!$E$17, 0)</f>
        <v>7.6922353293822718</v>
      </c>
      <c r="D151" s="11">
        <f>IF(AND(A151-'Outil Cibles'!$F$7&lt;=60,A151-'Outil Cibles'!$F$7&gt;=0), 'Outil Cibles'!$F$17, 0)</f>
        <v>6.6208262323138225</v>
      </c>
      <c r="E151" s="11">
        <f>IF(AND(A151-'Outil Cibles'!$G$7&lt;=60,A151-'Outil Cibles'!$G$7&gt;=0), 'Outil Cibles'!$G$17, 0)</f>
        <v>5.3823222388442451</v>
      </c>
      <c r="F151" s="11">
        <f>IF(AND(A151-'Outil Cibles'!$H$7&lt;=60,A151-'Outil Cibles'!$H$7&gt;=0), 'Outil Cibles'!$H$17, 0)</f>
        <v>4.6974836188392803</v>
      </c>
      <c r="G151" s="11">
        <f>IF(AND(A151-'Outil Cibles'!$I$7&lt;=60,A151-'Outil Cibles'!$I$7&gt;=0), 'Outil Cibles'!$I$17, 0)</f>
        <v>4.2500459859961417</v>
      </c>
      <c r="H151" s="11">
        <f>IF(AND(A151-'Outil Cibles'!$J$7&lt;=60,A151-'Outil Cibles'!$J$7&gt;=0), 'Outil Cibles'!$J$17, 0)</f>
        <v>3.8781564147749821</v>
      </c>
      <c r="L151" s="11">
        <f t="shared" si="4"/>
        <v>32.521069820150743</v>
      </c>
      <c r="N151">
        <v>2086</v>
      </c>
      <c r="O151" s="11">
        <f>IF(AND(N151-'Outil Cibles'!$Q$7&lt;=60,N151-'Outil Cibles'!$Q$7&gt;=0), 'Outil Cibles'!$Q$17, 0)</f>
        <v>0</v>
      </c>
      <c r="P151" s="11">
        <f>IF(AND(N151-'Outil Cibles'!$R$7&lt;=60,N151-'Outil Cibles'!$R$7&gt;=0), 'Outil Cibles'!$R$17, 0)</f>
        <v>7.8928860244932029</v>
      </c>
      <c r="Q151" s="11">
        <f>IF(AND(N151-'Outil Cibles'!$S$7&lt;=60,N151-'Outil Cibles'!$S$7&gt;=0), 'Outil Cibles'!$S$17, 0)</f>
        <v>5.7861034181094277</v>
      </c>
      <c r="R151" s="11">
        <f>IF(AND(N151-'Outil Cibles'!$T$7&lt;=60,N151-'Outil Cibles'!$T$7&gt;=0), 'Outil Cibles'!$T$17, 0)</f>
        <v>3.9285483356528981</v>
      </c>
      <c r="S151" s="11">
        <f>IF(AND(N151-'Outil Cibles'!$U$7&lt;=60,N151-'Outil Cibles'!$U$7&gt;=0), 'Outil Cibles'!$U$17, 0)</f>
        <v>3.1156336157567535</v>
      </c>
      <c r="T151" s="11">
        <f>IF(AND(N151-'Outil Cibles'!$V$7&lt;=60,N151-'Outil Cibles'!$V$7&gt;=0), 'Outil Cibles'!$V$17, 0)</f>
        <v>2.6699626409394961</v>
      </c>
      <c r="U151" s="11">
        <f>IF(AND(N151-'Outil Cibles'!$W$7&lt;=60,N151-'Outil Cibles'!$W$7&gt;=0), 'Outil Cibles'!$W$17, 0)</f>
        <v>2.2883803860824354</v>
      </c>
      <c r="V151" s="11">
        <f>IF(AND(N151-'Outil Cibles'!$X$7&lt;=60,N151-'Outil Cibles'!$X$7&gt;=0), 'Outil Cibles'!$X$17, 0)</f>
        <v>1.9616157649480985</v>
      </c>
      <c r="W151" s="11">
        <f>IF(AND(N151-'Outil Cibles'!$Y$7&lt;=60,N151-'Outil Cibles'!$Y$7&gt;=0), 'Outil Cibles'!$Y$17, 0)</f>
        <v>1.4420078055173704</v>
      </c>
      <c r="X151" s="11">
        <f>IF(AND(N151-'Outil Cibles'!$Z$7&lt;=60,N151-'Outil Cibles'!$Z$7&gt;=0), 'Outil Cibles'!$Z$17, 0)</f>
        <v>1.2366099769912016</v>
      </c>
      <c r="Y151" s="11">
        <f t="shared" si="5"/>
        <v>30.321747968490886</v>
      </c>
    </row>
    <row r="152" spans="1:25" x14ac:dyDescent="0.3">
      <c r="A152">
        <v>2087</v>
      </c>
      <c r="B152" s="11">
        <f>IF(AND(A152-'Outil Cibles'!$D$7&lt;=60,A152-'Outil Cibles'!$D$7&gt;=0), 'Outil Cibles'!$D$17, 0)</f>
        <v>0</v>
      </c>
      <c r="C152" s="11">
        <f>IF(AND(A152-'Outil Cibles'!$E$7&lt;=60,A152-'Outil Cibles'!$E$7&gt;=0), 'Outil Cibles'!$E$17, 0)</f>
        <v>0</v>
      </c>
      <c r="D152" s="11">
        <f>IF(AND(A152-'Outil Cibles'!$F$7&lt;=60,A152-'Outil Cibles'!$F$7&gt;=0), 'Outil Cibles'!$F$17, 0)</f>
        <v>6.6208262323138225</v>
      </c>
      <c r="E152" s="11">
        <f>IF(AND(A152-'Outil Cibles'!$G$7&lt;=60,A152-'Outil Cibles'!$G$7&gt;=0), 'Outil Cibles'!$G$17, 0)</f>
        <v>5.3823222388442451</v>
      </c>
      <c r="F152" s="11">
        <f>IF(AND(A152-'Outil Cibles'!$H$7&lt;=60,A152-'Outil Cibles'!$H$7&gt;=0), 'Outil Cibles'!$H$17, 0)</f>
        <v>4.6974836188392803</v>
      </c>
      <c r="G152" s="11">
        <f>IF(AND(A152-'Outil Cibles'!$I$7&lt;=60,A152-'Outil Cibles'!$I$7&gt;=0), 'Outil Cibles'!$I$17, 0)</f>
        <v>4.2500459859961417</v>
      </c>
      <c r="H152" s="11">
        <f>IF(AND(A152-'Outil Cibles'!$J$7&lt;=60,A152-'Outil Cibles'!$J$7&gt;=0), 'Outil Cibles'!$J$17, 0)</f>
        <v>3.8781564147749821</v>
      </c>
      <c r="L152" s="11">
        <f t="shared" ref="L152:L165" si="6">SUM(B152:K152)</f>
        <v>24.828834490768472</v>
      </c>
      <c r="N152">
        <v>2087</v>
      </c>
      <c r="O152" s="11">
        <f>IF(AND(N152-'Outil Cibles'!$Q$7&lt;=60,N152-'Outil Cibles'!$Q$7&gt;=0), 'Outil Cibles'!$Q$17, 0)</f>
        <v>0</v>
      </c>
      <c r="P152" s="11">
        <f>IF(AND(N152-'Outil Cibles'!$R$7&lt;=60,N152-'Outil Cibles'!$R$7&gt;=0), 'Outil Cibles'!$R$17, 0)</f>
        <v>0</v>
      </c>
      <c r="Q152" s="11">
        <f>IF(AND(N152-'Outil Cibles'!$S$7&lt;=60,N152-'Outil Cibles'!$S$7&gt;=0), 'Outil Cibles'!$S$17, 0)</f>
        <v>5.7861034181094277</v>
      </c>
      <c r="R152" s="11">
        <f>IF(AND(N152-'Outil Cibles'!$T$7&lt;=60,N152-'Outil Cibles'!$T$7&gt;=0), 'Outil Cibles'!$T$17, 0)</f>
        <v>3.9285483356528981</v>
      </c>
      <c r="S152" s="11">
        <f>IF(AND(N152-'Outil Cibles'!$U$7&lt;=60,N152-'Outil Cibles'!$U$7&gt;=0), 'Outil Cibles'!$U$17, 0)</f>
        <v>3.1156336157567535</v>
      </c>
      <c r="T152" s="11">
        <f>IF(AND(N152-'Outil Cibles'!$V$7&lt;=60,N152-'Outil Cibles'!$V$7&gt;=0), 'Outil Cibles'!$V$17, 0)</f>
        <v>2.6699626409394961</v>
      </c>
      <c r="U152" s="11">
        <f>IF(AND(N152-'Outil Cibles'!$W$7&lt;=60,N152-'Outil Cibles'!$W$7&gt;=0), 'Outil Cibles'!$W$17, 0)</f>
        <v>2.2883803860824354</v>
      </c>
      <c r="V152" s="11">
        <f>IF(AND(N152-'Outil Cibles'!$X$7&lt;=60,N152-'Outil Cibles'!$X$7&gt;=0), 'Outil Cibles'!$X$17, 0)</f>
        <v>1.9616157649480985</v>
      </c>
      <c r="W152" s="11">
        <f>IF(AND(N152-'Outil Cibles'!$Y$7&lt;=60,N152-'Outil Cibles'!$Y$7&gt;=0), 'Outil Cibles'!$Y$17, 0)</f>
        <v>1.4420078055173704</v>
      </c>
      <c r="X152" s="11">
        <f>IF(AND(N152-'Outil Cibles'!$Z$7&lt;=60,N152-'Outil Cibles'!$Z$7&gt;=0), 'Outil Cibles'!$Z$17, 0)</f>
        <v>1.2366099769912016</v>
      </c>
      <c r="Y152" s="11">
        <f t="shared" ref="Y152:Y165" si="7">SUM(O152:X152)</f>
        <v>22.428861943997678</v>
      </c>
    </row>
    <row r="153" spans="1:25" x14ac:dyDescent="0.3">
      <c r="A153">
        <v>2088</v>
      </c>
      <c r="B153" s="11">
        <f>IF(AND(A153-'Outil Cibles'!$D$7&lt;=60,A153-'Outil Cibles'!$D$7&gt;=0), 'Outil Cibles'!$D$17, 0)</f>
        <v>0</v>
      </c>
      <c r="C153" s="11">
        <f>IF(AND(A153-'Outil Cibles'!$E$7&lt;=60,A153-'Outil Cibles'!$E$7&gt;=0), 'Outil Cibles'!$E$17, 0)</f>
        <v>0</v>
      </c>
      <c r="D153" s="11">
        <f>IF(AND(A153-'Outil Cibles'!$F$7&lt;=60,A153-'Outil Cibles'!$F$7&gt;=0), 'Outil Cibles'!$F$17, 0)</f>
        <v>6.6208262323138225</v>
      </c>
      <c r="E153" s="11">
        <f>IF(AND(A153-'Outil Cibles'!$G$7&lt;=60,A153-'Outil Cibles'!$G$7&gt;=0), 'Outil Cibles'!$G$17, 0)</f>
        <v>5.3823222388442451</v>
      </c>
      <c r="F153" s="11">
        <f>IF(AND(A153-'Outil Cibles'!$H$7&lt;=60,A153-'Outil Cibles'!$H$7&gt;=0), 'Outil Cibles'!$H$17, 0)</f>
        <v>4.6974836188392803</v>
      </c>
      <c r="G153" s="11">
        <f>IF(AND(A153-'Outil Cibles'!$I$7&lt;=60,A153-'Outil Cibles'!$I$7&gt;=0), 'Outil Cibles'!$I$17, 0)</f>
        <v>4.2500459859961417</v>
      </c>
      <c r="H153" s="11">
        <f>IF(AND(A153-'Outil Cibles'!$J$7&lt;=60,A153-'Outil Cibles'!$J$7&gt;=0), 'Outil Cibles'!$J$17, 0)</f>
        <v>3.8781564147749821</v>
      </c>
      <c r="L153" s="11">
        <f t="shared" si="6"/>
        <v>24.828834490768472</v>
      </c>
      <c r="N153">
        <v>2088</v>
      </c>
      <c r="O153" s="11">
        <f>IF(AND(N153-'Outil Cibles'!$Q$7&lt;=60,N153-'Outil Cibles'!$Q$7&gt;=0), 'Outil Cibles'!$Q$17, 0)</f>
        <v>0</v>
      </c>
      <c r="P153" s="11">
        <f>IF(AND(N153-'Outil Cibles'!$R$7&lt;=60,N153-'Outil Cibles'!$R$7&gt;=0), 'Outil Cibles'!$R$17, 0)</f>
        <v>0</v>
      </c>
      <c r="Q153" s="11">
        <f>IF(AND(N153-'Outil Cibles'!$S$7&lt;=60,N153-'Outil Cibles'!$S$7&gt;=0), 'Outil Cibles'!$S$17, 0)</f>
        <v>5.7861034181094277</v>
      </c>
      <c r="R153" s="11">
        <f>IF(AND(N153-'Outil Cibles'!$T$7&lt;=60,N153-'Outil Cibles'!$T$7&gt;=0), 'Outil Cibles'!$T$17, 0)</f>
        <v>3.9285483356528981</v>
      </c>
      <c r="S153" s="11">
        <f>IF(AND(N153-'Outil Cibles'!$U$7&lt;=60,N153-'Outil Cibles'!$U$7&gt;=0), 'Outil Cibles'!$U$17, 0)</f>
        <v>3.1156336157567535</v>
      </c>
      <c r="T153" s="11">
        <f>IF(AND(N153-'Outil Cibles'!$V$7&lt;=60,N153-'Outil Cibles'!$V$7&gt;=0), 'Outil Cibles'!$V$17, 0)</f>
        <v>2.6699626409394961</v>
      </c>
      <c r="U153" s="11">
        <f>IF(AND(N153-'Outil Cibles'!$W$7&lt;=60,N153-'Outil Cibles'!$W$7&gt;=0), 'Outil Cibles'!$W$17, 0)</f>
        <v>2.2883803860824354</v>
      </c>
      <c r="V153" s="11">
        <f>IF(AND(N153-'Outil Cibles'!$X$7&lt;=60,N153-'Outil Cibles'!$X$7&gt;=0), 'Outil Cibles'!$X$17, 0)</f>
        <v>1.9616157649480985</v>
      </c>
      <c r="W153" s="11">
        <f>IF(AND(N153-'Outil Cibles'!$Y$7&lt;=60,N153-'Outil Cibles'!$Y$7&gt;=0), 'Outil Cibles'!$Y$17, 0)</f>
        <v>1.4420078055173704</v>
      </c>
      <c r="X153" s="11">
        <f>IF(AND(N153-'Outil Cibles'!$Z$7&lt;=60,N153-'Outil Cibles'!$Z$7&gt;=0), 'Outil Cibles'!$Z$17, 0)</f>
        <v>1.2366099769912016</v>
      </c>
      <c r="Y153" s="11">
        <f t="shared" si="7"/>
        <v>22.428861943997678</v>
      </c>
    </row>
    <row r="154" spans="1:25" x14ac:dyDescent="0.3">
      <c r="A154" s="10">
        <v>2089</v>
      </c>
      <c r="B154" s="11">
        <f>IF(AND(A154-'Outil Cibles'!$D$7&lt;=60,A154-'Outil Cibles'!$D$7&gt;=0), 'Outil Cibles'!$D$17, 0)</f>
        <v>0</v>
      </c>
      <c r="C154" s="11">
        <f>IF(AND(A154-'Outil Cibles'!$E$7&lt;=60,A154-'Outil Cibles'!$E$7&gt;=0), 'Outil Cibles'!$E$17, 0)</f>
        <v>0</v>
      </c>
      <c r="D154" s="11">
        <f>IF(AND(A154-'Outil Cibles'!$F$7&lt;=60,A154-'Outil Cibles'!$F$7&gt;=0), 'Outil Cibles'!$F$17, 0)</f>
        <v>6.6208262323138225</v>
      </c>
      <c r="E154" s="11">
        <f>IF(AND(A154-'Outil Cibles'!$G$7&lt;=60,A154-'Outil Cibles'!$G$7&gt;=0), 'Outil Cibles'!$G$17, 0)</f>
        <v>5.3823222388442451</v>
      </c>
      <c r="F154" s="11">
        <f>IF(AND(A154-'Outil Cibles'!$H$7&lt;=60,A154-'Outil Cibles'!$H$7&gt;=0), 'Outil Cibles'!$H$17, 0)</f>
        <v>4.6974836188392803</v>
      </c>
      <c r="G154" s="11">
        <f>IF(AND(A154-'Outil Cibles'!$I$7&lt;=60,A154-'Outil Cibles'!$I$7&gt;=0), 'Outil Cibles'!$I$17, 0)</f>
        <v>4.2500459859961417</v>
      </c>
      <c r="H154" s="11">
        <f>IF(AND(A154-'Outil Cibles'!$J$7&lt;=60,A154-'Outil Cibles'!$J$7&gt;=0), 'Outil Cibles'!$J$17, 0)</f>
        <v>3.8781564147749821</v>
      </c>
      <c r="L154" s="11">
        <f t="shared" si="6"/>
        <v>24.828834490768472</v>
      </c>
      <c r="N154" s="10">
        <v>2089</v>
      </c>
      <c r="O154" s="11">
        <f>IF(AND(N154-'Outil Cibles'!$Q$7&lt;=60,N154-'Outil Cibles'!$Q$7&gt;=0), 'Outil Cibles'!$Q$17, 0)</f>
        <v>0</v>
      </c>
      <c r="P154" s="11">
        <f>IF(AND(N154-'Outil Cibles'!$R$7&lt;=60,N154-'Outil Cibles'!$R$7&gt;=0), 'Outil Cibles'!$R$17, 0)</f>
        <v>0</v>
      </c>
      <c r="Q154" s="11">
        <f>IF(AND(N154-'Outil Cibles'!$S$7&lt;=60,N154-'Outil Cibles'!$S$7&gt;=0), 'Outil Cibles'!$S$17, 0)</f>
        <v>5.7861034181094277</v>
      </c>
      <c r="R154" s="11">
        <f>IF(AND(N154-'Outil Cibles'!$T$7&lt;=60,N154-'Outil Cibles'!$T$7&gt;=0), 'Outil Cibles'!$T$17, 0)</f>
        <v>3.9285483356528981</v>
      </c>
      <c r="S154" s="11">
        <f>IF(AND(N154-'Outil Cibles'!$U$7&lt;=60,N154-'Outil Cibles'!$U$7&gt;=0), 'Outil Cibles'!$U$17, 0)</f>
        <v>3.1156336157567535</v>
      </c>
      <c r="T154" s="11">
        <f>IF(AND(N154-'Outil Cibles'!$V$7&lt;=60,N154-'Outil Cibles'!$V$7&gt;=0), 'Outil Cibles'!$V$17, 0)</f>
        <v>2.6699626409394961</v>
      </c>
      <c r="U154" s="11">
        <f>IF(AND(N154-'Outil Cibles'!$W$7&lt;=60,N154-'Outil Cibles'!$W$7&gt;=0), 'Outil Cibles'!$W$17, 0)</f>
        <v>2.2883803860824354</v>
      </c>
      <c r="V154" s="11">
        <f>IF(AND(N154-'Outil Cibles'!$X$7&lt;=60,N154-'Outil Cibles'!$X$7&gt;=0), 'Outil Cibles'!$X$17, 0)</f>
        <v>1.9616157649480985</v>
      </c>
      <c r="W154" s="11">
        <f>IF(AND(N154-'Outil Cibles'!$Y$7&lt;=60,N154-'Outil Cibles'!$Y$7&gt;=0), 'Outil Cibles'!$Y$17, 0)</f>
        <v>1.4420078055173704</v>
      </c>
      <c r="X154" s="11">
        <f>IF(AND(N154-'Outil Cibles'!$Z$7&lt;=60,N154-'Outil Cibles'!$Z$7&gt;=0), 'Outil Cibles'!$Z$17, 0)</f>
        <v>1.2366099769912016</v>
      </c>
      <c r="Y154" s="11">
        <f t="shared" si="7"/>
        <v>22.428861943997678</v>
      </c>
    </row>
    <row r="155" spans="1:25" x14ac:dyDescent="0.3">
      <c r="A155">
        <v>2090</v>
      </c>
      <c r="B155" s="11">
        <f>IF(AND(A155-'Outil Cibles'!$D$7&lt;=60,A155-'Outil Cibles'!$D$7&gt;=0), 'Outil Cibles'!$D$17, 0)</f>
        <v>0</v>
      </c>
      <c r="C155" s="11">
        <f>IF(AND(A155-'Outil Cibles'!$E$7&lt;=60,A155-'Outil Cibles'!$E$7&gt;=0), 'Outil Cibles'!$E$17, 0)</f>
        <v>0</v>
      </c>
      <c r="D155" s="11">
        <f>IF(AND(A155-'Outil Cibles'!$F$7&lt;=60,A155-'Outil Cibles'!$F$7&gt;=0), 'Outil Cibles'!$F$17, 0)</f>
        <v>6.6208262323138225</v>
      </c>
      <c r="E155" s="11">
        <f>IF(AND(A155-'Outil Cibles'!$G$7&lt;=60,A155-'Outil Cibles'!$G$7&gt;=0), 'Outil Cibles'!$G$17, 0)</f>
        <v>5.3823222388442451</v>
      </c>
      <c r="F155" s="11">
        <f>IF(AND(A155-'Outil Cibles'!$H$7&lt;=60,A155-'Outil Cibles'!$H$7&gt;=0), 'Outil Cibles'!$H$17, 0)</f>
        <v>4.6974836188392803</v>
      </c>
      <c r="G155" s="11">
        <f>IF(AND(A155-'Outil Cibles'!$I$7&lt;=60,A155-'Outil Cibles'!$I$7&gt;=0), 'Outil Cibles'!$I$17, 0)</f>
        <v>4.2500459859961417</v>
      </c>
      <c r="H155" s="11">
        <f>IF(AND(A155-'Outil Cibles'!$J$7&lt;=60,A155-'Outil Cibles'!$J$7&gt;=0), 'Outil Cibles'!$J$17, 0)</f>
        <v>3.8781564147749821</v>
      </c>
      <c r="L155" s="11">
        <f t="shared" si="6"/>
        <v>24.828834490768472</v>
      </c>
      <c r="N155">
        <v>2090</v>
      </c>
      <c r="O155" s="11">
        <f>IF(AND(N155-'Outil Cibles'!$Q$7&lt;=60,N155-'Outil Cibles'!$Q$7&gt;=0), 'Outil Cibles'!$Q$17, 0)</f>
        <v>0</v>
      </c>
      <c r="P155" s="11">
        <f>IF(AND(N155-'Outil Cibles'!$R$7&lt;=60,N155-'Outil Cibles'!$R$7&gt;=0), 'Outil Cibles'!$R$17, 0)</f>
        <v>0</v>
      </c>
      <c r="Q155" s="11">
        <f>IF(AND(N155-'Outil Cibles'!$S$7&lt;=60,N155-'Outil Cibles'!$S$7&gt;=0), 'Outil Cibles'!$S$17, 0)</f>
        <v>5.7861034181094277</v>
      </c>
      <c r="R155" s="11">
        <f>IF(AND(N155-'Outil Cibles'!$T$7&lt;=60,N155-'Outil Cibles'!$T$7&gt;=0), 'Outil Cibles'!$T$17, 0)</f>
        <v>3.9285483356528981</v>
      </c>
      <c r="S155" s="11">
        <f>IF(AND(N155-'Outil Cibles'!$U$7&lt;=60,N155-'Outil Cibles'!$U$7&gt;=0), 'Outil Cibles'!$U$17, 0)</f>
        <v>3.1156336157567535</v>
      </c>
      <c r="T155" s="11">
        <f>IF(AND(N155-'Outil Cibles'!$V$7&lt;=60,N155-'Outil Cibles'!$V$7&gt;=0), 'Outil Cibles'!$V$17, 0)</f>
        <v>2.6699626409394961</v>
      </c>
      <c r="U155" s="11">
        <f>IF(AND(N155-'Outil Cibles'!$W$7&lt;=60,N155-'Outil Cibles'!$W$7&gt;=0), 'Outil Cibles'!$W$17, 0)</f>
        <v>2.2883803860824354</v>
      </c>
      <c r="V155" s="11">
        <f>IF(AND(N155-'Outil Cibles'!$X$7&lt;=60,N155-'Outil Cibles'!$X$7&gt;=0), 'Outil Cibles'!$X$17, 0)</f>
        <v>1.9616157649480985</v>
      </c>
      <c r="W155" s="11">
        <f>IF(AND(N155-'Outil Cibles'!$Y$7&lt;=60,N155-'Outil Cibles'!$Y$7&gt;=0), 'Outil Cibles'!$Y$17, 0)</f>
        <v>1.4420078055173704</v>
      </c>
      <c r="X155" s="11">
        <f>IF(AND(N155-'Outil Cibles'!$Z$7&lt;=60,N155-'Outil Cibles'!$Z$7&gt;=0), 'Outil Cibles'!$Z$17, 0)</f>
        <v>1.2366099769912016</v>
      </c>
      <c r="Y155" s="11">
        <f t="shared" si="7"/>
        <v>22.428861943997678</v>
      </c>
    </row>
    <row r="156" spans="1:25" x14ac:dyDescent="0.3">
      <c r="A156">
        <v>2091</v>
      </c>
      <c r="B156" s="11">
        <f>IF(AND(A156-'Outil Cibles'!$D$7&lt;=60,A156-'Outil Cibles'!$D$7&gt;=0), 'Outil Cibles'!$D$17, 0)</f>
        <v>0</v>
      </c>
      <c r="C156" s="11">
        <f>IF(AND(A156-'Outil Cibles'!$E$7&lt;=60,A156-'Outil Cibles'!$E$7&gt;=0), 'Outil Cibles'!$E$17, 0)</f>
        <v>0</v>
      </c>
      <c r="D156" s="11">
        <f>IF(AND(A156-'Outil Cibles'!$F$7&lt;=60,A156-'Outil Cibles'!$F$7&gt;=0), 'Outil Cibles'!$F$17, 0)</f>
        <v>0</v>
      </c>
      <c r="E156" s="11">
        <f>IF(AND(A156-'Outil Cibles'!$G$7&lt;=60,A156-'Outil Cibles'!$G$7&gt;=0), 'Outil Cibles'!$G$17, 0)</f>
        <v>5.3823222388442451</v>
      </c>
      <c r="F156" s="11">
        <f>IF(AND(A156-'Outil Cibles'!$H$7&lt;=60,A156-'Outil Cibles'!$H$7&gt;=0), 'Outil Cibles'!$H$17, 0)</f>
        <v>4.6974836188392803</v>
      </c>
      <c r="G156" s="11">
        <f>IF(AND(A156-'Outil Cibles'!$I$7&lt;=60,A156-'Outil Cibles'!$I$7&gt;=0), 'Outil Cibles'!$I$17, 0)</f>
        <v>4.2500459859961417</v>
      </c>
      <c r="H156" s="11">
        <f>IF(AND(A156-'Outil Cibles'!$J$7&lt;=60,A156-'Outil Cibles'!$J$7&gt;=0), 'Outil Cibles'!$J$17, 0)</f>
        <v>3.8781564147749821</v>
      </c>
      <c r="L156" s="11">
        <f t="shared" si="6"/>
        <v>18.208008258454647</v>
      </c>
      <c r="N156">
        <v>2091</v>
      </c>
      <c r="O156" s="11">
        <f>IF(AND(N156-'Outil Cibles'!$Q$7&lt;=60,N156-'Outil Cibles'!$Q$7&gt;=0), 'Outil Cibles'!$Q$17, 0)</f>
        <v>0</v>
      </c>
      <c r="P156" s="11">
        <f>IF(AND(N156-'Outil Cibles'!$R$7&lt;=60,N156-'Outil Cibles'!$R$7&gt;=0), 'Outil Cibles'!$R$17, 0)</f>
        <v>0</v>
      </c>
      <c r="Q156" s="11">
        <f>IF(AND(N156-'Outil Cibles'!$S$7&lt;=60,N156-'Outil Cibles'!$S$7&gt;=0), 'Outil Cibles'!$S$17, 0)</f>
        <v>0</v>
      </c>
      <c r="R156" s="11">
        <f>IF(AND(N156-'Outil Cibles'!$T$7&lt;=60,N156-'Outil Cibles'!$T$7&gt;=0), 'Outil Cibles'!$T$17, 0)</f>
        <v>3.9285483356528981</v>
      </c>
      <c r="S156" s="11">
        <f>IF(AND(N156-'Outil Cibles'!$U$7&lt;=60,N156-'Outil Cibles'!$U$7&gt;=0), 'Outil Cibles'!$U$17, 0)</f>
        <v>3.1156336157567535</v>
      </c>
      <c r="T156" s="11">
        <f>IF(AND(N156-'Outil Cibles'!$V$7&lt;=60,N156-'Outil Cibles'!$V$7&gt;=0), 'Outil Cibles'!$V$17, 0)</f>
        <v>2.6699626409394961</v>
      </c>
      <c r="U156" s="11">
        <f>IF(AND(N156-'Outil Cibles'!$W$7&lt;=60,N156-'Outil Cibles'!$W$7&gt;=0), 'Outil Cibles'!$W$17, 0)</f>
        <v>2.2883803860824354</v>
      </c>
      <c r="V156" s="11">
        <f>IF(AND(N156-'Outil Cibles'!$X$7&lt;=60,N156-'Outil Cibles'!$X$7&gt;=0), 'Outil Cibles'!$X$17, 0)</f>
        <v>1.9616157649480985</v>
      </c>
      <c r="W156" s="11">
        <f>IF(AND(N156-'Outil Cibles'!$Y$7&lt;=60,N156-'Outil Cibles'!$Y$7&gt;=0), 'Outil Cibles'!$Y$17, 0)</f>
        <v>1.4420078055173704</v>
      </c>
      <c r="X156" s="11">
        <f>IF(AND(N156-'Outil Cibles'!$Z$7&lt;=60,N156-'Outil Cibles'!$Z$7&gt;=0), 'Outil Cibles'!$Z$17, 0)</f>
        <v>1.2366099769912016</v>
      </c>
      <c r="Y156" s="11">
        <f t="shared" si="7"/>
        <v>16.642758525888251</v>
      </c>
    </row>
    <row r="157" spans="1:25" x14ac:dyDescent="0.3">
      <c r="A157">
        <v>2092</v>
      </c>
      <c r="B157" s="11">
        <f>IF(AND(A157-'Outil Cibles'!$D$7&lt;=60,A157-'Outil Cibles'!$D$7&gt;=0), 'Outil Cibles'!$D$17, 0)</f>
        <v>0</v>
      </c>
      <c r="C157" s="11">
        <f>IF(AND(A157-'Outil Cibles'!$E$7&lt;=60,A157-'Outil Cibles'!$E$7&gt;=0), 'Outil Cibles'!$E$17, 0)</f>
        <v>0</v>
      </c>
      <c r="D157" s="11">
        <f>IF(AND(A157-'Outil Cibles'!$F$7&lt;=60,A157-'Outil Cibles'!$F$7&gt;=0), 'Outil Cibles'!$F$17, 0)</f>
        <v>0</v>
      </c>
      <c r="E157" s="11">
        <f>IF(AND(A157-'Outil Cibles'!$G$7&lt;=60,A157-'Outil Cibles'!$G$7&gt;=0), 'Outil Cibles'!$G$17, 0)</f>
        <v>5.3823222388442451</v>
      </c>
      <c r="F157" s="11">
        <f>IF(AND(A157-'Outil Cibles'!$H$7&lt;=60,A157-'Outil Cibles'!$H$7&gt;=0), 'Outil Cibles'!$H$17, 0)</f>
        <v>4.6974836188392803</v>
      </c>
      <c r="G157" s="11">
        <f>IF(AND(A157-'Outil Cibles'!$I$7&lt;=60,A157-'Outil Cibles'!$I$7&gt;=0), 'Outil Cibles'!$I$17, 0)</f>
        <v>4.2500459859961417</v>
      </c>
      <c r="H157" s="11">
        <f>IF(AND(A157-'Outil Cibles'!$J$7&lt;=60,A157-'Outil Cibles'!$J$7&gt;=0), 'Outil Cibles'!$J$17, 0)</f>
        <v>3.8781564147749821</v>
      </c>
      <c r="L157" s="11">
        <f t="shared" si="6"/>
        <v>18.208008258454647</v>
      </c>
      <c r="N157">
        <v>2092</v>
      </c>
      <c r="O157" s="11">
        <f>IF(AND(N157-'Outil Cibles'!$Q$7&lt;=60,N157-'Outil Cibles'!$Q$7&gt;=0), 'Outil Cibles'!$Q$17, 0)</f>
        <v>0</v>
      </c>
      <c r="P157" s="11">
        <f>IF(AND(N157-'Outil Cibles'!$R$7&lt;=60,N157-'Outil Cibles'!$R$7&gt;=0), 'Outil Cibles'!$R$17, 0)</f>
        <v>0</v>
      </c>
      <c r="Q157" s="11">
        <f>IF(AND(N157-'Outil Cibles'!$S$7&lt;=60,N157-'Outil Cibles'!$S$7&gt;=0), 'Outil Cibles'!$S$17, 0)</f>
        <v>0</v>
      </c>
      <c r="R157" s="11">
        <f>IF(AND(N157-'Outil Cibles'!$T$7&lt;=60,N157-'Outil Cibles'!$T$7&gt;=0), 'Outil Cibles'!$T$17, 0)</f>
        <v>3.9285483356528981</v>
      </c>
      <c r="S157" s="11">
        <f>IF(AND(N157-'Outil Cibles'!$U$7&lt;=60,N157-'Outil Cibles'!$U$7&gt;=0), 'Outil Cibles'!$U$17, 0)</f>
        <v>3.1156336157567535</v>
      </c>
      <c r="T157" s="11">
        <f>IF(AND(N157-'Outil Cibles'!$V$7&lt;=60,N157-'Outil Cibles'!$V$7&gt;=0), 'Outil Cibles'!$V$17, 0)</f>
        <v>2.6699626409394961</v>
      </c>
      <c r="U157" s="11">
        <f>IF(AND(N157-'Outil Cibles'!$W$7&lt;=60,N157-'Outil Cibles'!$W$7&gt;=0), 'Outil Cibles'!$W$17, 0)</f>
        <v>2.2883803860824354</v>
      </c>
      <c r="V157" s="11">
        <f>IF(AND(N157-'Outil Cibles'!$X$7&lt;=60,N157-'Outil Cibles'!$X$7&gt;=0), 'Outil Cibles'!$X$17, 0)</f>
        <v>1.9616157649480985</v>
      </c>
      <c r="W157" s="11">
        <f>IF(AND(N157-'Outil Cibles'!$Y$7&lt;=60,N157-'Outil Cibles'!$Y$7&gt;=0), 'Outil Cibles'!$Y$17, 0)</f>
        <v>1.4420078055173704</v>
      </c>
      <c r="X157" s="11">
        <f>IF(AND(N157-'Outil Cibles'!$Z$7&lt;=60,N157-'Outil Cibles'!$Z$7&gt;=0), 'Outil Cibles'!$Z$17, 0)</f>
        <v>1.2366099769912016</v>
      </c>
      <c r="Y157" s="11">
        <f t="shared" si="7"/>
        <v>16.642758525888251</v>
      </c>
    </row>
    <row r="158" spans="1:25" x14ac:dyDescent="0.3">
      <c r="A158">
        <v>2093</v>
      </c>
      <c r="B158" s="11">
        <f>IF(AND(A158-'Outil Cibles'!$D$7&lt;=60,A158-'Outil Cibles'!$D$7&gt;=0), 'Outil Cibles'!$D$17, 0)</f>
        <v>0</v>
      </c>
      <c r="C158" s="11">
        <f>IF(AND(A158-'Outil Cibles'!$E$7&lt;=60,A158-'Outil Cibles'!$E$7&gt;=0), 'Outil Cibles'!$E$17, 0)</f>
        <v>0</v>
      </c>
      <c r="D158" s="11">
        <f>IF(AND(A158-'Outil Cibles'!$F$7&lt;=60,A158-'Outil Cibles'!$F$7&gt;=0), 'Outil Cibles'!$F$17, 0)</f>
        <v>0</v>
      </c>
      <c r="E158" s="11">
        <f>IF(AND(A158-'Outil Cibles'!$G$7&lt;=60,A158-'Outil Cibles'!$G$7&gt;=0), 'Outil Cibles'!$G$17, 0)</f>
        <v>5.3823222388442451</v>
      </c>
      <c r="F158" s="11">
        <f>IF(AND(A158-'Outil Cibles'!$H$7&lt;=60,A158-'Outil Cibles'!$H$7&gt;=0), 'Outil Cibles'!$H$17, 0)</f>
        <v>4.6974836188392803</v>
      </c>
      <c r="G158" s="11">
        <f>IF(AND(A158-'Outil Cibles'!$I$7&lt;=60,A158-'Outil Cibles'!$I$7&gt;=0), 'Outil Cibles'!$I$17, 0)</f>
        <v>4.2500459859961417</v>
      </c>
      <c r="H158" s="11">
        <f>IF(AND(A158-'Outil Cibles'!$J$7&lt;=60,A158-'Outil Cibles'!$J$7&gt;=0), 'Outil Cibles'!$J$17, 0)</f>
        <v>3.8781564147749821</v>
      </c>
      <c r="L158" s="11">
        <f t="shared" si="6"/>
        <v>18.208008258454647</v>
      </c>
      <c r="N158">
        <v>2093</v>
      </c>
      <c r="O158" s="11">
        <f>IF(AND(N158-'Outil Cibles'!$Q$7&lt;=60,N158-'Outil Cibles'!$Q$7&gt;=0), 'Outil Cibles'!$Q$17, 0)</f>
        <v>0</v>
      </c>
      <c r="P158" s="11">
        <f>IF(AND(N158-'Outil Cibles'!$R$7&lt;=60,N158-'Outil Cibles'!$R$7&gt;=0), 'Outil Cibles'!$R$17, 0)</f>
        <v>0</v>
      </c>
      <c r="Q158" s="11">
        <f>IF(AND(N158-'Outil Cibles'!$S$7&lt;=60,N158-'Outil Cibles'!$S$7&gt;=0), 'Outil Cibles'!$S$17, 0)</f>
        <v>0</v>
      </c>
      <c r="R158" s="11">
        <f>IF(AND(N158-'Outil Cibles'!$T$7&lt;=60,N158-'Outil Cibles'!$T$7&gt;=0), 'Outil Cibles'!$T$17, 0)</f>
        <v>3.9285483356528981</v>
      </c>
      <c r="S158" s="11">
        <f>IF(AND(N158-'Outil Cibles'!$U$7&lt;=60,N158-'Outil Cibles'!$U$7&gt;=0), 'Outil Cibles'!$U$17, 0)</f>
        <v>3.1156336157567535</v>
      </c>
      <c r="T158" s="11">
        <f>IF(AND(N158-'Outil Cibles'!$V$7&lt;=60,N158-'Outil Cibles'!$V$7&gt;=0), 'Outil Cibles'!$V$17, 0)</f>
        <v>2.6699626409394961</v>
      </c>
      <c r="U158" s="11">
        <f>IF(AND(N158-'Outil Cibles'!$W$7&lt;=60,N158-'Outil Cibles'!$W$7&gt;=0), 'Outil Cibles'!$W$17, 0)</f>
        <v>2.2883803860824354</v>
      </c>
      <c r="V158" s="11">
        <f>IF(AND(N158-'Outil Cibles'!$X$7&lt;=60,N158-'Outil Cibles'!$X$7&gt;=0), 'Outil Cibles'!$X$17, 0)</f>
        <v>1.9616157649480985</v>
      </c>
      <c r="W158" s="11">
        <f>IF(AND(N158-'Outil Cibles'!$Y$7&lt;=60,N158-'Outil Cibles'!$Y$7&gt;=0), 'Outil Cibles'!$Y$17, 0)</f>
        <v>1.4420078055173704</v>
      </c>
      <c r="X158" s="11">
        <f>IF(AND(N158-'Outil Cibles'!$Z$7&lt;=60,N158-'Outil Cibles'!$Z$7&gt;=0), 'Outil Cibles'!$Z$17, 0)</f>
        <v>1.2366099769912016</v>
      </c>
      <c r="Y158" s="11">
        <f t="shared" si="7"/>
        <v>16.642758525888251</v>
      </c>
    </row>
    <row r="159" spans="1:25" x14ac:dyDescent="0.3">
      <c r="A159">
        <v>2094</v>
      </c>
      <c r="B159" s="11">
        <f>IF(AND(A159-'Outil Cibles'!$D$7&lt;=60,A159-'Outil Cibles'!$D$7&gt;=0), 'Outil Cibles'!$D$17, 0)</f>
        <v>0</v>
      </c>
      <c r="C159" s="11">
        <f>IF(AND(A159-'Outil Cibles'!$E$7&lt;=60,A159-'Outil Cibles'!$E$7&gt;=0), 'Outil Cibles'!$E$17, 0)</f>
        <v>0</v>
      </c>
      <c r="D159" s="11">
        <f>IF(AND(A159-'Outil Cibles'!$F$7&lt;=60,A159-'Outil Cibles'!$F$7&gt;=0), 'Outil Cibles'!$F$17, 0)</f>
        <v>0</v>
      </c>
      <c r="E159" s="11">
        <f>IF(AND(A159-'Outil Cibles'!$G$7&lt;=60,A159-'Outil Cibles'!$G$7&gt;=0), 'Outil Cibles'!$G$17, 0)</f>
        <v>5.3823222388442451</v>
      </c>
      <c r="F159" s="11">
        <f>IF(AND(A159-'Outil Cibles'!$H$7&lt;=60,A159-'Outil Cibles'!$H$7&gt;=0), 'Outil Cibles'!$H$17, 0)</f>
        <v>4.6974836188392803</v>
      </c>
      <c r="G159" s="11">
        <f>IF(AND(A159-'Outil Cibles'!$I$7&lt;=60,A159-'Outil Cibles'!$I$7&gt;=0), 'Outil Cibles'!$I$17, 0)</f>
        <v>4.2500459859961417</v>
      </c>
      <c r="H159" s="11">
        <f>IF(AND(A159-'Outil Cibles'!$J$7&lt;=60,A159-'Outil Cibles'!$J$7&gt;=0), 'Outil Cibles'!$J$17, 0)</f>
        <v>3.8781564147749821</v>
      </c>
      <c r="L159" s="11">
        <f t="shared" si="6"/>
        <v>18.208008258454647</v>
      </c>
      <c r="N159">
        <v>2094</v>
      </c>
      <c r="O159" s="11">
        <f>IF(AND(N159-'Outil Cibles'!$Q$7&lt;=60,N159-'Outil Cibles'!$Q$7&gt;=0), 'Outil Cibles'!$Q$17, 0)</f>
        <v>0</v>
      </c>
      <c r="P159" s="11">
        <f>IF(AND(N159-'Outil Cibles'!$R$7&lt;=60,N159-'Outil Cibles'!$R$7&gt;=0), 'Outil Cibles'!$R$17, 0)</f>
        <v>0</v>
      </c>
      <c r="Q159" s="11">
        <f>IF(AND(N159-'Outil Cibles'!$S$7&lt;=60,N159-'Outil Cibles'!$S$7&gt;=0), 'Outil Cibles'!$S$17, 0)</f>
        <v>0</v>
      </c>
      <c r="R159" s="11">
        <f>IF(AND(N159-'Outil Cibles'!$T$7&lt;=60,N159-'Outil Cibles'!$T$7&gt;=0), 'Outil Cibles'!$T$17, 0)</f>
        <v>3.9285483356528981</v>
      </c>
      <c r="S159" s="11">
        <f>IF(AND(N159-'Outil Cibles'!$U$7&lt;=60,N159-'Outil Cibles'!$U$7&gt;=0), 'Outil Cibles'!$U$17, 0)</f>
        <v>3.1156336157567535</v>
      </c>
      <c r="T159" s="11">
        <f>IF(AND(N159-'Outil Cibles'!$V$7&lt;=60,N159-'Outil Cibles'!$V$7&gt;=0), 'Outil Cibles'!$V$17, 0)</f>
        <v>2.6699626409394961</v>
      </c>
      <c r="U159" s="11">
        <f>IF(AND(N159-'Outil Cibles'!$W$7&lt;=60,N159-'Outil Cibles'!$W$7&gt;=0), 'Outil Cibles'!$W$17, 0)</f>
        <v>2.2883803860824354</v>
      </c>
      <c r="V159" s="11">
        <f>IF(AND(N159-'Outil Cibles'!$X$7&lt;=60,N159-'Outil Cibles'!$X$7&gt;=0), 'Outil Cibles'!$X$17, 0)</f>
        <v>1.9616157649480985</v>
      </c>
      <c r="W159" s="11">
        <f>IF(AND(N159-'Outil Cibles'!$Y$7&lt;=60,N159-'Outil Cibles'!$Y$7&gt;=0), 'Outil Cibles'!$Y$17, 0)</f>
        <v>1.4420078055173704</v>
      </c>
      <c r="X159" s="11">
        <f>IF(AND(N159-'Outil Cibles'!$Z$7&lt;=60,N159-'Outil Cibles'!$Z$7&gt;=0), 'Outil Cibles'!$Z$17, 0)</f>
        <v>1.2366099769912016</v>
      </c>
      <c r="Y159" s="11">
        <f t="shared" si="7"/>
        <v>16.642758525888251</v>
      </c>
    </row>
    <row r="160" spans="1:25" x14ac:dyDescent="0.3">
      <c r="A160">
        <v>2095</v>
      </c>
      <c r="B160" s="11">
        <f>IF(AND(A160-'Outil Cibles'!$D$7&lt;=60,A160-'Outil Cibles'!$D$7&gt;=0), 'Outil Cibles'!$D$17, 0)</f>
        <v>0</v>
      </c>
      <c r="C160" s="11">
        <f>IF(AND(A160-'Outil Cibles'!$E$7&lt;=60,A160-'Outil Cibles'!$E$7&gt;=0), 'Outil Cibles'!$E$17, 0)</f>
        <v>0</v>
      </c>
      <c r="D160" s="11">
        <f>IF(AND(A160-'Outil Cibles'!$F$7&lt;=60,A160-'Outil Cibles'!$F$7&gt;=0), 'Outil Cibles'!$F$17, 0)</f>
        <v>0</v>
      </c>
      <c r="E160" s="11">
        <f>IF(AND(A160-'Outil Cibles'!$G$7&lt;=60,A160-'Outil Cibles'!$G$7&gt;=0), 'Outil Cibles'!$G$17, 0)</f>
        <v>5.3823222388442451</v>
      </c>
      <c r="F160" s="11">
        <f>IF(AND(A160-'Outil Cibles'!$H$7&lt;=60,A160-'Outil Cibles'!$H$7&gt;=0), 'Outil Cibles'!$H$17, 0)</f>
        <v>4.6974836188392803</v>
      </c>
      <c r="G160" s="11">
        <f>IF(AND(A160-'Outil Cibles'!$I$7&lt;=60,A160-'Outil Cibles'!$I$7&gt;=0), 'Outil Cibles'!$I$17, 0)</f>
        <v>4.2500459859961417</v>
      </c>
      <c r="H160" s="11">
        <f>IF(AND(A160-'Outil Cibles'!$J$7&lt;=60,A160-'Outil Cibles'!$J$7&gt;=0), 'Outil Cibles'!$J$17, 0)</f>
        <v>3.8781564147749821</v>
      </c>
      <c r="L160" s="11">
        <f t="shared" si="6"/>
        <v>18.208008258454647</v>
      </c>
      <c r="N160">
        <v>2095</v>
      </c>
      <c r="O160" s="11">
        <f>IF(AND(N160-'Outil Cibles'!$Q$7&lt;=60,N160-'Outil Cibles'!$Q$7&gt;=0), 'Outil Cibles'!$Q$17, 0)</f>
        <v>0</v>
      </c>
      <c r="P160" s="11">
        <f>IF(AND(N160-'Outil Cibles'!$R$7&lt;=60,N160-'Outil Cibles'!$R$7&gt;=0), 'Outil Cibles'!$R$17, 0)</f>
        <v>0</v>
      </c>
      <c r="Q160" s="11">
        <f>IF(AND(N160-'Outil Cibles'!$S$7&lt;=60,N160-'Outil Cibles'!$S$7&gt;=0), 'Outil Cibles'!$S$17, 0)</f>
        <v>0</v>
      </c>
      <c r="R160" s="11">
        <f>IF(AND(N160-'Outil Cibles'!$T$7&lt;=60,N160-'Outil Cibles'!$T$7&gt;=0), 'Outil Cibles'!$T$17, 0)</f>
        <v>3.9285483356528981</v>
      </c>
      <c r="S160" s="11">
        <f>IF(AND(N160-'Outil Cibles'!$U$7&lt;=60,N160-'Outil Cibles'!$U$7&gt;=0), 'Outil Cibles'!$U$17, 0)</f>
        <v>3.1156336157567535</v>
      </c>
      <c r="T160" s="11">
        <f>IF(AND(N160-'Outil Cibles'!$V$7&lt;=60,N160-'Outil Cibles'!$V$7&gt;=0), 'Outil Cibles'!$V$17, 0)</f>
        <v>2.6699626409394961</v>
      </c>
      <c r="U160" s="11">
        <f>IF(AND(N160-'Outil Cibles'!$W$7&lt;=60,N160-'Outil Cibles'!$W$7&gt;=0), 'Outil Cibles'!$W$17, 0)</f>
        <v>2.2883803860824354</v>
      </c>
      <c r="V160" s="11">
        <f>IF(AND(N160-'Outil Cibles'!$X$7&lt;=60,N160-'Outil Cibles'!$X$7&gt;=0), 'Outil Cibles'!$X$17, 0)</f>
        <v>1.9616157649480985</v>
      </c>
      <c r="W160" s="11">
        <f>IF(AND(N160-'Outil Cibles'!$Y$7&lt;=60,N160-'Outil Cibles'!$Y$7&gt;=0), 'Outil Cibles'!$Y$17, 0)</f>
        <v>1.4420078055173704</v>
      </c>
      <c r="X160" s="11">
        <f>IF(AND(N160-'Outil Cibles'!$Z$7&lt;=60,N160-'Outil Cibles'!$Z$7&gt;=0), 'Outil Cibles'!$Z$17, 0)</f>
        <v>1.2366099769912016</v>
      </c>
      <c r="Y160" s="11">
        <f t="shared" si="7"/>
        <v>16.642758525888251</v>
      </c>
    </row>
    <row r="161" spans="1:25" x14ac:dyDescent="0.3">
      <c r="A161">
        <v>2096</v>
      </c>
      <c r="B161" s="11">
        <f>IF(AND(A161-'Outil Cibles'!$D$7&lt;=60,A161-'Outil Cibles'!$D$7&gt;=0), 'Outil Cibles'!$D$17, 0)</f>
        <v>0</v>
      </c>
      <c r="C161" s="11">
        <f>IF(AND(A161-'Outil Cibles'!$E$7&lt;=60,A161-'Outil Cibles'!$E$7&gt;=0), 'Outil Cibles'!$E$17, 0)</f>
        <v>0</v>
      </c>
      <c r="D161" s="11">
        <f>IF(AND(A161-'Outil Cibles'!$F$7&lt;=60,A161-'Outil Cibles'!$F$7&gt;=0), 'Outil Cibles'!$F$17, 0)</f>
        <v>0</v>
      </c>
      <c r="E161" s="11">
        <f>IF(AND(A161-'Outil Cibles'!$G$7&lt;=60,A161-'Outil Cibles'!$G$7&gt;=0), 'Outil Cibles'!$G$17, 0)</f>
        <v>0</v>
      </c>
      <c r="F161" s="11">
        <f>IF(AND(A161-'Outil Cibles'!$H$7&lt;=60,A161-'Outil Cibles'!$H$7&gt;=0), 'Outil Cibles'!$H$17, 0)</f>
        <v>4.6974836188392803</v>
      </c>
      <c r="G161" s="11">
        <f>IF(AND(A161-'Outil Cibles'!$I$7&lt;=60,A161-'Outil Cibles'!$I$7&gt;=0), 'Outil Cibles'!$I$17, 0)</f>
        <v>4.2500459859961417</v>
      </c>
      <c r="H161" s="11">
        <f>IF(AND(A161-'Outil Cibles'!$J$7&lt;=60,A161-'Outil Cibles'!$J$7&gt;=0), 'Outil Cibles'!$J$17, 0)</f>
        <v>3.8781564147749821</v>
      </c>
      <c r="L161" s="11">
        <f t="shared" si="6"/>
        <v>12.825686019610405</v>
      </c>
      <c r="N161">
        <v>2096</v>
      </c>
      <c r="O161" s="11">
        <f>IF(AND(N161-'Outil Cibles'!$Q$7&lt;=60,N161-'Outil Cibles'!$Q$7&gt;=0), 'Outil Cibles'!$Q$17, 0)</f>
        <v>0</v>
      </c>
      <c r="P161" s="11">
        <f>IF(AND(N161-'Outil Cibles'!$R$7&lt;=60,N161-'Outil Cibles'!$R$7&gt;=0), 'Outil Cibles'!$R$17, 0)</f>
        <v>0</v>
      </c>
      <c r="Q161" s="11">
        <f>IF(AND(N161-'Outil Cibles'!$S$7&lt;=60,N161-'Outil Cibles'!$S$7&gt;=0), 'Outil Cibles'!$S$17, 0)</f>
        <v>0</v>
      </c>
      <c r="R161" s="11">
        <f>IF(AND(N161-'Outil Cibles'!$T$7&lt;=60,N161-'Outil Cibles'!$T$7&gt;=0), 'Outil Cibles'!$T$17, 0)</f>
        <v>0</v>
      </c>
      <c r="S161" s="11">
        <f>IF(AND(N161-'Outil Cibles'!$U$7&lt;=60,N161-'Outil Cibles'!$U$7&gt;=0), 'Outil Cibles'!$U$17, 0)</f>
        <v>3.1156336157567535</v>
      </c>
      <c r="T161" s="11">
        <f>IF(AND(N161-'Outil Cibles'!$V$7&lt;=60,N161-'Outil Cibles'!$V$7&gt;=0), 'Outil Cibles'!$V$17, 0)</f>
        <v>2.6699626409394961</v>
      </c>
      <c r="U161" s="11">
        <f>IF(AND(N161-'Outil Cibles'!$W$7&lt;=60,N161-'Outil Cibles'!$W$7&gt;=0), 'Outil Cibles'!$W$17, 0)</f>
        <v>2.2883803860824354</v>
      </c>
      <c r="V161" s="11">
        <f>IF(AND(N161-'Outil Cibles'!$X$7&lt;=60,N161-'Outil Cibles'!$X$7&gt;=0), 'Outil Cibles'!$X$17, 0)</f>
        <v>1.9616157649480985</v>
      </c>
      <c r="W161" s="11">
        <f>IF(AND(N161-'Outil Cibles'!$Y$7&lt;=60,N161-'Outil Cibles'!$Y$7&gt;=0), 'Outil Cibles'!$Y$17, 0)</f>
        <v>1.4420078055173704</v>
      </c>
      <c r="X161" s="11">
        <f>IF(AND(N161-'Outil Cibles'!$Z$7&lt;=60,N161-'Outil Cibles'!$Z$7&gt;=0), 'Outil Cibles'!$Z$17, 0)</f>
        <v>1.2366099769912016</v>
      </c>
      <c r="Y161" s="11">
        <f t="shared" si="7"/>
        <v>12.714210190235356</v>
      </c>
    </row>
    <row r="162" spans="1:25" x14ac:dyDescent="0.3">
      <c r="A162">
        <v>2097</v>
      </c>
      <c r="B162" s="11">
        <f>IF(AND(A162-'Outil Cibles'!$D$7&lt;=60,A162-'Outil Cibles'!$D$7&gt;=0), 'Outil Cibles'!$D$17, 0)</f>
        <v>0</v>
      </c>
      <c r="C162" s="11">
        <f>IF(AND(A162-'Outil Cibles'!$E$7&lt;=60,A162-'Outil Cibles'!$E$7&gt;=0), 'Outil Cibles'!$E$17, 0)</f>
        <v>0</v>
      </c>
      <c r="D162" s="11">
        <f>IF(AND(A162-'Outil Cibles'!$F$7&lt;=60,A162-'Outil Cibles'!$F$7&gt;=0), 'Outil Cibles'!$F$17, 0)</f>
        <v>0</v>
      </c>
      <c r="E162" s="11">
        <f>IF(AND(A162-'Outil Cibles'!$G$7&lt;=60,A162-'Outil Cibles'!$G$7&gt;=0), 'Outil Cibles'!$G$17, 0)</f>
        <v>0</v>
      </c>
      <c r="F162" s="11">
        <f>IF(AND(A162-'Outil Cibles'!$H$7&lt;=60,A162-'Outil Cibles'!$H$7&gt;=0), 'Outil Cibles'!$H$17, 0)</f>
        <v>4.6974836188392803</v>
      </c>
      <c r="G162" s="11">
        <f>IF(AND(A162-'Outil Cibles'!$I$7&lt;=60,A162-'Outil Cibles'!$I$7&gt;=0), 'Outil Cibles'!$I$17, 0)</f>
        <v>4.2500459859961417</v>
      </c>
      <c r="H162" s="11">
        <f>IF(AND(A162-'Outil Cibles'!$J$7&lt;=60,A162-'Outil Cibles'!$J$7&gt;=0), 'Outil Cibles'!$J$17, 0)</f>
        <v>3.8781564147749821</v>
      </c>
      <c r="L162" s="11">
        <f t="shared" si="6"/>
        <v>12.825686019610405</v>
      </c>
      <c r="N162">
        <v>2097</v>
      </c>
      <c r="O162" s="11">
        <f>IF(AND(N162-'Outil Cibles'!$Q$7&lt;=60,N162-'Outil Cibles'!$Q$7&gt;=0), 'Outil Cibles'!$Q$17, 0)</f>
        <v>0</v>
      </c>
      <c r="P162" s="11">
        <f>IF(AND(N162-'Outil Cibles'!$R$7&lt;=60,N162-'Outil Cibles'!$R$7&gt;=0), 'Outil Cibles'!$R$17, 0)</f>
        <v>0</v>
      </c>
      <c r="Q162" s="11">
        <f>IF(AND(N162-'Outil Cibles'!$S$7&lt;=60,N162-'Outil Cibles'!$S$7&gt;=0), 'Outil Cibles'!$S$17, 0)</f>
        <v>0</v>
      </c>
      <c r="R162" s="11">
        <f>IF(AND(N162-'Outil Cibles'!$T$7&lt;=60,N162-'Outil Cibles'!$T$7&gt;=0), 'Outil Cibles'!$T$17, 0)</f>
        <v>0</v>
      </c>
      <c r="S162" s="11">
        <f>IF(AND(N162-'Outil Cibles'!$U$7&lt;=60,N162-'Outil Cibles'!$U$7&gt;=0), 'Outil Cibles'!$U$17, 0)</f>
        <v>3.1156336157567535</v>
      </c>
      <c r="T162" s="11">
        <f>IF(AND(N162-'Outil Cibles'!$V$7&lt;=60,N162-'Outil Cibles'!$V$7&gt;=0), 'Outil Cibles'!$V$17, 0)</f>
        <v>2.6699626409394961</v>
      </c>
      <c r="U162" s="11">
        <f>IF(AND(N162-'Outil Cibles'!$W$7&lt;=60,N162-'Outil Cibles'!$W$7&gt;=0), 'Outil Cibles'!$W$17, 0)</f>
        <v>2.2883803860824354</v>
      </c>
      <c r="V162" s="11">
        <f>IF(AND(N162-'Outil Cibles'!$X$7&lt;=60,N162-'Outil Cibles'!$X$7&gt;=0), 'Outil Cibles'!$X$17, 0)</f>
        <v>1.9616157649480985</v>
      </c>
      <c r="W162" s="11">
        <f>IF(AND(N162-'Outil Cibles'!$Y$7&lt;=60,N162-'Outil Cibles'!$Y$7&gt;=0), 'Outil Cibles'!$Y$17, 0)</f>
        <v>1.4420078055173704</v>
      </c>
      <c r="X162" s="11">
        <f>IF(AND(N162-'Outil Cibles'!$Z$7&lt;=60,N162-'Outil Cibles'!$Z$7&gt;=0), 'Outil Cibles'!$Z$17, 0)</f>
        <v>1.2366099769912016</v>
      </c>
      <c r="Y162" s="11">
        <f t="shared" si="7"/>
        <v>12.714210190235356</v>
      </c>
    </row>
    <row r="163" spans="1:25" x14ac:dyDescent="0.3">
      <c r="A163" s="10">
        <v>2098</v>
      </c>
      <c r="B163" s="11">
        <f>IF(AND(A163-'Outil Cibles'!$D$7&lt;=60,A163-'Outil Cibles'!$D$7&gt;=0), 'Outil Cibles'!$D$17, 0)</f>
        <v>0</v>
      </c>
      <c r="C163" s="11">
        <f>IF(AND(A163-'Outil Cibles'!$E$7&lt;=60,A163-'Outil Cibles'!$E$7&gt;=0), 'Outil Cibles'!$E$17, 0)</f>
        <v>0</v>
      </c>
      <c r="D163" s="11">
        <f>IF(AND(A163-'Outil Cibles'!$F$7&lt;=60,A163-'Outil Cibles'!$F$7&gt;=0), 'Outil Cibles'!$F$17, 0)</f>
        <v>0</v>
      </c>
      <c r="E163" s="11">
        <f>IF(AND(A163-'Outil Cibles'!$G$7&lt;=60,A163-'Outil Cibles'!$G$7&gt;=0), 'Outil Cibles'!$G$17, 0)</f>
        <v>0</v>
      </c>
      <c r="F163" s="11">
        <f>IF(AND(A163-'Outil Cibles'!$H$7&lt;=60,A163-'Outil Cibles'!$H$7&gt;=0), 'Outil Cibles'!$H$17, 0)</f>
        <v>4.6974836188392803</v>
      </c>
      <c r="G163" s="11">
        <f>IF(AND(A163-'Outil Cibles'!$I$7&lt;=60,A163-'Outil Cibles'!$I$7&gt;=0), 'Outil Cibles'!$I$17, 0)</f>
        <v>4.2500459859961417</v>
      </c>
      <c r="H163" s="11">
        <f>IF(AND(A163-'Outil Cibles'!$J$7&lt;=60,A163-'Outil Cibles'!$J$7&gt;=0), 'Outil Cibles'!$J$17, 0)</f>
        <v>3.8781564147749821</v>
      </c>
      <c r="L163" s="11">
        <f t="shared" si="6"/>
        <v>12.825686019610405</v>
      </c>
      <c r="N163" s="10">
        <v>2098</v>
      </c>
      <c r="O163" s="11">
        <f>IF(AND(N163-'Outil Cibles'!$Q$7&lt;=60,N163-'Outil Cibles'!$Q$7&gt;=0), 'Outil Cibles'!$Q$17, 0)</f>
        <v>0</v>
      </c>
      <c r="P163" s="11">
        <f>IF(AND(N163-'Outil Cibles'!$R$7&lt;=60,N163-'Outil Cibles'!$R$7&gt;=0), 'Outil Cibles'!$R$17, 0)</f>
        <v>0</v>
      </c>
      <c r="Q163" s="11">
        <f>IF(AND(N163-'Outil Cibles'!$S$7&lt;=60,N163-'Outil Cibles'!$S$7&gt;=0), 'Outil Cibles'!$S$17, 0)</f>
        <v>0</v>
      </c>
      <c r="R163" s="11">
        <f>IF(AND(N163-'Outil Cibles'!$T$7&lt;=60,N163-'Outil Cibles'!$T$7&gt;=0), 'Outil Cibles'!$T$17, 0)</f>
        <v>0</v>
      </c>
      <c r="S163" s="11">
        <f>IF(AND(N163-'Outil Cibles'!$U$7&lt;=60,N163-'Outil Cibles'!$U$7&gt;=0), 'Outil Cibles'!$U$17, 0)</f>
        <v>3.1156336157567535</v>
      </c>
      <c r="T163" s="11">
        <f>IF(AND(N163-'Outil Cibles'!$V$7&lt;=60,N163-'Outil Cibles'!$V$7&gt;=0), 'Outil Cibles'!$V$17, 0)</f>
        <v>2.6699626409394961</v>
      </c>
      <c r="U163" s="11">
        <f>IF(AND(N163-'Outil Cibles'!$W$7&lt;=60,N163-'Outil Cibles'!$W$7&gt;=0), 'Outil Cibles'!$W$17, 0)</f>
        <v>2.2883803860824354</v>
      </c>
      <c r="V163" s="11">
        <f>IF(AND(N163-'Outil Cibles'!$X$7&lt;=60,N163-'Outil Cibles'!$X$7&gt;=0), 'Outil Cibles'!$X$17, 0)</f>
        <v>1.9616157649480985</v>
      </c>
      <c r="W163" s="11">
        <f>IF(AND(N163-'Outil Cibles'!$Y$7&lt;=60,N163-'Outil Cibles'!$Y$7&gt;=0), 'Outil Cibles'!$Y$17, 0)</f>
        <v>1.4420078055173704</v>
      </c>
      <c r="X163" s="11">
        <f>IF(AND(N163-'Outil Cibles'!$Z$7&lt;=60,N163-'Outil Cibles'!$Z$7&gt;=0), 'Outil Cibles'!$Z$17, 0)</f>
        <v>1.2366099769912016</v>
      </c>
      <c r="Y163" s="11">
        <f t="shared" si="7"/>
        <v>12.714210190235356</v>
      </c>
    </row>
    <row r="164" spans="1:25" x14ac:dyDescent="0.3">
      <c r="A164">
        <v>2099</v>
      </c>
      <c r="B164" s="11">
        <f>IF(AND(A164-'Outil Cibles'!$D$7&lt;=60,A164-'Outil Cibles'!$D$7&gt;=0), 'Outil Cibles'!$D$17, 0)</f>
        <v>0</v>
      </c>
      <c r="C164" s="11">
        <f>IF(AND(A164-'Outil Cibles'!$E$7&lt;=60,A164-'Outil Cibles'!$E$7&gt;=0), 'Outil Cibles'!$E$17, 0)</f>
        <v>0</v>
      </c>
      <c r="D164" s="11">
        <f>IF(AND(A164-'Outil Cibles'!$F$7&lt;=60,A164-'Outil Cibles'!$F$7&gt;=0), 'Outil Cibles'!$F$17, 0)</f>
        <v>0</v>
      </c>
      <c r="E164" s="11">
        <f>IF(AND(A164-'Outil Cibles'!$G$7&lt;=60,A164-'Outil Cibles'!$G$7&gt;=0), 'Outil Cibles'!$G$17, 0)</f>
        <v>0</v>
      </c>
      <c r="F164" s="11">
        <f>IF(AND(A164-'Outil Cibles'!$H$7&lt;=60,A164-'Outil Cibles'!$H$7&gt;=0), 'Outil Cibles'!$H$17, 0)</f>
        <v>0</v>
      </c>
      <c r="G164" s="11">
        <f>IF(AND(A164-'Outil Cibles'!$I$7&lt;=60,A164-'Outil Cibles'!$I$7&gt;=0), 'Outil Cibles'!$I$17, 0)</f>
        <v>4.2500459859961417</v>
      </c>
      <c r="H164" s="11">
        <f>IF(AND(A164-'Outil Cibles'!$J$7&lt;=60,A164-'Outil Cibles'!$J$7&gt;=0), 'Outil Cibles'!$J$17, 0)</f>
        <v>3.8781564147749821</v>
      </c>
      <c r="L164" s="11">
        <f t="shared" si="6"/>
        <v>8.1282024007711229</v>
      </c>
      <c r="N164">
        <v>2099</v>
      </c>
      <c r="O164" s="11">
        <f>IF(AND(N164-'Outil Cibles'!$Q$7&lt;=60,N164-'Outil Cibles'!$Q$7&gt;=0), 'Outil Cibles'!$Q$17, 0)</f>
        <v>0</v>
      </c>
      <c r="P164" s="11">
        <f>IF(AND(N164-'Outil Cibles'!$R$7&lt;=60,N164-'Outil Cibles'!$R$7&gt;=0), 'Outil Cibles'!$R$17, 0)</f>
        <v>0</v>
      </c>
      <c r="Q164" s="11">
        <f>IF(AND(N164-'Outil Cibles'!$S$7&lt;=60,N164-'Outil Cibles'!$S$7&gt;=0), 'Outil Cibles'!$S$17, 0)</f>
        <v>0</v>
      </c>
      <c r="R164" s="11">
        <f>IF(AND(N164-'Outil Cibles'!$T$7&lt;=60,N164-'Outil Cibles'!$T$7&gt;=0), 'Outil Cibles'!$T$17, 0)</f>
        <v>0</v>
      </c>
      <c r="S164" s="11">
        <f>IF(AND(N164-'Outil Cibles'!$U$7&lt;=60,N164-'Outil Cibles'!$U$7&gt;=0), 'Outil Cibles'!$U$17, 0)</f>
        <v>0</v>
      </c>
      <c r="T164" s="11">
        <f>IF(AND(N164-'Outil Cibles'!$V$7&lt;=60,N164-'Outil Cibles'!$V$7&gt;=0), 'Outil Cibles'!$V$17, 0)</f>
        <v>2.6699626409394961</v>
      </c>
      <c r="U164" s="11">
        <f>IF(AND(N164-'Outil Cibles'!$W$7&lt;=60,N164-'Outil Cibles'!$W$7&gt;=0), 'Outil Cibles'!$W$17, 0)</f>
        <v>2.2883803860824354</v>
      </c>
      <c r="V164" s="11">
        <f>IF(AND(N164-'Outil Cibles'!$X$7&lt;=60,N164-'Outil Cibles'!$X$7&gt;=0), 'Outil Cibles'!$X$17, 0)</f>
        <v>1.9616157649480985</v>
      </c>
      <c r="W164" s="11">
        <f>IF(AND(N164-'Outil Cibles'!$Y$7&lt;=60,N164-'Outil Cibles'!$Y$7&gt;=0), 'Outil Cibles'!$Y$17, 0)</f>
        <v>1.4420078055173704</v>
      </c>
      <c r="X164" s="11">
        <f>IF(AND(N164-'Outil Cibles'!$Z$7&lt;=60,N164-'Outil Cibles'!$Z$7&gt;=0), 'Outil Cibles'!$Z$17, 0)</f>
        <v>1.2366099769912016</v>
      </c>
      <c r="Y164" s="11">
        <f t="shared" si="7"/>
        <v>9.5985765744786029</v>
      </c>
    </row>
    <row r="165" spans="1:25" x14ac:dyDescent="0.3">
      <c r="A165">
        <v>2100</v>
      </c>
      <c r="B165" s="11">
        <f>IF(AND(A165-'Outil Cibles'!$D$7&lt;=60,A165-'Outil Cibles'!$D$7&gt;=0), 'Outil Cibles'!$D$17, 0)</f>
        <v>0</v>
      </c>
      <c r="C165" s="11">
        <f>IF(AND(A165-'Outil Cibles'!$E$7&lt;=60,A165-'Outil Cibles'!$E$7&gt;=0), 'Outil Cibles'!$E$17, 0)</f>
        <v>0</v>
      </c>
      <c r="D165" s="11">
        <f>IF(AND(A165-'Outil Cibles'!$F$7&lt;=60,A165-'Outil Cibles'!$F$7&gt;=0), 'Outil Cibles'!$F$17, 0)</f>
        <v>0</v>
      </c>
      <c r="E165" s="11">
        <f>IF(AND(A165-'Outil Cibles'!$G$7&lt;=60,A165-'Outil Cibles'!$G$7&gt;=0), 'Outil Cibles'!$G$17, 0)</f>
        <v>0</v>
      </c>
      <c r="F165" s="11">
        <f>IF(AND(A165-'Outil Cibles'!$H$7&lt;=60,A165-'Outil Cibles'!$H$7&gt;=0), 'Outil Cibles'!$H$17, 0)</f>
        <v>0</v>
      </c>
      <c r="G165" s="11">
        <f>IF(AND(A165-'Outil Cibles'!$I$7&lt;=60,A165-'Outil Cibles'!$I$7&gt;=0), 'Outil Cibles'!$I$17, 0)</f>
        <v>4.2500459859961417</v>
      </c>
      <c r="H165" s="11">
        <f>IF(AND(A165-'Outil Cibles'!$J$7&lt;=60,A165-'Outil Cibles'!$J$7&gt;=0), 'Outil Cibles'!$J$17, 0)</f>
        <v>3.8781564147749821</v>
      </c>
      <c r="L165" s="11">
        <f t="shared" si="6"/>
        <v>8.1282024007711229</v>
      </c>
      <c r="N165">
        <v>2100</v>
      </c>
      <c r="O165" s="11">
        <f>IF(AND(N165-'Outil Cibles'!$Q$7&lt;=60,N165-'Outil Cibles'!$Q$7&gt;=0), 'Outil Cibles'!$Q$17, 0)</f>
        <v>0</v>
      </c>
      <c r="P165" s="11">
        <f>IF(AND(N165-'Outil Cibles'!$R$7&lt;=60,N165-'Outil Cibles'!$R$7&gt;=0), 'Outil Cibles'!$R$17, 0)</f>
        <v>0</v>
      </c>
      <c r="Q165" s="11">
        <f>IF(AND(N165-'Outil Cibles'!$S$7&lt;=60,N165-'Outil Cibles'!$S$7&gt;=0), 'Outil Cibles'!$S$17, 0)</f>
        <v>0</v>
      </c>
      <c r="R165" s="11">
        <f>IF(AND(N165-'Outil Cibles'!$T$7&lt;=60,N165-'Outil Cibles'!$T$7&gt;=0), 'Outil Cibles'!$T$17, 0)</f>
        <v>0</v>
      </c>
      <c r="S165" s="11">
        <f>IF(AND(N165-'Outil Cibles'!$U$7&lt;=60,N165-'Outil Cibles'!$U$7&gt;=0), 'Outil Cibles'!$U$17, 0)</f>
        <v>0</v>
      </c>
      <c r="T165" s="11">
        <f>IF(AND(N165-'Outil Cibles'!$V$7&lt;=60,N165-'Outil Cibles'!$V$7&gt;=0), 'Outil Cibles'!$V$17, 0)</f>
        <v>2.6699626409394961</v>
      </c>
      <c r="U165" s="11">
        <f>IF(AND(N165-'Outil Cibles'!$W$7&lt;=60,N165-'Outil Cibles'!$W$7&gt;=0), 'Outil Cibles'!$W$17, 0)</f>
        <v>2.2883803860824354</v>
      </c>
      <c r="V165" s="11">
        <f>IF(AND(N165-'Outil Cibles'!$X$7&lt;=60,N165-'Outil Cibles'!$X$7&gt;=0), 'Outil Cibles'!$X$17, 0)</f>
        <v>1.9616157649480985</v>
      </c>
      <c r="W165" s="11">
        <f>IF(AND(N165-'Outil Cibles'!$Y$7&lt;=60,N165-'Outil Cibles'!$Y$7&gt;=0), 'Outil Cibles'!$Y$17, 0)</f>
        <v>1.4420078055173704</v>
      </c>
      <c r="X165" s="11">
        <f>IF(AND(N165-'Outil Cibles'!$Z$7&lt;=60,N165-'Outil Cibles'!$Z$7&gt;=0), 'Outil Cibles'!$Z$17, 0)</f>
        <v>1.2366099769912016</v>
      </c>
      <c r="Y165" s="11">
        <f t="shared" si="7"/>
        <v>9.5985765744786029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D9F0-1CDC-4910-93FD-D5F2FA69A438}">
  <sheetPr>
    <tabColor theme="4"/>
  </sheetPr>
  <dimension ref="A1:Z90"/>
  <sheetViews>
    <sheetView topLeftCell="A4" zoomScale="115" zoomScaleNormal="115" workbookViewId="0">
      <selection activeCell="D12" sqref="D12:D14"/>
    </sheetView>
  </sheetViews>
  <sheetFormatPr baseColWidth="10" defaultColWidth="11.44140625" defaultRowHeight="14.4" x14ac:dyDescent="0.3"/>
  <cols>
    <col min="1" max="1" width="14.6640625" customWidth="1"/>
    <col min="2" max="2" width="36.33203125" customWidth="1"/>
    <col min="3" max="3" width="12.44140625" customWidth="1"/>
    <col min="15" max="15" width="30.44140625" hidden="1" customWidth="1"/>
    <col min="16" max="16" width="15.33203125" hidden="1" customWidth="1"/>
    <col min="17" max="26" width="11.44140625" hidden="1" customWidth="1"/>
  </cols>
  <sheetData>
    <row r="1" spans="1:26" ht="79.95" customHeight="1" x14ac:dyDescent="0.3">
      <c r="B1" s="17"/>
      <c r="C1" s="288" t="s">
        <v>0</v>
      </c>
      <c r="D1" s="288"/>
      <c r="E1" s="288"/>
      <c r="F1" s="22"/>
      <c r="H1" s="22"/>
      <c r="I1" s="22"/>
      <c r="J1" s="22"/>
      <c r="K1" s="22"/>
      <c r="L1" s="22"/>
      <c r="M1" s="18"/>
      <c r="O1" s="17"/>
      <c r="P1" s="22"/>
      <c r="Q1" s="202"/>
      <c r="R1" s="22"/>
      <c r="S1" s="22"/>
      <c r="T1" s="22"/>
      <c r="U1" s="22"/>
      <c r="V1" s="22"/>
      <c r="W1" s="22"/>
      <c r="X1" s="22"/>
      <c r="Y1" s="22"/>
      <c r="Z1" s="18"/>
    </row>
    <row r="2" spans="1:26" ht="18" x14ac:dyDescent="0.35">
      <c r="B2" s="66" t="s">
        <v>1</v>
      </c>
      <c r="C2" s="61"/>
      <c r="D2" s="289" t="s">
        <v>2</v>
      </c>
      <c r="E2" s="289"/>
      <c r="F2" s="289"/>
      <c r="M2" s="5"/>
      <c r="O2" s="66" t="s">
        <v>1</v>
      </c>
      <c r="P2" s="61"/>
      <c r="Q2" s="289" t="s">
        <v>3</v>
      </c>
      <c r="R2" s="289"/>
      <c r="Z2" s="5"/>
    </row>
    <row r="3" spans="1:26" x14ac:dyDescent="0.3">
      <c r="B3" s="2"/>
      <c r="C3" t="s">
        <v>4</v>
      </c>
      <c r="D3" s="266" t="s">
        <v>5</v>
      </c>
      <c r="M3" s="5"/>
      <c r="O3" s="2"/>
      <c r="P3" t="s">
        <v>4</v>
      </c>
      <c r="Q3" s="35"/>
      <c r="Z3" s="5"/>
    </row>
    <row r="4" spans="1:26" x14ac:dyDescent="0.3">
      <c r="B4" s="66" t="s">
        <v>6</v>
      </c>
      <c r="C4" s="67" t="s">
        <v>7</v>
      </c>
      <c r="D4" s="62">
        <v>1</v>
      </c>
      <c r="E4" s="62">
        <v>2</v>
      </c>
      <c r="F4" s="62">
        <v>3</v>
      </c>
      <c r="G4" s="62">
        <v>4</v>
      </c>
      <c r="H4" s="62">
        <v>5</v>
      </c>
      <c r="I4" s="62">
        <v>6</v>
      </c>
      <c r="J4" s="62">
        <v>7</v>
      </c>
      <c r="K4" s="62">
        <v>8</v>
      </c>
      <c r="L4" s="62">
        <v>9</v>
      </c>
      <c r="M4" s="68">
        <v>10</v>
      </c>
      <c r="O4" s="66" t="s">
        <v>6</v>
      </c>
      <c r="P4" s="67" t="s">
        <v>7</v>
      </c>
      <c r="Q4" s="62">
        <v>1</v>
      </c>
      <c r="R4" s="62">
        <v>2</v>
      </c>
      <c r="S4" s="62">
        <v>3</v>
      </c>
      <c r="T4" s="62">
        <v>4</v>
      </c>
      <c r="U4" s="62">
        <v>5</v>
      </c>
      <c r="V4" s="62">
        <v>6</v>
      </c>
      <c r="W4" s="62">
        <v>7</v>
      </c>
      <c r="X4" s="62">
        <v>8</v>
      </c>
      <c r="Y4" s="62">
        <v>9</v>
      </c>
      <c r="Z4" s="68">
        <v>10</v>
      </c>
    </row>
    <row r="5" spans="1:26" x14ac:dyDescent="0.3">
      <c r="B5" s="66" t="s">
        <v>8</v>
      </c>
      <c r="C5" s="67"/>
      <c r="D5" s="277" t="str">
        <f>'Outil Cibles'!D5</f>
        <v>Résidentiel</v>
      </c>
      <c r="E5" s="277" t="str">
        <f>'Outil Cibles'!E5</f>
        <v>Bureaux</v>
      </c>
      <c r="F5" s="277" t="str">
        <f>'Outil Cibles'!F5</f>
        <v>Bureaux</v>
      </c>
      <c r="G5" s="277" t="str">
        <f>'Outil Cibles'!G5</f>
        <v>Bureaux</v>
      </c>
      <c r="H5" s="277" t="str">
        <f>'Outil Cibles'!H5</f>
        <v>Bureaux</v>
      </c>
      <c r="I5" s="277" t="str">
        <f>'Outil Cibles'!I5</f>
        <v>Bureaux</v>
      </c>
      <c r="J5" s="277" t="str">
        <f>'Outil Cibles'!J5</f>
        <v>Bureaux</v>
      </c>
      <c r="K5" s="277" t="str">
        <f>'Outil Cibles'!K5</f>
        <v>Bureaux</v>
      </c>
      <c r="L5" s="277" t="str">
        <f>'Outil Cibles'!L5</f>
        <v>Bureaux</v>
      </c>
      <c r="M5" s="277" t="str">
        <f>'Outil Cibles'!M5</f>
        <v>Bureaux</v>
      </c>
      <c r="O5" s="66" t="s">
        <v>8</v>
      </c>
      <c r="P5" s="67"/>
      <c r="Q5" s="62" t="str">
        <f>D5</f>
        <v>Résidentiel</v>
      </c>
      <c r="R5" s="62" t="str">
        <f t="shared" ref="R5:U7" si="0">E5</f>
        <v>Bureaux</v>
      </c>
      <c r="S5" s="62" t="str">
        <f t="shared" si="0"/>
        <v>Bureaux</v>
      </c>
      <c r="T5" s="62" t="str">
        <f t="shared" si="0"/>
        <v>Bureaux</v>
      </c>
      <c r="U5" s="62" t="str">
        <f>H5</f>
        <v>Bureaux</v>
      </c>
      <c r="V5" s="62" t="str">
        <f t="shared" ref="V5:Z8" si="1">I5</f>
        <v>Bureaux</v>
      </c>
      <c r="W5" s="62" t="str">
        <f t="shared" si="1"/>
        <v>Bureaux</v>
      </c>
      <c r="X5" s="62" t="str">
        <f t="shared" si="1"/>
        <v>Bureaux</v>
      </c>
      <c r="Y5" s="62" t="str">
        <f t="shared" si="1"/>
        <v>Bureaux</v>
      </c>
      <c r="Z5" s="62" t="str">
        <f t="shared" si="1"/>
        <v>Bureaux</v>
      </c>
    </row>
    <row r="6" spans="1:26" x14ac:dyDescent="0.3">
      <c r="B6" s="66" t="s">
        <v>11</v>
      </c>
      <c r="C6" s="67"/>
      <c r="D6" s="277" t="str">
        <f>'Outil Cibles'!D6</f>
        <v>Neuf</v>
      </c>
      <c r="E6" s="277" t="str">
        <f>'Outil Cibles'!E6</f>
        <v>Neuf</v>
      </c>
      <c r="F6" s="277" t="str">
        <f>'Outil Cibles'!F6</f>
        <v>Neuf</v>
      </c>
      <c r="G6" s="277" t="str">
        <f>'Outil Cibles'!G6</f>
        <v>Neuf</v>
      </c>
      <c r="H6" s="277" t="str">
        <f>'Outil Cibles'!H6</f>
        <v>Neuf</v>
      </c>
      <c r="I6" s="277" t="str">
        <f>'Outil Cibles'!I6</f>
        <v>Neuf</v>
      </c>
      <c r="J6" s="277" t="str">
        <f>'Outil Cibles'!J6</f>
        <v>Neuf</v>
      </c>
      <c r="K6" s="277" t="str">
        <f>'Outil Cibles'!K6</f>
        <v>Neuf</v>
      </c>
      <c r="L6" s="277" t="str">
        <f>'Outil Cibles'!L6</f>
        <v>Neuf</v>
      </c>
      <c r="M6" s="277" t="str">
        <f>'Outil Cibles'!M6</f>
        <v>Neuf</v>
      </c>
      <c r="O6" s="66" t="s">
        <v>11</v>
      </c>
      <c r="P6" s="67"/>
      <c r="Q6" s="62" t="str">
        <f>D6</f>
        <v>Neuf</v>
      </c>
      <c r="R6" s="62" t="str">
        <f t="shared" si="0"/>
        <v>Neuf</v>
      </c>
      <c r="S6" s="62" t="str">
        <f t="shared" si="0"/>
        <v>Neuf</v>
      </c>
      <c r="T6" s="62" t="str">
        <f t="shared" si="0"/>
        <v>Neuf</v>
      </c>
      <c r="U6" s="62" t="str">
        <f t="shared" si="0"/>
        <v>Neuf</v>
      </c>
      <c r="V6" s="62" t="str">
        <f t="shared" si="1"/>
        <v>Neuf</v>
      </c>
      <c r="W6" s="62" t="str">
        <f t="shared" si="1"/>
        <v>Neuf</v>
      </c>
      <c r="X6" s="62" t="str">
        <f t="shared" si="1"/>
        <v>Neuf</v>
      </c>
      <c r="Y6" s="62" t="str">
        <f t="shared" si="1"/>
        <v>Neuf</v>
      </c>
      <c r="Z6" s="62" t="str">
        <f t="shared" si="1"/>
        <v>Neuf</v>
      </c>
    </row>
    <row r="7" spans="1:26" ht="15" thickBot="1" x14ac:dyDescent="0.35">
      <c r="B7" s="66" t="s">
        <v>13</v>
      </c>
      <c r="C7" s="67"/>
      <c r="D7" s="277">
        <f>'Outil Cibles'!D7</f>
        <v>2024</v>
      </c>
      <c r="E7" s="277">
        <f>'Outil Cibles'!E7</f>
        <v>2026</v>
      </c>
      <c r="F7" s="277">
        <f>'Outil Cibles'!F7</f>
        <v>2030</v>
      </c>
      <c r="G7" s="277">
        <f>'Outil Cibles'!G7</f>
        <v>2035</v>
      </c>
      <c r="H7" s="277">
        <f>'Outil Cibles'!H7</f>
        <v>2038</v>
      </c>
      <c r="I7" s="277">
        <f>'Outil Cibles'!I7</f>
        <v>2040</v>
      </c>
      <c r="J7" s="277">
        <f>'Outil Cibles'!J7</f>
        <v>2042</v>
      </c>
      <c r="K7" s="277">
        <f>'Outil Cibles'!K7</f>
        <v>2044</v>
      </c>
      <c r="L7" s="277">
        <f>'Outil Cibles'!L7</f>
        <v>2048</v>
      </c>
      <c r="M7" s="277">
        <f>'Outil Cibles'!M7</f>
        <v>2050</v>
      </c>
      <c r="O7" s="66" t="s">
        <v>14</v>
      </c>
      <c r="P7" s="67"/>
      <c r="Q7" s="62">
        <f t="shared" ref="Q7:Q8" si="2">D7</f>
        <v>2024</v>
      </c>
      <c r="R7" s="62">
        <f t="shared" si="0"/>
        <v>2026</v>
      </c>
      <c r="S7" s="62">
        <f t="shared" si="0"/>
        <v>2030</v>
      </c>
      <c r="T7" s="62">
        <f t="shared" si="0"/>
        <v>2035</v>
      </c>
      <c r="U7" s="62">
        <f t="shared" si="0"/>
        <v>2038</v>
      </c>
      <c r="V7" s="62">
        <f t="shared" si="1"/>
        <v>2040</v>
      </c>
      <c r="W7" s="62">
        <f t="shared" si="1"/>
        <v>2042</v>
      </c>
      <c r="X7" s="62">
        <f t="shared" si="1"/>
        <v>2044</v>
      </c>
      <c r="Y7" s="62">
        <f t="shared" si="1"/>
        <v>2048</v>
      </c>
      <c r="Z7" s="62">
        <f t="shared" si="1"/>
        <v>2050</v>
      </c>
    </row>
    <row r="8" spans="1:26" ht="15" thickBot="1" x14ac:dyDescent="0.35">
      <c r="B8" s="66" t="s">
        <v>285</v>
      </c>
      <c r="C8" s="67" t="s">
        <v>16</v>
      </c>
      <c r="D8" s="278">
        <f>'Outil Cibles'!D8</f>
        <v>1000</v>
      </c>
      <c r="E8" s="278">
        <f>'Outil Cibles'!E8</f>
        <v>1000</v>
      </c>
      <c r="F8" s="278">
        <f>'Outil Cibles'!F8</f>
        <v>1000</v>
      </c>
      <c r="G8" s="278">
        <f>'Outil Cibles'!G8</f>
        <v>1000</v>
      </c>
      <c r="H8" s="278">
        <f>'Outil Cibles'!H8</f>
        <v>1000</v>
      </c>
      <c r="I8" s="278">
        <f>'Outil Cibles'!I8</f>
        <v>1000</v>
      </c>
      <c r="J8" s="278">
        <f>'Outil Cibles'!J8</f>
        <v>1000</v>
      </c>
      <c r="K8" s="278">
        <f>'Outil Cibles'!K8</f>
        <v>1000</v>
      </c>
      <c r="L8" s="278">
        <f>'Outil Cibles'!L8</f>
        <v>1000</v>
      </c>
      <c r="M8" s="278">
        <f>'Outil Cibles'!M8</f>
        <v>1000</v>
      </c>
      <c r="O8" s="66" t="s">
        <v>15</v>
      </c>
      <c r="P8" s="67" t="s">
        <v>16</v>
      </c>
      <c r="Q8" s="65">
        <f t="shared" si="2"/>
        <v>1000</v>
      </c>
      <c r="R8" s="65">
        <f>F8</f>
        <v>1000</v>
      </c>
      <c r="S8" s="65">
        <f>G8</f>
        <v>1000</v>
      </c>
      <c r="T8" s="65">
        <f>H8</f>
        <v>1000</v>
      </c>
      <c r="U8" s="65">
        <f>H8</f>
        <v>1000</v>
      </c>
      <c r="V8" s="65">
        <f t="shared" si="1"/>
        <v>1000</v>
      </c>
      <c r="W8" s="65">
        <f t="shared" si="1"/>
        <v>1000</v>
      </c>
      <c r="X8" s="65">
        <f t="shared" si="1"/>
        <v>1000</v>
      </c>
      <c r="Y8" s="65">
        <f t="shared" si="1"/>
        <v>1000</v>
      </c>
      <c r="Z8" s="65">
        <f t="shared" si="1"/>
        <v>1000</v>
      </c>
    </row>
    <row r="9" spans="1:26" x14ac:dyDescent="0.3">
      <c r="B9" s="19"/>
      <c r="C9" s="70"/>
      <c r="M9" s="5"/>
      <c r="O9" s="19"/>
      <c r="P9" s="70"/>
      <c r="Z9" s="5"/>
    </row>
    <row r="10" spans="1:26" ht="15" thickBot="1" x14ac:dyDescent="0.35">
      <c r="A10" t="s">
        <v>362</v>
      </c>
      <c r="B10" s="66" t="s">
        <v>17</v>
      </c>
      <c r="C10" s="67"/>
      <c r="D10" s="35" t="s">
        <v>18</v>
      </c>
      <c r="M10" s="5"/>
      <c r="O10" s="66" t="s">
        <v>17</v>
      </c>
      <c r="P10" s="67"/>
      <c r="Q10" s="35" t="s">
        <v>18</v>
      </c>
      <c r="Z10" s="5"/>
    </row>
    <row r="11" spans="1:26" x14ac:dyDescent="0.3">
      <c r="A11" t="s">
        <v>312</v>
      </c>
      <c r="B11" s="233" t="s">
        <v>19</v>
      </c>
      <c r="C11" s="234" t="s">
        <v>20</v>
      </c>
      <c r="D11" s="235">
        <f xml:space="preserve"> IF(D5=$B$41, IF(D6=$E$41, VLOOKUP(D7, 'Swiss Climate Strategy'!$B$39:$Z$117, 20,FALSE), VLOOKUP(D7, 'Swiss Climate Strategy'!$B$39:$Z$117, 23,FALSE)), IF(D6=$E$41, VLOOKUP(D7, 'Swiss Climate Strategy'!$B$39:$Z$117, 20,FALSE), VLOOKUP(D7, 'Swiss Climate Strategy'!$B$39:$Z$117, 23,FALSE)))</f>
        <v>478.96211255367052</v>
      </c>
      <c r="E11" s="235">
        <f xml:space="preserve"> IF(E5=$B$41, IF(E6=$E$41, VLOOKUP(E7, 'Swiss Climate Strategy'!$B$39:$Z$117, 20,FALSE), VLOOKUP(E7, 'Swiss Climate Strategy'!$B$39:$Z$117, 23,FALSE)), IF(E6=$E$41, VLOOKUP(E7, 'Swiss Climate Strategy'!$B$39:$Z$117, 20,FALSE), VLOOKUP(E7, 'Swiss Climate Strategy'!$B$39:$Z$117, 23,FALSE)))</f>
        <v>423.48890835140691</v>
      </c>
      <c r="F11" s="235">
        <f xml:space="preserve"> IF(F5=$B$41, IF(F6=$E$41, VLOOKUP(F7, 'Swiss Climate Strategy'!$B$39:$Z$117, 20,FALSE), VLOOKUP(F7, 'Swiss Climate Strategy'!$B$39:$Z$117, 23,FALSE)), IF(F6=$E$41, VLOOKUP(F7, 'Swiss Climate Strategy'!$B$39:$Z$117, 20,FALSE), VLOOKUP(F7, 'Swiss Climate Strategy'!$B$39:$Z$117, 23,FALSE)))</f>
        <v>374.06854553324115</v>
      </c>
      <c r="G11" s="235">
        <f xml:space="preserve"> IF(G5=$B$41, IF(G6=$E$41, VLOOKUP(G7, 'Swiss Climate Strategy'!$B$39:$Z$117, 20,FALSE), VLOOKUP(G7, 'Swiss Climate Strategy'!$B$39:$Z$117, 23,FALSE)), IF(G6=$E$41, VLOOKUP(G7, 'Swiss Climate Strategy'!$B$39:$Z$117, 20,FALSE), VLOOKUP(G7, 'Swiss Climate Strategy'!$B$39:$Z$117, 23,FALSE)))</f>
        <v>311.04320690378205</v>
      </c>
      <c r="H11" s="235">
        <f xml:space="preserve"> IF(H5=$B$41, IF(H6=$E$41, VLOOKUP(H7, 'Swiss Climate Strategy'!$B$39:$Z$117, 20,FALSE), VLOOKUP(H7, 'Swiss Climate Strategy'!$B$39:$Z$117, 23,FALSE)), IF(H6=$E$41, VLOOKUP(H7, 'Swiss Climate Strategy'!$B$39:$Z$117, 20,FALSE), VLOOKUP(H7, 'Swiss Climate Strategy'!$B$39:$Z$117, 23,FALSE)))</f>
        <v>275.56062827607457</v>
      </c>
      <c r="I11" s="235">
        <f xml:space="preserve"> IF(I5=$B$41, IF(I6=$E$41, VLOOKUP(I7, 'Swiss Climate Strategy'!$B$39:$Z$117, 20,FALSE), VLOOKUP(I7, 'Swiss Climate Strategy'!$B$39:$Z$117, 23,FALSE)), IF(I6=$E$41, VLOOKUP(I7, 'Swiss Climate Strategy'!$B$39:$Z$117, 20,FALSE), VLOOKUP(I7, 'Swiss Climate Strategy'!$B$39:$Z$117, 23,FALSE)))</f>
        <v>252.35602516880044</v>
      </c>
      <c r="J11" s="235">
        <f xml:space="preserve"> IF(J5=$B$41, IF(J6=$E$41, VLOOKUP(J7, 'Swiss Climate Strategy'!$B$39:$Z$117, 20,FALSE), VLOOKUP(J7, 'Swiss Climate Strategy'!$B$39:$Z$117, 23,FALSE)), IF(J6=$E$41, VLOOKUP(J7, 'Swiss Climate Strategy'!$B$39:$Z$117, 20,FALSE), VLOOKUP(J7, 'Swiss Climate Strategy'!$B$39:$Z$117, 23,FALSE)))</f>
        <v>230.79781632642164</v>
      </c>
      <c r="K11" s="235">
        <f xml:space="preserve"> IF(K5=$B$41, IF(K6=$E$41, VLOOKUP(K7, 'Swiss Climate Strategy'!$B$39:$Z$117, 20,FALSE), VLOOKUP(K7, 'Swiss Climate Strategy'!$B$39:$Z$117, 23,FALSE)), IF(K6=$E$41, VLOOKUP(K7, 'Swiss Climate Strategy'!$B$39:$Z$117, 20,FALSE), VLOOKUP(K7, 'Swiss Climate Strategy'!$B$39:$Z$117, 23,FALSE)))</f>
        <v>212.79234281701181</v>
      </c>
      <c r="L11" s="235">
        <f xml:space="preserve"> IF(L5=$B$41, IF(L6=$E$41, VLOOKUP(L7, 'Swiss Climate Strategy'!$B$39:$Z$117, 20,FALSE), VLOOKUP(L7, 'Swiss Climate Strategy'!$B$39:$Z$117, 23,FALSE)), IF(L6=$E$41, VLOOKUP(L7, 'Swiss Climate Strategy'!$B$39:$Z$117, 20,FALSE), VLOOKUP(L7, 'Swiss Climate Strategy'!$B$39:$Z$117, 23,FALSE)))</f>
        <v>157.68796679973201</v>
      </c>
      <c r="M11" s="235">
        <f xml:space="preserve"> IF(M5=$B$41, IF(M6=$E$41, VLOOKUP(M7, 'Swiss Climate Strategy'!$B$39:$Z$117, 20,FALSE), VLOOKUP(M7, 'Swiss Climate Strategy'!$B$39:$Z$117, 23,FALSE)), IF(M6=$E$41, VLOOKUP(M7, 'Swiss Climate Strategy'!$B$39:$Z$117, 20,FALSE), VLOOKUP(M7, 'Swiss Climate Strategy'!$B$39:$Z$117, 23,FALSE)))</f>
        <v>142.03696208901502</v>
      </c>
      <c r="O11" s="66" t="s">
        <v>19</v>
      </c>
      <c r="P11" s="67" t="s">
        <v>20</v>
      </c>
      <c r="Q11" s="71">
        <f xml:space="preserve"> IF(Q5=$B$41, IF(Q6=$E$41, VLOOKUP(Q7,'1.5°C'!$B$39:$U$67, 15,FALSE), VLOOKUP(Q7,'1.5°C'!$B$39:$U$67, 16,FALSE)), IF(Q6=$E$41, VLOOKUP(Q7, '1.5°C'!$B$39:$U$67, 15,FALSE), VLOOKUP(Q7, '1.5°C'!$B$39:$U$67, 16,FALSE)))</f>
        <v>470.26746570113221</v>
      </c>
      <c r="R11" s="71">
        <f xml:space="preserve"> IF(R5=$B$41, IF(R6=$E$41, VLOOKUP(R7,'1.5°C'!$B$39:$U$67, 15,FALSE), VLOOKUP(R7,'1.5°C'!$B$39:$U$67, 16,FALSE)), IF(R6=$E$41, VLOOKUP(R7, '1.5°C'!$B$39:$U$67, 15,FALSE), VLOOKUP(R7, '1.5°C'!$B$39:$U$67, 16,FALSE)))</f>
        <v>402.53718724915331</v>
      </c>
      <c r="S11" s="71">
        <f xml:space="preserve"> IF(S5=$B$41, IF(S6=$E$41, VLOOKUP(S7,'1.5°C'!$B$39:$U$67, 15,FALSE), VLOOKUP(S7,'1.5°C'!$B$39:$U$67, 16,FALSE)), IF(S6=$E$41, VLOOKUP(S7, '1.5°C'!$B$39:$U$67, 15,FALSE), VLOOKUP(S7, '1.5°C'!$B$39:$U$67, 16,FALSE)))</f>
        <v>295.09127432358076</v>
      </c>
      <c r="T11" s="71">
        <f xml:space="preserve"> IF(T5=$B$41, IF(T6=$E$41, VLOOKUP(T7,'1.5°C'!$B$39:$U$67, 15,FALSE), VLOOKUP(T7,'1.5°C'!$B$39:$U$67, 16,FALSE)), IF(T6=$E$41, VLOOKUP(T7, '1.5°C'!$B$39:$U$67, 15,FALSE), VLOOKUP(T7, '1.5°C'!$B$39:$U$67, 16,FALSE)))</f>
        <v>200.3559651182978</v>
      </c>
      <c r="U11" s="71">
        <f xml:space="preserve"> IF(U5=$B$41, IF(U6=$E$41, VLOOKUP(U7,'1.5°C'!$B$39:$U$67, 15,FALSE), VLOOKUP(U7,'1.5°C'!$B$39:$U$67, 16,FALSE)), IF(U6=$E$41, VLOOKUP(U7, '1.5°C'!$B$39:$U$67, 15,FALSE), VLOOKUP(U7, '1.5°C'!$B$39:$U$67, 16,FALSE)))</f>
        <v>158.89731440359441</v>
      </c>
      <c r="V11" s="71">
        <f xml:space="preserve"> IF(V5=$B$41, IF(V6=$E$41, VLOOKUP(V7,'1.5°C'!$B$39:$U$67, 15,FALSE), VLOOKUP(V7,'1.5°C'!$B$39:$U$67, 16,FALSE)), IF(V6=$E$41, VLOOKUP(V7, '1.5°C'!$B$39:$U$67, 15,FALSE), VLOOKUP(V7, '1.5°C'!$B$39:$U$67, 16,FALSE)))</f>
        <v>136.16809468791431</v>
      </c>
      <c r="W11" s="71">
        <f xml:space="preserve"> IF(W5=$B$41, IF(W6=$E$41, VLOOKUP(W7,'1.5°C'!$B$39:$U$67, 15,FALSE), VLOOKUP(W7,'1.5°C'!$B$39:$U$67, 16,FALSE)), IF(W6=$E$41, VLOOKUP(W7, '1.5°C'!$B$39:$U$67, 15,FALSE), VLOOKUP(W7, '1.5°C'!$B$39:$U$67, 16,FALSE)))</f>
        <v>116.7073996902042</v>
      </c>
      <c r="X11" s="71">
        <f xml:space="preserve"> IF(X5=$B$41, IF(X6=$E$41, VLOOKUP(X7,'1.5°C'!$B$39:$U$67, 15,FALSE), VLOOKUP(X7,'1.5°C'!$B$39:$U$67, 16,FALSE)), IF(X6=$E$41, VLOOKUP(X7, '1.5°C'!$B$39:$U$67, 15,FALSE), VLOOKUP(X7, '1.5°C'!$B$39:$U$67, 16,FALSE)))</f>
        <v>100.04240401235302</v>
      </c>
      <c r="Y11" s="71">
        <f xml:space="preserve"> IF(Y5=$B$41, IF(Y6=$E$41, VLOOKUP(Y7,'1.5°C'!$B$39:$U$67, 15,FALSE), VLOOKUP(Y7,'1.5°C'!$B$39:$U$67, 16,FALSE)), IF(Y6=$E$41, VLOOKUP(Y7, '1.5°C'!$B$39:$U$67, 15,FALSE), VLOOKUP(Y7, '1.5°C'!$B$39:$U$67, 16,FALSE)))</f>
        <v>73.542398081385883</v>
      </c>
      <c r="Z11" s="71">
        <f xml:space="preserve"> IF(Z5=$B$41, IF(Z6=$E$41, VLOOKUP(Z7,'1.5°C'!$B$39:$U$67, 15,FALSE), VLOOKUP(Z7,'1.5°C'!$B$39:$U$67, 16,FALSE)), IF(Z6=$E$41, VLOOKUP(Z7, '1.5°C'!$B$39:$U$67, 15,FALSE), VLOOKUP(Z7, '1.5°C'!$B$39:$U$67, 16,FALSE)))</f>
        <v>63.067108826551284</v>
      </c>
    </row>
    <row r="12" spans="1:26" x14ac:dyDescent="0.3">
      <c r="A12" t="s">
        <v>313</v>
      </c>
      <c r="B12" s="66" t="s">
        <v>310</v>
      </c>
      <c r="C12" s="67" t="s">
        <v>20</v>
      </c>
      <c r="D12" s="71">
        <f xml:space="preserve"> IF(D5=$B$41, IF(D6=$E$41, VLOOKUP(D7, 'Swiss Climate Strategy'!$B$39:$Z$117, 21,FALSE), VLOOKUP(D7, 'Swiss Climate Strategy'!$B$39:$Z$117, 22,FALSE)), IF(D6=$E$41, VLOOKUP(D7, 'Swiss Climate Strategy'!$B$39:$Z$117, 21,FALSE), VLOOKUP(D7, 'Swiss Climate Strategy'!$B$39:$Z$117, 22,FALSE)))*'Intro_Cycle de Vie'!$B$78</f>
        <v>16.828398549183021</v>
      </c>
      <c r="E12" s="71">
        <f xml:space="preserve"> IF(E5=$B$41, IF(E6=$E$41, VLOOKUP(E7, 'Swiss Climate Strategy'!$B$39:$Z$117, 21,FALSE), VLOOKUP(E7, 'Swiss Climate Strategy'!$B$39:$Z$117, 22,FALSE)), IF(E6=$E$41, VLOOKUP(E7, 'Swiss Climate Strategy'!$B$39:$Z$117, 21,FALSE), VLOOKUP(E7, 'Swiss Climate Strategy'!$B$39:$Z$117, 22,FALSE)))*'Intro_Cycle de Vie'!$B$78</f>
        <v>14.879340023157539</v>
      </c>
      <c r="F12" s="71">
        <f xml:space="preserve"> IF(F5=$B$41, IF(F6=$E$41, VLOOKUP(F7, 'Swiss Climate Strategy'!$B$39:$Z$117, 21,FALSE), VLOOKUP(F7, 'Swiss Climate Strategy'!$B$39:$Z$117, 22,FALSE)), IF(F6=$E$41, VLOOKUP(F7, 'Swiss Climate Strategy'!$B$39:$Z$117, 21,FALSE), VLOOKUP(F7, 'Swiss Climate Strategy'!$B$39:$Z$117, 22,FALSE)))*'Intro_Cycle de Vie'!$B$78</f>
        <v>13.142948897113881</v>
      </c>
      <c r="G12" s="71">
        <f xml:space="preserve"> IF(G5=$B$41, IF(G6=$E$41, VLOOKUP(G7, 'Swiss Climate Strategy'!$B$39:$Z$117, 21,FALSE), VLOOKUP(G7, 'Swiss Climate Strategy'!$B$39:$Z$117, 22,FALSE)), IF(G6=$E$41, VLOOKUP(G7, 'Swiss Climate Strategy'!$B$39:$Z$117, 21,FALSE), VLOOKUP(G7, 'Swiss Climate Strategy'!$B$39:$Z$117, 22,FALSE)))*'Intro_Cycle de Vie'!$B$78</f>
        <v>10.928545107430182</v>
      </c>
      <c r="H12" s="71">
        <f xml:space="preserve"> IF(H5=$B$41, IF(H6=$E$41, VLOOKUP(H7, 'Swiss Climate Strategy'!$B$39:$Z$117, 21,FALSE), VLOOKUP(H7, 'Swiss Climate Strategy'!$B$39:$Z$117, 22,FALSE)), IF(H6=$E$41, VLOOKUP(H7, 'Swiss Climate Strategy'!$B$39:$Z$117, 21,FALSE), VLOOKUP(H7, 'Swiss Climate Strategy'!$B$39:$Z$117, 22,FALSE)))*'Intro_Cycle de Vie'!$B$78</f>
        <v>9.6818599124026221</v>
      </c>
      <c r="I12" s="71">
        <f xml:space="preserve"> IF(I5=$B$41, IF(I6=$E$41, VLOOKUP(I7, 'Swiss Climate Strategy'!$B$39:$Z$117, 21,FALSE), VLOOKUP(I7, 'Swiss Climate Strategy'!$B$39:$Z$117, 22,FALSE)), IF(I6=$E$41, VLOOKUP(I7, 'Swiss Climate Strategy'!$B$39:$Z$117, 21,FALSE), VLOOKUP(I7, 'Swiss Climate Strategy'!$B$39:$Z$117, 22,FALSE)))*'Intro_Cycle de Vie'!$B$78</f>
        <v>8.8665630464713683</v>
      </c>
      <c r="J12" s="71">
        <f xml:space="preserve"> IF(J5=$B$41, IF(J6=$E$41, VLOOKUP(J7, 'Swiss Climate Strategy'!$B$39:$Z$117, 21,FALSE), VLOOKUP(J7, 'Swiss Climate Strategy'!$B$39:$Z$117, 22,FALSE)), IF(J6=$E$41, VLOOKUP(J7, 'Swiss Climate Strategy'!$B$39:$Z$117, 21,FALSE), VLOOKUP(J7, 'Swiss Climate Strategy'!$B$39:$Z$117, 22,FALSE)))*'Intro_Cycle de Vie'!$B$78</f>
        <v>8.1091124655229248</v>
      </c>
      <c r="K12" s="71">
        <f xml:space="preserve"> IF(K5=$B$41, IF(K6=$E$41, VLOOKUP(K7, 'Swiss Climate Strategy'!$B$39:$Z$117, 21,FALSE), VLOOKUP(K7, 'Swiss Climate Strategy'!$B$39:$Z$117, 22,FALSE)), IF(K6=$E$41, VLOOKUP(K7, 'Swiss Climate Strategy'!$B$39:$Z$117, 21,FALSE), VLOOKUP(K7, 'Swiss Climate Strategy'!$B$39:$Z$117, 22,FALSE)))*'Intro_Cycle de Vie'!$B$78</f>
        <v>7.4764877205977136</v>
      </c>
      <c r="L12" s="71">
        <f xml:space="preserve"> IF(L5=$B$41, IF(L6=$E$41, VLOOKUP(L7, 'Swiss Climate Strategy'!$B$39:$Z$117, 21,FALSE), VLOOKUP(L7, 'Swiss Climate Strategy'!$B$39:$Z$117, 22,FALSE)), IF(L6=$E$41, VLOOKUP(L7, 'Swiss Climate Strategy'!$B$39:$Z$117, 21,FALSE), VLOOKUP(L7, 'Swiss Climate Strategy'!$B$39:$Z$117, 22,FALSE)))*'Intro_Cycle de Vie'!$B$78</f>
        <v>5.5403880226932873</v>
      </c>
      <c r="M12" s="71">
        <f xml:space="preserve"> IF(M5=$B$41, IF(M6=$E$41, VLOOKUP(M7, 'Swiss Climate Strategy'!$B$39:$Z$117, 21,FALSE), VLOOKUP(M7, 'Swiss Climate Strategy'!$B$39:$Z$117, 22,FALSE)), IF(M6=$E$41, VLOOKUP(M7, 'Swiss Climate Strategy'!$B$39:$Z$117, 21,FALSE), VLOOKUP(M7, 'Swiss Climate Strategy'!$B$39:$Z$117, 22,FALSE)))*'Intro_Cycle de Vie'!$B$78</f>
        <v>4.9904878571816091</v>
      </c>
      <c r="N12" s="25"/>
      <c r="O12" s="66"/>
      <c r="P12" s="67"/>
      <c r="Q12" s="71"/>
      <c r="R12" s="71"/>
      <c r="S12" s="71"/>
      <c r="T12" s="71"/>
      <c r="U12" s="71"/>
      <c r="V12" s="71"/>
      <c r="W12" s="71"/>
      <c r="X12" s="71"/>
      <c r="Y12" s="71"/>
      <c r="Z12" s="71"/>
    </row>
    <row r="13" spans="1:26" x14ac:dyDescent="0.3">
      <c r="A13" t="s">
        <v>313</v>
      </c>
      <c r="B13" s="66" t="s">
        <v>297</v>
      </c>
      <c r="C13" s="67" t="s">
        <v>20</v>
      </c>
      <c r="D13" s="71">
        <f xml:space="preserve"> IF(D5=$B$41, IF(D6=$E$41, VLOOKUP(D7, 'Swiss Climate Strategy'!$B$39:$Z$117, 21,FALSE), VLOOKUP(D7, 'Swiss Climate Strategy'!$B$39:$Z$117, 22,FALSE)), IF(D6=$E$41, VLOOKUP(D7, 'Swiss Climate Strategy'!$B$39:$Z$117, 21,FALSE), VLOOKUP(D7, 'Swiss Climate Strategy'!$B$39:$Z$117, 22,FALSE)))*'Intro_Cycle de Vie'!$B$79</f>
        <v>117.79878984428113</v>
      </c>
      <c r="E13" s="71">
        <f xml:space="preserve"> IF(E5=$B$41, IF(E6=$E$41, VLOOKUP(E7, 'Swiss Climate Strategy'!$B$39:$Z$117, 21,FALSE), VLOOKUP(E7, 'Swiss Climate Strategy'!$B$39:$Z$117, 22,FALSE)), IF(E6=$E$41, VLOOKUP(E7, 'Swiss Climate Strategy'!$B$39:$Z$117, 21,FALSE), VLOOKUP(E7, 'Swiss Climate Strategy'!$B$39:$Z$117, 22,FALSE)))*'Intro_Cycle de Vie'!$B$79</f>
        <v>104.15538016210277</v>
      </c>
      <c r="F13" s="71">
        <f xml:space="preserve"> IF(F5=$B$41, IF(F6=$E$41, VLOOKUP(F7, 'Swiss Climate Strategy'!$B$39:$Z$117, 21,FALSE), VLOOKUP(F7, 'Swiss Climate Strategy'!$B$39:$Z$117, 22,FALSE)), IF(F6=$E$41, VLOOKUP(F7, 'Swiss Climate Strategy'!$B$39:$Z$117, 21,FALSE), VLOOKUP(F7, 'Swiss Climate Strategy'!$B$39:$Z$117, 22,FALSE)))*'Intro_Cycle de Vie'!$B$79</f>
        <v>92.000642279797148</v>
      </c>
      <c r="G13" s="71">
        <f xml:space="preserve"> IF(G5=$B$41, IF(G6=$E$41, VLOOKUP(G7, 'Swiss Climate Strategy'!$B$39:$Z$117, 21,FALSE), VLOOKUP(G7, 'Swiss Climate Strategy'!$B$39:$Z$117, 22,FALSE)), IF(G6=$E$41, VLOOKUP(G7, 'Swiss Climate Strategy'!$B$39:$Z$117, 21,FALSE), VLOOKUP(G7, 'Swiss Climate Strategy'!$B$39:$Z$117, 22,FALSE)))*'Intro_Cycle de Vie'!$B$79</f>
        <v>76.499815752011258</v>
      </c>
      <c r="H13" s="71">
        <f xml:space="preserve"> IF(H5=$B$41, IF(H6=$E$41, VLOOKUP(H7, 'Swiss Climate Strategy'!$B$39:$Z$117, 21,FALSE), VLOOKUP(H7, 'Swiss Climate Strategy'!$B$39:$Z$117, 22,FALSE)), IF(H6=$E$41, VLOOKUP(H7, 'Swiss Climate Strategy'!$B$39:$Z$117, 21,FALSE), VLOOKUP(H7, 'Swiss Climate Strategy'!$B$39:$Z$117, 22,FALSE)))*'Intro_Cycle de Vie'!$B$79</f>
        <v>67.773019386818333</v>
      </c>
      <c r="I13" s="71">
        <f xml:space="preserve"> IF(I5=$B$41, IF(I6=$E$41, VLOOKUP(I7, 'Swiss Climate Strategy'!$B$39:$Z$117, 21,FALSE), VLOOKUP(I7, 'Swiss Climate Strategy'!$B$39:$Z$117, 22,FALSE)), IF(I6=$E$41, VLOOKUP(I7, 'Swiss Climate Strategy'!$B$39:$Z$117, 21,FALSE), VLOOKUP(I7, 'Swiss Climate Strategy'!$B$39:$Z$117, 22,FALSE)))*'Intro_Cycle de Vie'!$B$79</f>
        <v>62.065941325299569</v>
      </c>
      <c r="J13" s="71">
        <f xml:space="preserve"> IF(J5=$B$41, IF(J6=$E$41, VLOOKUP(J7, 'Swiss Climate Strategy'!$B$39:$Z$117, 21,FALSE), VLOOKUP(J7, 'Swiss Climate Strategy'!$B$39:$Z$117, 22,FALSE)), IF(J6=$E$41, VLOOKUP(J7, 'Swiss Climate Strategy'!$B$39:$Z$117, 21,FALSE), VLOOKUP(J7, 'Swiss Climate Strategy'!$B$39:$Z$117, 22,FALSE)))*'Intro_Cycle de Vie'!$B$79</f>
        <v>56.763787258660464</v>
      </c>
      <c r="K13" s="71">
        <f xml:space="preserve"> IF(K5=$B$41, IF(K6=$E$41, VLOOKUP(K7, 'Swiss Climate Strategy'!$B$39:$Z$117, 21,FALSE), VLOOKUP(K7, 'Swiss Climate Strategy'!$B$39:$Z$117, 22,FALSE)), IF(K6=$E$41, VLOOKUP(K7, 'Swiss Climate Strategy'!$B$39:$Z$117, 21,FALSE), VLOOKUP(K7, 'Swiss Climate Strategy'!$B$39:$Z$117, 22,FALSE)))*'Intro_Cycle de Vie'!$B$79</f>
        <v>52.335414044183985</v>
      </c>
      <c r="L13" s="71">
        <f xml:space="preserve"> IF(L5=$B$41, IF(L6=$E$41, VLOOKUP(L7, 'Swiss Climate Strategy'!$B$39:$Z$117, 21,FALSE), VLOOKUP(L7, 'Swiss Climate Strategy'!$B$39:$Z$117, 22,FALSE)), IF(L6=$E$41, VLOOKUP(L7, 'Swiss Climate Strategy'!$B$39:$Z$117, 21,FALSE), VLOOKUP(L7, 'Swiss Climate Strategy'!$B$39:$Z$117, 22,FALSE)))*'Intro_Cycle de Vie'!$B$79</f>
        <v>38.782716158853006</v>
      </c>
      <c r="M13" s="71">
        <f xml:space="preserve"> IF(M5=$B$41, IF(M6=$E$41, VLOOKUP(M7, 'Swiss Climate Strategy'!$B$39:$Z$117, 21,FALSE), VLOOKUP(M7, 'Swiss Climate Strategy'!$B$39:$Z$117, 22,FALSE)), IF(M6=$E$41, VLOOKUP(M7, 'Swiss Climate Strategy'!$B$39:$Z$117, 21,FALSE), VLOOKUP(M7, 'Swiss Climate Strategy'!$B$39:$Z$117, 22,FALSE)))*'Intro_Cycle de Vie'!$B$79</f>
        <v>34.93341500027126</v>
      </c>
      <c r="N13" s="25"/>
      <c r="O13" s="66"/>
      <c r="P13" s="67"/>
      <c r="Q13" s="71"/>
      <c r="R13" s="71"/>
      <c r="S13" s="71"/>
      <c r="T13" s="71"/>
      <c r="U13" s="71"/>
      <c r="V13" s="71"/>
      <c r="W13" s="71"/>
      <c r="X13" s="71"/>
      <c r="Y13" s="71"/>
      <c r="Z13" s="71"/>
    </row>
    <row r="14" spans="1:26" x14ac:dyDescent="0.3">
      <c r="A14" t="s">
        <v>313</v>
      </c>
      <c r="B14" s="66" t="s">
        <v>311</v>
      </c>
      <c r="C14" s="67" t="s">
        <v>20</v>
      </c>
      <c r="D14" s="71">
        <f xml:space="preserve"> IF(D5=$B$41, IF(D6=$E$41, VLOOKUP(D7, 'Swiss Climate Strategy'!$B$39:$Z$117, 21,FALSE), VLOOKUP(D7, 'Swiss Climate Strategy'!$B$39:$Z$117, 22,FALSE)), IF(D6=$E$41, VLOOKUP(D7, 'Swiss Climate Strategy'!$B$39:$Z$117, 21,FALSE), VLOOKUP(D7, 'Swiss Climate Strategy'!$B$39:$Z$117, 22,FALSE)))*'Intro_Cycle de Vie'!$B$80</f>
        <v>33.656797098366042</v>
      </c>
      <c r="E14" s="71">
        <f xml:space="preserve"> IF(E5=$B$41, IF(E6=$E$41, VLOOKUP(E7, 'Swiss Climate Strategy'!$B$39:$Z$117, 21,FALSE), VLOOKUP(E7, 'Swiss Climate Strategy'!$B$39:$Z$117, 22,FALSE)), IF(E6=$E$41, VLOOKUP(E7, 'Swiss Climate Strategy'!$B$39:$Z$117, 21,FALSE), VLOOKUP(E7, 'Swiss Climate Strategy'!$B$39:$Z$117, 22,FALSE)))*'Intro_Cycle de Vie'!$B$80</f>
        <v>29.758680046315078</v>
      </c>
      <c r="F14" s="71">
        <f xml:space="preserve"> IF(F5=$B$41, IF(F6=$E$41, VLOOKUP(F7, 'Swiss Climate Strategy'!$B$39:$Z$117, 21,FALSE), VLOOKUP(F7, 'Swiss Climate Strategy'!$B$39:$Z$117, 22,FALSE)), IF(F6=$E$41, VLOOKUP(F7, 'Swiss Climate Strategy'!$B$39:$Z$117, 21,FALSE), VLOOKUP(F7, 'Swiss Climate Strategy'!$B$39:$Z$117, 22,FALSE)))*'Intro_Cycle de Vie'!$B$80</f>
        <v>26.285897794227761</v>
      </c>
      <c r="G14" s="71">
        <f xml:space="preserve"> IF(G5=$B$41, IF(G6=$E$41, VLOOKUP(G7, 'Swiss Climate Strategy'!$B$39:$Z$117, 21,FALSE), VLOOKUP(G7, 'Swiss Climate Strategy'!$B$39:$Z$117, 22,FALSE)), IF(G6=$E$41, VLOOKUP(G7, 'Swiss Climate Strategy'!$B$39:$Z$117, 21,FALSE), VLOOKUP(G7, 'Swiss Climate Strategy'!$B$39:$Z$117, 22,FALSE)))*'Intro_Cycle de Vie'!$B$80</f>
        <v>21.857090214860364</v>
      </c>
      <c r="H14" s="71">
        <f xml:space="preserve"> IF(H5=$B$41, IF(H6=$E$41, VLOOKUP(H7, 'Swiss Climate Strategy'!$B$39:$Z$117, 21,FALSE), VLOOKUP(H7, 'Swiss Climate Strategy'!$B$39:$Z$117, 22,FALSE)), IF(H6=$E$41, VLOOKUP(H7, 'Swiss Climate Strategy'!$B$39:$Z$117, 21,FALSE), VLOOKUP(H7, 'Swiss Climate Strategy'!$B$39:$Z$117, 22,FALSE)))*'Intro_Cycle de Vie'!$B$80</f>
        <v>19.363719824805244</v>
      </c>
      <c r="I14" s="71">
        <f xml:space="preserve"> IF(I5=$B$41, IF(I6=$E$41, VLOOKUP(I7, 'Swiss Climate Strategy'!$B$39:$Z$117, 21,FALSE), VLOOKUP(I7, 'Swiss Climate Strategy'!$B$39:$Z$117, 22,FALSE)), IF(I6=$E$41, VLOOKUP(I7, 'Swiss Climate Strategy'!$B$39:$Z$117, 21,FALSE), VLOOKUP(I7, 'Swiss Climate Strategy'!$B$39:$Z$117, 22,FALSE)))*'Intro_Cycle de Vie'!$B$80</f>
        <v>17.733126092942737</v>
      </c>
      <c r="J14" s="71">
        <f xml:space="preserve"> IF(J5=$B$41, IF(J6=$E$41, VLOOKUP(J7, 'Swiss Climate Strategy'!$B$39:$Z$117, 21,FALSE), VLOOKUP(J7, 'Swiss Climate Strategy'!$B$39:$Z$117, 22,FALSE)), IF(J6=$E$41, VLOOKUP(J7, 'Swiss Climate Strategy'!$B$39:$Z$117, 21,FALSE), VLOOKUP(J7, 'Swiss Climate Strategy'!$B$39:$Z$117, 22,FALSE)))*'Intro_Cycle de Vie'!$B$80</f>
        <v>16.21822493104585</v>
      </c>
      <c r="K14" s="71">
        <f xml:space="preserve"> IF(K5=$B$41, IF(K6=$E$41, VLOOKUP(K7, 'Swiss Climate Strategy'!$B$39:$Z$117, 21,FALSE), VLOOKUP(K7, 'Swiss Climate Strategy'!$B$39:$Z$117, 22,FALSE)), IF(K6=$E$41, VLOOKUP(K7, 'Swiss Climate Strategy'!$B$39:$Z$117, 21,FALSE), VLOOKUP(K7, 'Swiss Climate Strategy'!$B$39:$Z$117, 22,FALSE)))*'Intro_Cycle de Vie'!$B$80</f>
        <v>14.952975441195427</v>
      </c>
      <c r="L14" s="71">
        <f xml:space="preserve"> IF(L5=$B$41, IF(L6=$E$41, VLOOKUP(L7, 'Swiss Climate Strategy'!$B$39:$Z$117, 21,FALSE), VLOOKUP(L7, 'Swiss Climate Strategy'!$B$39:$Z$117, 22,FALSE)), IF(L6=$E$41, VLOOKUP(L7, 'Swiss Climate Strategy'!$B$39:$Z$117, 21,FALSE), VLOOKUP(L7, 'Swiss Climate Strategy'!$B$39:$Z$117, 22,FALSE)))*'Intro_Cycle de Vie'!$B$80</f>
        <v>11.080776045386575</v>
      </c>
      <c r="M14" s="71">
        <f xml:space="preserve"> IF(M5=$B$41, IF(M6=$E$41, VLOOKUP(M7, 'Swiss Climate Strategy'!$B$39:$Z$117, 21,FALSE), VLOOKUP(M7, 'Swiss Climate Strategy'!$B$39:$Z$117, 22,FALSE)), IF(M6=$E$41, VLOOKUP(M7, 'Swiss Climate Strategy'!$B$39:$Z$117, 21,FALSE), VLOOKUP(M7, 'Swiss Climate Strategy'!$B$39:$Z$117, 22,FALSE)))*'Intro_Cycle de Vie'!$B$80</f>
        <v>9.9809757143632183</v>
      </c>
      <c r="N14" s="25"/>
      <c r="O14" s="66"/>
      <c r="P14" s="67"/>
      <c r="Q14" s="71"/>
      <c r="R14" s="71"/>
      <c r="S14" s="71"/>
      <c r="T14" s="71"/>
      <c r="U14" s="71"/>
      <c r="V14" s="71"/>
      <c r="W14" s="71"/>
      <c r="X14" s="71"/>
      <c r="Y14" s="71"/>
      <c r="Z14" s="71"/>
    </row>
    <row r="15" spans="1:26" ht="15" thickBot="1" x14ac:dyDescent="0.35">
      <c r="A15" t="s">
        <v>314</v>
      </c>
      <c r="B15" s="236" t="s">
        <v>298</v>
      </c>
      <c r="C15" s="237" t="s">
        <v>20</v>
      </c>
      <c r="D15" s="71">
        <f xml:space="preserve"> IF(D5=$B$41, IF(D6=$E$41, VLOOKUP(D7, 'Swiss Climate Strategy'!$B$39:$Z$300,17,FALSE), VLOOKUP(D7, 'Swiss Climate Strategy'!$B$39:$Z$300, 19,FALSE)), IF(D7=$E$41, VLOOKUP(D7, 'Swiss Climate Strategy'!$B$39:$Z$300, 17,FALSE), VLOOKUP(D7, 'Swiss Climate Strategy'!$B$39:$Z$300, 19,FALSE)))</f>
        <v>82.456714350124045</v>
      </c>
      <c r="E15" s="71">
        <f xml:space="preserve"> IF(E5=$B$41, IF(E6=$E$41, VLOOKUP(E7, 'Swiss Climate Strategy'!$B$39:$Z$300,17,FALSE), VLOOKUP(E7, 'Swiss Climate Strategy'!$B$39:$Z$300, 19,FALSE)), IF(E7=$E$41, VLOOKUP(E7, 'Swiss Climate Strategy'!$B$39:$Z$300, 17,FALSE), VLOOKUP(E7, 'Swiss Climate Strategy'!$B$39:$Z$300, 19,FALSE)))</f>
        <v>48.314143692308946</v>
      </c>
      <c r="F15" s="71">
        <f xml:space="preserve"> IF(F5=$B$41, IF(F6=$E$41, VLOOKUP(F7, 'Swiss Climate Strategy'!$B$39:$Z$300,17,FALSE), VLOOKUP(F7, 'Swiss Climate Strategy'!$B$39:$Z$300, 19,FALSE)), IF(F7=$E$41, VLOOKUP(F7, 'Swiss Climate Strategy'!$B$39:$Z$300, 17,FALSE), VLOOKUP(F7, 'Swiss Climate Strategy'!$B$39:$Z$300, 19,FALSE)))</f>
        <v>40.58977711495038</v>
      </c>
      <c r="G15" s="71">
        <f xml:space="preserve"> IF(G5=$B$41, IF(G6=$E$41, VLOOKUP(G7, 'Swiss Climate Strategy'!$B$39:$Z$300,17,FALSE), VLOOKUP(G7, 'Swiss Climate Strategy'!$B$39:$Z$300, 19,FALSE)), IF(G7=$E$41, VLOOKUP(G7, 'Swiss Climate Strategy'!$B$39:$Z$300, 17,FALSE), VLOOKUP(G7, 'Swiss Climate Strategy'!$B$39:$Z$300, 19,FALSE)))</f>
        <v>33.601034052663621</v>
      </c>
      <c r="H15" s="71">
        <f xml:space="preserve"> IF(H5=$B$41, IF(H6=$E$41, VLOOKUP(H7, 'Swiss Climate Strategy'!$B$39:$Z$300,17,FALSE), VLOOKUP(H7, 'Swiss Climate Strategy'!$B$39:$Z$300, 19,FALSE)), IF(H7=$E$41, VLOOKUP(H7, 'Swiss Climate Strategy'!$B$39:$Z$300, 17,FALSE), VLOOKUP(H7, 'Swiss Climate Strategy'!$B$39:$Z$300, 19,FALSE)))</f>
        <v>30.344708621896526</v>
      </c>
      <c r="I15" s="71">
        <f xml:space="preserve"> IF(I5=$B$41, IF(I6=$E$41, VLOOKUP(I7, 'Swiss Climate Strategy'!$B$39:$Z$300,17,FALSE), VLOOKUP(I7, 'Swiss Climate Strategy'!$B$39:$Z$300, 19,FALSE)), IF(I7=$E$41, VLOOKUP(I7, 'Swiss Climate Strategy'!$B$39:$Z$300, 17,FALSE), VLOOKUP(I7, 'Swiss Climate Strategy'!$B$39:$Z$300, 19,FALSE)))</f>
        <v>28.462218309990217</v>
      </c>
      <c r="J15" s="71">
        <f xml:space="preserve"> IF(J5=$B$41, IF(J6=$E$41, VLOOKUP(J7, 'Swiss Climate Strategy'!$B$39:$Z$300,17,FALSE), VLOOKUP(J7, 'Swiss Climate Strategy'!$B$39:$Z$300, 19,FALSE)), IF(J7=$E$41, VLOOKUP(J7, 'Swiss Climate Strategy'!$B$39:$Z$300, 17,FALSE), VLOOKUP(J7, 'Swiss Climate Strategy'!$B$39:$Z$300, 19,FALSE)))</f>
        <v>26.770677347577912</v>
      </c>
      <c r="K15" s="71">
        <f xml:space="preserve"> IF(K5=$B$41, IF(K6=$E$41, VLOOKUP(K7, 'Swiss Climate Strategy'!$B$39:$Z$300,17,FALSE), VLOOKUP(K7, 'Swiss Climate Strategy'!$B$39:$Z$300, 19,FALSE)), IF(K7=$E$41, VLOOKUP(K7, 'Swiss Climate Strategy'!$B$39:$Z$300, 17,FALSE), VLOOKUP(K7, 'Swiss Climate Strategy'!$B$39:$Z$300, 19,FALSE)))</f>
        <v>25.242816996893364</v>
      </c>
      <c r="L15" s="71">
        <f xml:space="preserve"> IF(L5=$B$41, IF(L6=$E$41, VLOOKUP(L7, 'Swiss Climate Strategy'!$B$39:$Z$300,17,FALSE), VLOOKUP(L7, 'Swiss Climate Strategy'!$B$39:$Z$300, 19,FALSE)), IF(L7=$E$41, VLOOKUP(L7, 'Swiss Climate Strategy'!$B$39:$Z$300, 17,FALSE), VLOOKUP(L7, 'Swiss Climate Strategy'!$B$39:$Z$300, 19,FALSE)))</f>
        <v>22.592145503534493</v>
      </c>
      <c r="M15" s="71">
        <f xml:space="preserve"> IF(M5=$B$41, IF(M6=$E$41, VLOOKUP(M7, 'Swiss Climate Strategy'!$B$39:$Z$300,17,FALSE), VLOOKUP(M7, 'Swiss Climate Strategy'!$B$39:$Z$300, 19,FALSE)), IF(M7=$E$41, VLOOKUP(M7, 'Swiss Climate Strategy'!$B$39:$Z$300, 17,FALSE), VLOOKUP(M7, 'Swiss Climate Strategy'!$B$39:$Z$300, 19,FALSE)))</f>
        <v>21.435292542947437</v>
      </c>
      <c r="O15" s="66"/>
      <c r="P15" s="67"/>
      <c r="Q15" s="71"/>
      <c r="R15" s="71"/>
      <c r="S15" s="71"/>
      <c r="T15" s="71"/>
      <c r="U15" s="71"/>
      <c r="V15" s="71"/>
      <c r="W15" s="71"/>
      <c r="X15" s="71"/>
      <c r="Y15" s="71"/>
      <c r="Z15" s="71"/>
    </row>
    <row r="16" spans="1:26" ht="15" thickBot="1" x14ac:dyDescent="0.35">
      <c r="A16" t="s">
        <v>316</v>
      </c>
      <c r="B16" s="238" t="s">
        <v>320</v>
      </c>
      <c r="C16" s="239" t="s">
        <v>20</v>
      </c>
      <c r="D16" s="240">
        <f>D11+D13+D15+D12+D14</f>
        <v>729.70281239562473</v>
      </c>
      <c r="E16" s="240">
        <f t="shared" ref="E16:M16" si="3">E11+E13+E15+E12+E14</f>
        <v>620.59645227529109</v>
      </c>
      <c r="F16" s="240">
        <f t="shared" si="3"/>
        <v>546.0878116193303</v>
      </c>
      <c r="G16" s="240">
        <f t="shared" si="3"/>
        <v>453.9296920307475</v>
      </c>
      <c r="H16" s="240">
        <f t="shared" si="3"/>
        <v>402.72393602199725</v>
      </c>
      <c r="I16" s="240">
        <f t="shared" si="3"/>
        <v>369.48387394350425</v>
      </c>
      <c r="J16" s="240">
        <f t="shared" si="3"/>
        <v>338.65961832922875</v>
      </c>
      <c r="K16" s="240">
        <f t="shared" si="3"/>
        <v>312.80003701988227</v>
      </c>
      <c r="L16" s="240">
        <f t="shared" si="3"/>
        <v>235.68399253019939</v>
      </c>
      <c r="M16" s="240">
        <f t="shared" si="3"/>
        <v>213.37713320377853</v>
      </c>
      <c r="O16" s="66" t="s">
        <v>21</v>
      </c>
      <c r="P16" s="67" t="s">
        <v>20</v>
      </c>
      <c r="Q16" s="204">
        <f xml:space="preserve"> IF(Q5=$B$41, IF(Q6=$E$41, VLOOKUP(Q7, '1.5°C'!$B$39:$U$67, 17,FALSE), VLOOKUP(Q7, '1.5°C'!$B$39:$U$67, 18,FALSE)), IF(Q6=$E$41, VLOOKUP(Q7, '1.5°C'!$B$39:$U$67, 17,FALSE), VLOOKUP(Q7, '1.5°C'!$B$39:$U$67, 18,FALSE)))</f>
        <v>553.25584200133198</v>
      </c>
      <c r="R16" s="204">
        <f xml:space="preserve"> IF(R5=$B$41, IF(R6=$E$41, VLOOKUP(R7, '1.5°C'!$B$39:$U$67, 17,FALSE), VLOOKUP(R7, '1.5°C'!$B$39:$U$67, 18,FALSE)), IF(R6=$E$41, VLOOKUP(R7, '1.5°C'!$B$39:$U$67, 17,FALSE), VLOOKUP(R7, '1.5°C'!$B$39:$U$67, 18,FALSE)))</f>
        <v>473.57316146959215</v>
      </c>
      <c r="S16" s="204">
        <f xml:space="preserve"> IF(S5=$B$41, IF(S6=$E$41, VLOOKUP(S7, '1.5°C'!$B$39:$U$67, 17,FALSE), VLOOKUP(S7, '1.5°C'!$B$39:$U$67, 18,FALSE)), IF(S6=$E$41, VLOOKUP(S7, '1.5°C'!$B$39:$U$67, 17,FALSE), VLOOKUP(S7, '1.5°C'!$B$39:$U$67, 18,FALSE)))</f>
        <v>347.16620508656564</v>
      </c>
      <c r="T16" s="204">
        <f xml:space="preserve"> IF(T5=$B$41, IF(T6=$E$41, VLOOKUP(T7, '1.5°C'!$B$39:$U$67, 17,FALSE), VLOOKUP(T7, '1.5°C'!$B$39:$U$67, 18,FALSE)), IF(T6=$E$41, VLOOKUP(T7, '1.5°C'!$B$39:$U$67, 17,FALSE), VLOOKUP(T7, '1.5°C'!$B$39:$U$67, 18,FALSE)))</f>
        <v>235.71290013917388</v>
      </c>
      <c r="U16" s="204">
        <f xml:space="preserve"> IF(U5=$B$41, IF(U6=$E$41, VLOOKUP(U7, '1.5°C'!$B$39:$U$67, 17,FALSE), VLOOKUP(U7, '1.5°C'!$B$39:$U$67, 18,FALSE)), IF(U6=$E$41, VLOOKUP(U7, '1.5°C'!$B$39:$U$67, 17,FALSE), VLOOKUP(U7, '1.5°C'!$B$39:$U$67, 18,FALSE)))</f>
        <v>186.9380169454052</v>
      </c>
      <c r="V16" s="204">
        <f xml:space="preserve"> IF(V5=$B$41, IF(V6=$E$41, VLOOKUP(V7, '1.5°C'!$B$39:$U$67, 17,FALSE), VLOOKUP(V7, '1.5°C'!$B$39:$U$67, 18,FALSE)), IF(V6=$E$41, VLOOKUP(V7, '1.5°C'!$B$39:$U$67, 17,FALSE), VLOOKUP(V7, '1.5°C'!$B$39:$U$67, 18,FALSE)))</f>
        <v>160.19775845636977</v>
      </c>
      <c r="W16" s="204">
        <f xml:space="preserve"> IF(W5=$B$41, IF(W6=$E$41, VLOOKUP(W7, '1.5°C'!$B$39:$U$67, 17,FALSE), VLOOKUP(W7, '1.5°C'!$B$39:$U$67, 18,FALSE)), IF(W6=$E$41, VLOOKUP(W7, '1.5°C'!$B$39:$U$67, 17,FALSE), VLOOKUP(W7, '1.5°C'!$B$39:$U$67, 18,FALSE)))</f>
        <v>137.30282316494612</v>
      </c>
      <c r="X16" s="204">
        <f xml:space="preserve"> IF(X5=$B$41, IF(X6=$E$41, VLOOKUP(X7, '1.5°C'!$B$39:$U$67, 17,FALSE), VLOOKUP(X7, '1.5°C'!$B$39:$U$67, 18,FALSE)), IF(X6=$E$41, VLOOKUP(X7, '1.5°C'!$B$39:$U$67, 17,FALSE), VLOOKUP(X7, '1.5°C'!$B$39:$U$67, 18,FALSE)))</f>
        <v>117.69694589688591</v>
      </c>
      <c r="Y16" s="204">
        <f xml:space="preserve"> IF(Y5=$B$41, IF(Y6=$E$41, VLOOKUP(Y7, '1.5°C'!$B$39:$U$67, 17,FALSE), VLOOKUP(Y7, '1.5°C'!$B$39:$U$67, 18,FALSE)), IF(Y6=$E$41, VLOOKUP(Y7, '1.5°C'!$B$39:$U$67, 17,FALSE), VLOOKUP(Y7, '1.5°C'!$B$39:$U$67, 18,FALSE)))</f>
        <v>86.520468331042224</v>
      </c>
      <c r="Z16" s="204">
        <f xml:space="preserve"> IF(Z5=$B$41, IF(Z6=$E$41, VLOOKUP(Z7, '1.5°C'!$B$39:$U$67, 17,FALSE), VLOOKUP(Z7, '1.5°C'!$B$39:$U$67, 18,FALSE)), IF(Z6=$E$41, VLOOKUP(Z7, '1.5°C'!$B$39:$U$67, 17,FALSE), VLOOKUP(Z7, '1.5°C'!$B$39:$U$67, 18,FALSE)))</f>
        <v>74.196598619472098</v>
      </c>
    </row>
    <row r="17" spans="1:26" x14ac:dyDescent="0.3">
      <c r="A17" t="s">
        <v>316</v>
      </c>
      <c r="B17" s="66" t="s">
        <v>22</v>
      </c>
      <c r="C17" s="67" t="s">
        <v>23</v>
      </c>
      <c r="D17" s="71">
        <f>D16/60</f>
        <v>12.16171353992708</v>
      </c>
      <c r="E17" s="71">
        <f t="shared" ref="E17:M17" si="4">E16/60</f>
        <v>10.343274204588186</v>
      </c>
      <c r="F17" s="71">
        <f t="shared" si="4"/>
        <v>9.1014635269888391</v>
      </c>
      <c r="G17" s="71">
        <f t="shared" si="4"/>
        <v>7.5654948671791251</v>
      </c>
      <c r="H17" s="71">
        <f t="shared" si="4"/>
        <v>6.7120656003666204</v>
      </c>
      <c r="I17" s="71">
        <f t="shared" si="4"/>
        <v>6.1580645657250708</v>
      </c>
      <c r="J17" s="71">
        <f t="shared" si="4"/>
        <v>5.6443269721538121</v>
      </c>
      <c r="K17" s="71">
        <f t="shared" si="4"/>
        <v>5.2133339503313714</v>
      </c>
      <c r="L17" s="71">
        <f t="shared" si="4"/>
        <v>3.9280665421699896</v>
      </c>
      <c r="M17" s="71">
        <f t="shared" si="4"/>
        <v>3.5562855533963087</v>
      </c>
      <c r="O17" s="66" t="s">
        <v>22</v>
      </c>
      <c r="P17" s="67" t="s">
        <v>23</v>
      </c>
      <c r="Q17" s="71">
        <f xml:space="preserve"> IF(Q5=$B$41, IF(Q6=$E$41, VLOOKUP(Q7, '1.5°C'!$B$39:$U$67, 19,FALSE), VLOOKUP(Q7, '1.5°C'!$B$39:$U$67, 20,FALSE)), IF(Q6=$E$41, VLOOKUP(Q7, '1.5°C'!$B$39:$U$67, 19,FALSE), VLOOKUP(Q7, '1.5°C'!$B$39:$U$67, 20,FALSE)))</f>
        <v>9.2209307000221994</v>
      </c>
      <c r="R17" s="71">
        <f xml:space="preserve"> IF(R5=$B$41, IF(R6=$E$41, VLOOKUP(R7, '1.5°C'!$B$39:$U$67, 19,FALSE), VLOOKUP(R7, '1.5°C'!$B$39:$U$67, 20,FALSE)), IF(R6=$E$41, VLOOKUP(R7, '1.5°C'!$B$39:$U$67, 19,FALSE), VLOOKUP(R7, '1.5°C'!$B$39:$U$67, 20,FALSE)))</f>
        <v>7.8928860244932029</v>
      </c>
      <c r="S17" s="71">
        <f xml:space="preserve"> IF(S5=$B$41, IF(S6=$E$41, VLOOKUP(S7, '1.5°C'!$B$39:$U$67, 19,FALSE), VLOOKUP(S7, '1.5°C'!$B$39:$U$67, 20,FALSE)), IF(S6=$E$41, VLOOKUP(S7, '1.5°C'!$B$39:$U$67, 19,FALSE), VLOOKUP(S7, '1.5°C'!$B$39:$U$67, 20,FALSE)))</f>
        <v>5.7861034181094277</v>
      </c>
      <c r="T17" s="71">
        <f xml:space="preserve"> IF(T5=$B$41, IF(T6=$E$41, VLOOKUP(T7, '1.5°C'!$B$39:$U$67, 19,FALSE), VLOOKUP(T7, '1.5°C'!$B$39:$U$67, 20,FALSE)), IF(T6=$E$41, VLOOKUP(T7, '1.5°C'!$B$39:$U$67, 19,FALSE), VLOOKUP(T7, '1.5°C'!$B$39:$U$67, 20,FALSE)))</f>
        <v>3.9285483356528981</v>
      </c>
      <c r="U17" s="71">
        <f xml:space="preserve"> IF(U5=$B$41, IF(U6=$E$41, VLOOKUP(U7, '1.5°C'!$B$39:$U$67, 19,FALSE), VLOOKUP(U7, '1.5°C'!$B$39:$U$67, 20,FALSE)), IF(U6=$E$41, VLOOKUP(U7, '1.5°C'!$B$39:$U$67, 19,FALSE), VLOOKUP(U7, '1.5°C'!$B$39:$U$67, 20,FALSE)))</f>
        <v>3.1156336157567535</v>
      </c>
      <c r="V17" s="71">
        <f xml:space="preserve"> IF(V5=$B$41, IF(V6=$E$41, VLOOKUP(V7, '1.5°C'!$B$39:$U$67, 19,FALSE), VLOOKUP(V7, '1.5°C'!$B$39:$U$67, 20,FALSE)), IF(V6=$E$41, VLOOKUP(V7, '1.5°C'!$B$39:$U$67, 19,FALSE), VLOOKUP(V7, '1.5°C'!$B$39:$U$67, 20,FALSE)))</f>
        <v>2.6699626409394961</v>
      </c>
      <c r="W17" s="71">
        <f xml:space="preserve"> IF(W5=$B$41, IF(W6=$E$41, VLOOKUP(W7, '1.5°C'!$B$39:$U$67, 19,FALSE), VLOOKUP(W7, '1.5°C'!$B$39:$U$67, 20,FALSE)), IF(W6=$E$41, VLOOKUP(W7, '1.5°C'!$B$39:$U$67, 19,FALSE), VLOOKUP(W7, '1.5°C'!$B$39:$U$67, 20,FALSE)))</f>
        <v>2.2883803860824354</v>
      </c>
      <c r="X17" s="71">
        <f xml:space="preserve"> IF(X5=$B$41, IF(X6=$E$41, VLOOKUP(X7, '1.5°C'!$B$39:$U$67, 19,FALSE), VLOOKUP(X7, '1.5°C'!$B$39:$U$67, 20,FALSE)), IF(X6=$E$41, VLOOKUP(X7, '1.5°C'!$B$39:$U$67, 19,FALSE), VLOOKUP(X7, '1.5°C'!$B$39:$U$67, 20,FALSE)))</f>
        <v>1.9616157649480985</v>
      </c>
      <c r="Y17" s="71">
        <f xml:space="preserve"> IF(Y5=$B$41, IF(Y6=$E$41, VLOOKUP(Y7, '1.5°C'!$B$39:$U$67, 19,FALSE), VLOOKUP(Y7, '1.5°C'!$B$39:$U$67, 20,FALSE)), IF(Y6=$E$41, VLOOKUP(Y7, '1.5°C'!$B$39:$U$67, 19,FALSE), VLOOKUP(Y7, '1.5°C'!$B$39:$U$67, 20,FALSE)))</f>
        <v>1.4420078055173704</v>
      </c>
      <c r="Z17" s="71">
        <f xml:space="preserve"> IF(Z5=$B$41, IF(Z6=$E$41, VLOOKUP(Z7, '1.5°C'!$B$39:$U$67, 19,FALSE), VLOOKUP(Z7, '1.5°C'!$B$39:$U$67, 20,FALSE)), IF(Z6=$E$41, VLOOKUP(Z7, '1.5°C'!$B$39:$U$67, 19,FALSE), VLOOKUP(Z7, '1.5°C'!$B$39:$U$67, 20,FALSE)))</f>
        <v>1.2366099769912016</v>
      </c>
    </row>
    <row r="18" spans="1:26" x14ac:dyDescent="0.3">
      <c r="A18" t="s">
        <v>322</v>
      </c>
      <c r="B18" s="66" t="s">
        <v>321</v>
      </c>
      <c r="C18" s="67" t="s">
        <v>25</v>
      </c>
      <c r="D18" s="72">
        <f>D16*D8</f>
        <v>729702.8123956247</v>
      </c>
      <c r="E18" s="72">
        <f t="shared" ref="E18:M18" si="5">E16*E8</f>
        <v>620596.45227529109</v>
      </c>
      <c r="F18" s="72">
        <f t="shared" si="5"/>
        <v>546087.81161933031</v>
      </c>
      <c r="G18" s="72">
        <f t="shared" si="5"/>
        <v>453929.69203074748</v>
      </c>
      <c r="H18" s="72">
        <f t="shared" si="5"/>
        <v>402723.93602199724</v>
      </c>
      <c r="I18" s="72">
        <f t="shared" si="5"/>
        <v>369483.87394350424</v>
      </c>
      <c r="J18" s="72">
        <f t="shared" si="5"/>
        <v>338659.61832922878</v>
      </c>
      <c r="K18" s="72">
        <f t="shared" si="5"/>
        <v>312800.03701988229</v>
      </c>
      <c r="L18" s="72">
        <f t="shared" si="5"/>
        <v>235683.99253019938</v>
      </c>
      <c r="M18" s="72">
        <f t="shared" si="5"/>
        <v>213377.13320377853</v>
      </c>
      <c r="O18" s="66" t="s">
        <v>24</v>
      </c>
      <c r="P18" s="67" t="s">
        <v>25</v>
      </c>
      <c r="Q18" s="71">
        <f t="shared" ref="Q18:Z18" si="6">Q16*Q8</f>
        <v>553255.84200133197</v>
      </c>
      <c r="R18" s="71">
        <f t="shared" si="6"/>
        <v>473573.16146959213</v>
      </c>
      <c r="S18" s="71">
        <f t="shared" si="6"/>
        <v>347166.20508656563</v>
      </c>
      <c r="T18" s="71">
        <f t="shared" si="6"/>
        <v>235712.90013917387</v>
      </c>
      <c r="U18" s="71">
        <f t="shared" si="6"/>
        <v>186938.01694540519</v>
      </c>
      <c r="V18" s="71">
        <f t="shared" si="6"/>
        <v>160197.75845636977</v>
      </c>
      <c r="W18" s="71">
        <f t="shared" si="6"/>
        <v>137302.82316494611</v>
      </c>
      <c r="X18" s="71">
        <f t="shared" si="6"/>
        <v>117696.94589688591</v>
      </c>
      <c r="Y18" s="71">
        <f t="shared" si="6"/>
        <v>86520.468331042226</v>
      </c>
      <c r="Z18" s="71">
        <f t="shared" si="6"/>
        <v>74196.598619472104</v>
      </c>
    </row>
    <row r="19" spans="1:26" x14ac:dyDescent="0.3">
      <c r="B19" s="19"/>
      <c r="C19" s="70"/>
      <c r="M19" s="5"/>
      <c r="O19" s="19"/>
      <c r="P19" s="70"/>
      <c r="Z19" s="5"/>
    </row>
    <row r="20" spans="1:26" x14ac:dyDescent="0.3">
      <c r="A20" t="s">
        <v>315</v>
      </c>
      <c r="B20" s="66" t="s">
        <v>26</v>
      </c>
      <c r="C20" s="67"/>
      <c r="D20" s="35" t="s">
        <v>27</v>
      </c>
      <c r="M20" s="5"/>
      <c r="O20" s="66" t="s">
        <v>26</v>
      </c>
      <c r="P20" s="67"/>
      <c r="Q20" s="35" t="s">
        <v>27</v>
      </c>
      <c r="Z20" s="5"/>
    </row>
    <row r="21" spans="1:26" x14ac:dyDescent="0.3">
      <c r="A21" t="s">
        <v>315</v>
      </c>
      <c r="B21" s="66" t="s">
        <v>296</v>
      </c>
      <c r="C21" s="67" t="s">
        <v>28</v>
      </c>
      <c r="D21" s="230">
        <f xml:space="preserve"> IF(D5=$B$41, IF(D6=$E$41, VLOOKUP(D7, 'Swiss Climate Strategy'!$B$39:$BD$117, 42,FALSE), VLOOKUP(D7, 'Swiss Climate Strategy'!$B$39:$BD$117, 43,FALSE)), IF(D6=$E$41, VLOOKUP(D7, 'Swiss Climate Strategy'!$B$39:$BD$117, 51,FALSE), VLOOKUP(D7, 'Swiss Climate Strategy'!$B$39:$BD$117, 52,FALSE)))</f>
        <v>2.5855157380365981</v>
      </c>
      <c r="E21" s="230">
        <f xml:space="preserve"> IF(E5=$B$41, IF(E6=$E$41, VLOOKUP(E7, 'Swiss Climate Strategy'!$B$39:$BD$117, 42,FALSE), VLOOKUP(E7, 'Swiss Climate Strategy'!$B$39:$BD$117, 43,FALSE)), IF(E6=$E$41, VLOOKUP(E7, 'Swiss Climate Strategy'!$B$39:$BD$117, 51,FALSE), VLOOKUP(E7, 'Swiss Climate Strategy'!$B$39:$BD$117, 52,FALSE)))</f>
        <v>6.9626722623861621</v>
      </c>
      <c r="F21" s="230">
        <f xml:space="preserve"> IF(F5=$B$41, IF(F6=$E$41, VLOOKUP(F7, 'Swiss Climate Strategy'!$B$39:$BD$117, 42,FALSE), VLOOKUP(F7, 'Swiss Climate Strategy'!$B$39:$BD$117, 43,FALSE)), IF(F6=$E$41, VLOOKUP(F7, 'Swiss Climate Strategy'!$B$39:$BD$117, 51,FALSE), VLOOKUP(F7, 'Swiss Climate Strategy'!$B$39:$BD$117, 52,FALSE)))</f>
        <v>5.1850137535102592</v>
      </c>
      <c r="G21" s="230">
        <f xml:space="preserve"> IF(G5=$B$41, IF(G6=$E$41, VLOOKUP(G7, 'Swiss Climate Strategy'!$B$39:$BD$117, 42,FALSE), VLOOKUP(G7, 'Swiss Climate Strategy'!$B$39:$BD$117, 43,FALSE)), IF(G6=$E$41, VLOOKUP(G7, 'Swiss Climate Strategy'!$B$39:$BD$117, 51,FALSE), VLOOKUP(G7, 'Swiss Climate Strategy'!$B$39:$BD$117, 52,FALSE)))</f>
        <v>3.5914413199390673</v>
      </c>
      <c r="H21" s="230">
        <f xml:space="preserve"> IF(H5=$B$41, IF(H6=$E$41, VLOOKUP(H7, 'Swiss Climate Strategy'!$B$39:$BD$117, 42,FALSE), VLOOKUP(H7, 'Swiss Climate Strategy'!$B$39:$BD$117, 43,FALSE)), IF(H6=$E$41, VLOOKUP(H7, 'Swiss Climate Strategy'!$B$39:$BD$117, 51,FALSE), VLOOKUP(H7, 'Swiss Climate Strategy'!$B$39:$BD$117, 52,FALSE)))</f>
        <v>2.8187471118968008</v>
      </c>
      <c r="I21" s="230">
        <f xml:space="preserve"> IF(I5=$B$41, IF(I6=$E$41, VLOOKUP(I7, 'Swiss Climate Strategy'!$B$39:$BD$117, 42,FALSE), VLOOKUP(I7, 'Swiss Climate Strategy'!$B$39:$BD$117, 43,FALSE)), IF(I6=$E$41, VLOOKUP(I7, 'Swiss Climate Strategy'!$B$39:$BD$117, 51,FALSE), VLOOKUP(I7, 'Swiss Climate Strategy'!$B$39:$BD$117, 52,FALSE)))</f>
        <v>2.3732147362230469</v>
      </c>
      <c r="J21" s="230">
        <f xml:space="preserve"> IF(J5=$B$41, IF(J6=$E$41, VLOOKUP(J7, 'Swiss Climate Strategy'!$B$39:$BD$117, 42,FALSE), VLOOKUP(J7, 'Swiss Climate Strategy'!$B$39:$BD$117, 43,FALSE)), IF(J6=$E$41, VLOOKUP(J7, 'Swiss Climate Strategy'!$B$39:$BD$117, 51,FALSE), VLOOKUP(J7, 'Swiss Climate Strategy'!$B$39:$BD$117, 52,FALSE)))</f>
        <v>1.9454894525084028</v>
      </c>
      <c r="K21" s="230">
        <f xml:space="preserve"> IF(K5=$B$41, IF(K6=$E$41, VLOOKUP(K7, 'Swiss Climate Strategy'!$B$39:$BD$117, 42,FALSE), VLOOKUP(K7, 'Swiss Climate Strategy'!$B$39:$BD$117, 43,FALSE)), IF(K6=$E$41, VLOOKUP(K7, 'Swiss Climate Strategy'!$B$39:$BD$117, 51,FALSE), VLOOKUP(K7, 'Swiss Climate Strategy'!$B$39:$BD$117, 52,FALSE)))</f>
        <v>1.4857888961774444</v>
      </c>
      <c r="L21" s="230">
        <f xml:space="preserve"> IF(L5=$B$41, IF(L6=$E$41, VLOOKUP(L7, 'Swiss Climate Strategy'!$B$39:$BD$117, 42,FALSE), VLOOKUP(L7, 'Swiss Climate Strategy'!$B$39:$BD$117, 43,FALSE)), IF(L6=$E$41, VLOOKUP(L7, 'Swiss Climate Strategy'!$B$39:$BD$117, 51,FALSE), VLOOKUP(L7, 'Swiss Climate Strategy'!$B$39:$BD$117, 52,FALSE)))</f>
        <v>0.56998405015544618</v>
      </c>
      <c r="M21" s="230">
        <f xml:space="preserve"> IF(M5=$B$41, IF(M6=$E$41, VLOOKUP(M7, 'Swiss Climate Strategy'!$B$39:$BD$117, 42,FALSE), VLOOKUP(M7, 'Swiss Climate Strategy'!$B$39:$BD$117, 43,FALSE)), IF(M6=$E$41, VLOOKUP(M7, 'Swiss Climate Strategy'!$B$39:$BD$117, 51,FALSE), VLOOKUP(M7, 'Swiss Climate Strategy'!$B$39:$BD$117, 52,FALSE)))</f>
        <v>0.28322332478112072</v>
      </c>
      <c r="O21" s="66" t="s">
        <v>29</v>
      </c>
      <c r="P21" s="67" t="s">
        <v>28</v>
      </c>
      <c r="Q21" s="71">
        <f xml:space="preserve"> IF(Q5=$B$41, IF(Q6=$E$41, AVERAGE('1.5°C'!$AA$47:$AA$67), AVERAGE('1.5°C'!$AB$47:$AB$67)), IF(Q6=$E$41, AVERAGE('1.5°C'!$AF$47:$AF$67),AVERAGE('1.5°C'!$AG$47:$AG$67)))</f>
        <v>0.16678491431006554</v>
      </c>
      <c r="R21" s="71">
        <f xml:space="preserve"> IF(R5=$B$41, IF(R6=$E$41, AVERAGE('1.5°C'!$AA$47:$AA$67), AVERAGE('1.5°C'!$AB$47:$AB$67)), IF(R6=$E$41, AVERAGE('1.5°C'!$AF$47:$AF$67),AVERAGE('1.5°C'!$AG$47:$AG$67)))</f>
        <v>0.49996987460526504</v>
      </c>
      <c r="S21" s="71">
        <f xml:space="preserve"> IF(S5=$B$41, IF(S6=$E$41, AVERAGE('1.5°C'!$AA$47:$AA$67), AVERAGE('1.5°C'!$AB$47:$AB$67)), IF(S6=$E$41, AVERAGE('1.5°C'!$AF$47:$AF$67),AVERAGE('1.5°C'!$AG$47:$AG$67)))</f>
        <v>0.49996987460526504</v>
      </c>
      <c r="T21" s="71">
        <f xml:space="preserve"> IF(T5=$B$41, IF(T6=$E$41, AVERAGE('1.5°C'!$AA$47:$AA$67), AVERAGE('1.5°C'!$AB$47:$AB$67)), IF(T6=$E$41, AVERAGE('1.5°C'!$AF$47:$AF$67),AVERAGE('1.5°C'!$AG$47:$AG$67)))</f>
        <v>0.49996987460526504</v>
      </c>
      <c r="U21" s="71">
        <f xml:space="preserve"> IF(U5=$B$41, IF(U6=$E$41, AVERAGE('1.5°C'!$AA$47:$AA$67), AVERAGE('1.5°C'!$AB$47:$AB$67)), IF(U6=$E$41, AVERAGE('1.5°C'!$AF$47:$AF$67),AVERAGE('1.5°C'!$AG$47:$AG$67)))</f>
        <v>0.49996987460526504</v>
      </c>
      <c r="V21" s="71">
        <f xml:space="preserve"> IF(V5=$B$41, IF(V6=$E$41, AVERAGE('1.5°C'!$AA$47:$AA$67), AVERAGE('1.5°C'!$AB$47:$AB$67)), IF(V6=$E$41, AVERAGE('1.5°C'!$AF$47:$AF$67),AVERAGE('1.5°C'!$AG$47:$AG$67)))</f>
        <v>0.49996987460526504</v>
      </c>
      <c r="W21" s="71">
        <f xml:space="preserve"> IF(W5=$B$41, IF(W6=$E$41, AVERAGE('1.5°C'!$AA$47:$AA$67), AVERAGE('1.5°C'!$AB$47:$AB$67)), IF(W6=$E$41, AVERAGE('1.5°C'!$AF$47:$AF$67),AVERAGE('1.5°C'!$AG$47:$AG$67)))</f>
        <v>0.49996987460526504</v>
      </c>
      <c r="X21" s="71">
        <f xml:space="preserve"> IF(X5=$B$41, IF(X6=$E$41, AVERAGE('1.5°C'!$AA$47:$AA$67), AVERAGE('1.5°C'!$AB$47:$AB$67)), IF(X6=$E$41, AVERAGE('1.5°C'!$AF$47:$AF$67),AVERAGE('1.5°C'!$AG$47:$AG$67)))</f>
        <v>0.49996987460526504</v>
      </c>
      <c r="Y21" s="71">
        <f xml:space="preserve"> IF(Y5=$B$41, IF(Y6=$E$41, AVERAGE('1.5°C'!$AA$47:$AA$67), AVERAGE('1.5°C'!$AB$47:$AB$67)), IF(Y6=$E$41, AVERAGE('1.5°C'!$AF$47:$AF$67),AVERAGE('1.5°C'!$AG$47:$AG$67)))</f>
        <v>0.49996987460526504</v>
      </c>
      <c r="Z21" s="203">
        <f xml:space="preserve"> IF(Z5=$B$41, IF(Z6=$E$41, AVERAGE('1.5°C'!$AA$47:$AA$67), AVERAGE('1.5°C'!$AB$47:$AB$67)), IF(Z6=$E$41, AVERAGE('1.5°C'!$AF$47:$AF$67),AVERAGE('1.5°C'!$AG$47:$AG$67)))</f>
        <v>0.49996987460526504</v>
      </c>
    </row>
    <row r="22" spans="1:26" x14ac:dyDescent="0.3">
      <c r="A22" t="s">
        <v>315</v>
      </c>
      <c r="B22" s="66" t="s">
        <v>332</v>
      </c>
      <c r="C22" s="67" t="s">
        <v>28</v>
      </c>
      <c r="D22" s="230">
        <f xml:space="preserve"> IF(D5=$B$41, IF(D6=$E$41, VLOOKUP(D7+20, 'Swiss Climate Strategy'!$B$39:$BD$117, 42,FALSE), VLOOKUP(D7+20, 'Swiss Climate Strategy'!$B$39:$BD$117, 43,FALSE)), IF(D6=$E$41, VLOOKUP(D7+20, 'Swiss Climate Strategy'!$B$39:$BD$117, 51,FALSE), VLOOKUP(D7+20, 'Swiss Climate Strategy'!$B$39:$BD$117, 52,FALSE)))</f>
        <v>0.41469957764721316</v>
      </c>
      <c r="E22" s="230">
        <f xml:space="preserve"> IF(E5=$B$41, IF(E6=$E$41, VLOOKUP(E7+20, 'Swiss Climate Strategy'!$B$39:$BD$117, 42,FALSE), VLOOKUP(E7+20, 'Swiss Climate Strategy'!$B$39:$BD$117, 43,FALSE)), IF(E6=$E$41, VLOOKUP(E7+20, 'Swiss Climate Strategy'!$B$39:$BD$117, 51,FALSE), VLOOKUP(E7+20, 'Swiss Climate Strategy'!$B$39:$BD$117, 52,FALSE)))</f>
        <v>0.99944040982840654</v>
      </c>
      <c r="F22" s="230">
        <f xml:space="preserve"> IF(F5=$B$41, IF(F6=$E$41, VLOOKUP(F7+20, 'Swiss Climate Strategy'!$B$39:$BD$117, 42,FALSE), VLOOKUP(F7+20, 'Swiss Climate Strategy'!$B$39:$BD$117, 43,FALSE)), IF(F6=$E$41, VLOOKUP(F7+20, 'Swiss Climate Strategy'!$B$39:$BD$117, 51,FALSE), VLOOKUP(F7+20, 'Swiss Climate Strategy'!$B$39:$BD$117, 52,FALSE)))</f>
        <v>0.28322332478112072</v>
      </c>
      <c r="G22" s="230">
        <f xml:space="preserve"> IF(G5=$B$41, IF(G6=$E$41, VLOOKUP(G7+20, 'Swiss Climate Strategy'!$B$39:$BD$117, 42,FALSE), VLOOKUP(G7+20, 'Swiss Climate Strategy'!$B$39:$BD$117, 43,FALSE)), IF(G6=$E$41, VLOOKUP(G7+20, 'Swiss Climate Strategy'!$B$39:$BD$117, 51,FALSE), VLOOKUP(G7+20, 'Swiss Climate Strategy'!$B$39:$BD$117, 52,FALSE)))</f>
        <v>0</v>
      </c>
      <c r="H22" s="230">
        <f xml:space="preserve"> IF(H5=$B$41, IF(H6=$E$41, VLOOKUP(H7+20, 'Swiss Climate Strategy'!$B$39:$BD$117, 42,FALSE), VLOOKUP(H7+20, 'Swiss Climate Strategy'!$B$39:$BD$117, 43,FALSE)), IF(H6=$E$41, VLOOKUP(H7+20, 'Swiss Climate Strategy'!$B$39:$BD$117, 51,FALSE), VLOOKUP(H7+20, 'Swiss Climate Strategy'!$B$39:$BD$117, 52,FALSE)))</f>
        <v>0</v>
      </c>
      <c r="I22" s="230">
        <f xml:space="preserve"> IF(I5=$B$41, IF(I6=$E$41, VLOOKUP(I7+20, 'Swiss Climate Strategy'!$B$39:$BD$117, 42,FALSE), VLOOKUP(I7+20, 'Swiss Climate Strategy'!$B$39:$BD$117, 43,FALSE)), IF(I6=$E$41, VLOOKUP(I7+20, 'Swiss Climate Strategy'!$B$39:$BD$117, 51,FALSE), VLOOKUP(I7+20, 'Swiss Climate Strategy'!$B$39:$BD$117, 52,FALSE)))</f>
        <v>0</v>
      </c>
      <c r="J22" s="230">
        <f xml:space="preserve"> IF(J5=$B$41, IF(J6=$E$41, VLOOKUP(J7+20, 'Swiss Climate Strategy'!$B$39:$BD$117, 42,FALSE), VLOOKUP(J7+20, 'Swiss Climate Strategy'!$B$39:$BD$117, 43,FALSE)), IF(J6=$E$41, VLOOKUP(J7+20, 'Swiss Climate Strategy'!$B$39:$BD$117, 51,FALSE), VLOOKUP(J7+20, 'Swiss Climate Strategy'!$B$39:$BD$117, 52,FALSE)))</f>
        <v>0</v>
      </c>
      <c r="K22" s="230">
        <f xml:space="preserve"> IF(K5=$B$41, IF(K6=$E$41, VLOOKUP(K7+20, 'Swiss Climate Strategy'!$B$39:$BD$117, 42,FALSE), VLOOKUP(K7+20, 'Swiss Climate Strategy'!$B$39:$BD$117, 43,FALSE)), IF(K6=$E$41, VLOOKUP(K7+20, 'Swiss Climate Strategy'!$B$39:$BD$117, 51,FALSE), VLOOKUP(K7+20, 'Swiss Climate Strategy'!$B$39:$BD$117, 52,FALSE)))</f>
        <v>0</v>
      </c>
      <c r="L22" s="230">
        <f xml:space="preserve"> IF(L5=$B$41, IF(L6=$E$41, VLOOKUP(L7+20, 'Swiss Climate Strategy'!$B$39:$BD$117, 42,FALSE), VLOOKUP(L7+20, 'Swiss Climate Strategy'!$B$39:$BD$117, 43,FALSE)), IF(L6=$E$41, VLOOKUP(L7+20, 'Swiss Climate Strategy'!$B$39:$BD$117, 51,FALSE), VLOOKUP(L7+20, 'Swiss Climate Strategy'!$B$39:$BD$117, 52,FALSE)))</f>
        <v>0</v>
      </c>
      <c r="M22" s="230">
        <f xml:space="preserve"> IF(M5=$B$41, IF(M6=$E$41, VLOOKUP(M7+20, 'Swiss Climate Strategy'!$B$39:$BD$117, 42,FALSE), VLOOKUP(M7+20, 'Swiss Climate Strategy'!$B$39:$BD$117, 43,FALSE)), IF(M6=$E$41, VLOOKUP(M7+20, 'Swiss Climate Strategy'!$B$39:$BD$117, 51,FALSE), VLOOKUP(M7+20, 'Swiss Climate Strategy'!$B$39:$BD$117, 52,FALSE)))</f>
        <v>0</v>
      </c>
      <c r="O22" s="19"/>
      <c r="P22" s="70"/>
      <c r="Z22" s="5"/>
    </row>
    <row r="23" spans="1:26" x14ac:dyDescent="0.3">
      <c r="A23" t="s">
        <v>315</v>
      </c>
      <c r="B23" s="66" t="s">
        <v>317</v>
      </c>
      <c r="C23" s="67" t="s">
        <v>28</v>
      </c>
      <c r="D23" s="230">
        <f>AVERAGE(D21,D22,0)</f>
        <v>1.0000717718946037</v>
      </c>
      <c r="E23" s="230">
        <f t="shared" ref="E23:M23" si="7">AVERAGE(E21,E22,0)</f>
        <v>2.6540375574048563</v>
      </c>
      <c r="F23" s="230">
        <f t="shared" si="7"/>
        <v>1.8227456927637933</v>
      </c>
      <c r="G23" s="230">
        <f t="shared" si="7"/>
        <v>1.1971471066463557</v>
      </c>
      <c r="H23" s="230">
        <f t="shared" si="7"/>
        <v>0.93958237063226691</v>
      </c>
      <c r="I23" s="230">
        <f t="shared" si="7"/>
        <v>0.79107157874101564</v>
      </c>
      <c r="J23" s="230">
        <f t="shared" si="7"/>
        <v>0.64849648416946759</v>
      </c>
      <c r="K23" s="230">
        <f t="shared" si="7"/>
        <v>0.49526296539248144</v>
      </c>
      <c r="L23" s="230">
        <f t="shared" si="7"/>
        <v>0.18999468338514872</v>
      </c>
      <c r="M23" s="230">
        <f t="shared" si="7"/>
        <v>9.4407774927040236E-2</v>
      </c>
      <c r="O23" s="19"/>
      <c r="P23" s="70"/>
      <c r="Z23" s="5"/>
    </row>
    <row r="24" spans="1:26" x14ac:dyDescent="0.3">
      <c r="B24" s="19"/>
      <c r="C24" s="70"/>
      <c r="M24" s="5"/>
      <c r="O24" s="19"/>
      <c r="P24" s="70"/>
      <c r="Z24" s="5"/>
    </row>
    <row r="25" spans="1:26" x14ac:dyDescent="0.3">
      <c r="B25" s="19"/>
      <c r="C25" s="70"/>
      <c r="D25" s="35" t="s">
        <v>30</v>
      </c>
      <c r="M25" s="5"/>
      <c r="O25" s="19"/>
      <c r="P25" s="70"/>
      <c r="Q25" s="35" t="s">
        <v>30</v>
      </c>
      <c r="Z25" s="5"/>
    </row>
    <row r="26" spans="1:26" x14ac:dyDescent="0.3">
      <c r="B26" s="66" t="s">
        <v>31</v>
      </c>
      <c r="C26" s="67" t="s">
        <v>32</v>
      </c>
      <c r="D26" s="71">
        <f>D27+D28</f>
        <v>4689.0437938005771</v>
      </c>
      <c r="M26" s="5"/>
      <c r="O26" s="66" t="s">
        <v>31</v>
      </c>
      <c r="P26" s="67" t="s">
        <v>32</v>
      </c>
      <c r="Q26" s="71">
        <f>Q27+Q28</f>
        <v>2428.6190155480217</v>
      </c>
      <c r="Z26" s="5"/>
    </row>
    <row r="27" spans="1:26" x14ac:dyDescent="0.3">
      <c r="A27" t="s">
        <v>322</v>
      </c>
      <c r="B27" s="66" t="s">
        <v>33</v>
      </c>
      <c r="C27" s="67" t="s">
        <v>32</v>
      </c>
      <c r="D27" s="71">
        <f>SUM(D18:M18)/1000</f>
        <v>4223.0453593695847</v>
      </c>
      <c r="M27" s="5"/>
      <c r="O27" s="66" t="s">
        <v>33</v>
      </c>
      <c r="P27" s="67" t="s">
        <v>32</v>
      </c>
      <c r="Q27" s="71">
        <f>SUM(Q18:Z18)/1000</f>
        <v>2372.560720110785</v>
      </c>
      <c r="Z27" s="5"/>
    </row>
    <row r="28" spans="1:26" x14ac:dyDescent="0.3">
      <c r="A28" t="s">
        <v>315</v>
      </c>
      <c r="B28" s="66" t="s">
        <v>34</v>
      </c>
      <c r="C28" s="67" t="s">
        <v>32</v>
      </c>
      <c r="D28" s="71">
        <f>SUM('Background graphEXPL_CH'!Y5:Y33)/1000</f>
        <v>465.99843443099246</v>
      </c>
      <c r="M28" s="5"/>
      <c r="O28" s="66" t="s">
        <v>34</v>
      </c>
      <c r="P28" s="67" t="s">
        <v>32</v>
      </c>
      <c r="Q28" s="71">
        <f>SUM('Background graphEXPL_1.5'!Y4:Y32)/1000</f>
        <v>56.058295437236694</v>
      </c>
      <c r="Z28" s="5"/>
    </row>
    <row r="29" spans="1:26" x14ac:dyDescent="0.3">
      <c r="B29" s="2"/>
      <c r="D29" s="23"/>
      <c r="E29" s="25"/>
      <c r="M29" s="5"/>
      <c r="O29" s="2"/>
      <c r="Z29" s="5"/>
    </row>
    <row r="30" spans="1:26" x14ac:dyDescent="0.3">
      <c r="B30" s="2"/>
      <c r="M30" s="5"/>
      <c r="O30" s="2"/>
      <c r="Z30" s="5"/>
    </row>
    <row r="31" spans="1:26" x14ac:dyDescent="0.3">
      <c r="B31" s="2"/>
      <c r="M31" s="5"/>
      <c r="O31" s="2"/>
      <c r="Z31" s="5"/>
    </row>
    <row r="32" spans="1:26" x14ac:dyDescent="0.3">
      <c r="B32" s="2"/>
      <c r="M32" s="5"/>
      <c r="O32" s="2"/>
      <c r="Z32" s="5"/>
    </row>
    <row r="33" spans="2:26" x14ac:dyDescent="0.3">
      <c r="B33" s="2"/>
      <c r="M33" s="5"/>
      <c r="O33" s="2"/>
      <c r="Z33" s="5"/>
    </row>
    <row r="34" spans="2:26" x14ac:dyDescent="0.3">
      <c r="B34" s="2"/>
      <c r="M34" s="5"/>
      <c r="O34" s="2"/>
      <c r="Z34" s="5"/>
    </row>
    <row r="35" spans="2:26" ht="15" customHeight="1" x14ac:dyDescent="0.3">
      <c r="B35" s="2"/>
      <c r="M35" s="5"/>
      <c r="O35" s="2"/>
      <c r="Z35" s="5"/>
    </row>
    <row r="36" spans="2:26" x14ac:dyDescent="0.3">
      <c r="B36" s="2"/>
      <c r="M36" s="5"/>
      <c r="O36" s="2"/>
      <c r="Z36" s="5"/>
    </row>
    <row r="37" spans="2:26" x14ac:dyDescent="0.3">
      <c r="B37" s="2"/>
      <c r="M37" s="5"/>
      <c r="O37" s="2"/>
      <c r="Z37" s="5"/>
    </row>
    <row r="38" spans="2:26" x14ac:dyDescent="0.3">
      <c r="B38" s="2"/>
      <c r="M38" s="5"/>
      <c r="O38" s="2"/>
      <c r="Z38" s="5"/>
    </row>
    <row r="39" spans="2:26" x14ac:dyDescent="0.3">
      <c r="B39" s="73" t="s">
        <v>35</v>
      </c>
      <c r="C39" s="46"/>
      <c r="D39" s="46"/>
      <c r="E39" s="32"/>
      <c r="M39" s="5"/>
      <c r="O39" s="2"/>
      <c r="Z39" s="5"/>
    </row>
    <row r="40" spans="2:26" x14ac:dyDescent="0.3">
      <c r="B40" s="2" t="s">
        <v>8</v>
      </c>
      <c r="D40" t="s">
        <v>1</v>
      </c>
      <c r="E40" s="59" t="s">
        <v>11</v>
      </c>
      <c r="M40" s="5"/>
      <c r="O40" s="2"/>
      <c r="Z40" s="5"/>
    </row>
    <row r="41" spans="2:26" x14ac:dyDescent="0.3">
      <c r="B41" s="2" t="s">
        <v>10</v>
      </c>
      <c r="D41" t="s">
        <v>2</v>
      </c>
      <c r="E41" s="59" t="s">
        <v>12</v>
      </c>
      <c r="M41" s="5"/>
      <c r="O41" s="2"/>
      <c r="Z41" s="5"/>
    </row>
    <row r="42" spans="2:26" x14ac:dyDescent="0.3">
      <c r="B42" s="74" t="s">
        <v>9</v>
      </c>
      <c r="C42" s="48"/>
      <c r="D42" s="48" t="s">
        <v>3</v>
      </c>
      <c r="E42" s="60" t="s">
        <v>36</v>
      </c>
      <c r="M42" s="5"/>
      <c r="O42" s="2"/>
      <c r="Z42" s="5"/>
    </row>
    <row r="43" spans="2:26" x14ac:dyDescent="0.3">
      <c r="B43" s="2"/>
      <c r="M43" s="5"/>
      <c r="O43" s="2"/>
      <c r="Z43" s="5"/>
    </row>
    <row r="44" spans="2:26" x14ac:dyDescent="0.3">
      <c r="B44" s="2"/>
      <c r="M44" s="5"/>
      <c r="O44" s="2"/>
      <c r="Z44" s="5"/>
    </row>
    <row r="45" spans="2:26" x14ac:dyDescent="0.3">
      <c r="B45" s="2"/>
      <c r="M45" s="5"/>
      <c r="O45" s="2"/>
      <c r="Z45" s="5"/>
    </row>
    <row r="46" spans="2:26" x14ac:dyDescent="0.3">
      <c r="B46" s="2"/>
      <c r="M46" s="5"/>
      <c r="O46" s="2"/>
      <c r="Z46" s="5"/>
    </row>
    <row r="47" spans="2:26" x14ac:dyDescent="0.3">
      <c r="B47" s="2"/>
      <c r="M47" s="5"/>
      <c r="O47" s="2"/>
      <c r="Z47" s="5"/>
    </row>
    <row r="48" spans="2:26" x14ac:dyDescent="0.3">
      <c r="B48" s="2"/>
      <c r="M48" s="5"/>
      <c r="O48" s="2"/>
      <c r="Z48" s="5"/>
    </row>
    <row r="49" spans="2:26" x14ac:dyDescent="0.3">
      <c r="B49" s="2"/>
      <c r="M49" s="5"/>
      <c r="O49" s="2"/>
      <c r="Z49" s="5"/>
    </row>
    <row r="50" spans="2:26" x14ac:dyDescent="0.3">
      <c r="B50" s="2"/>
      <c r="M50" s="5"/>
      <c r="O50" s="2"/>
      <c r="Z50" s="5"/>
    </row>
    <row r="51" spans="2:26" x14ac:dyDescent="0.3">
      <c r="B51" s="2"/>
      <c r="M51" s="5"/>
      <c r="O51" s="2"/>
      <c r="Z51" s="5"/>
    </row>
    <row r="52" spans="2:26" x14ac:dyDescent="0.3">
      <c r="B52" s="2"/>
      <c r="M52" s="5"/>
      <c r="O52" s="2"/>
      <c r="Z52" s="5"/>
    </row>
    <row r="53" spans="2:26" x14ac:dyDescent="0.3">
      <c r="B53" s="2"/>
      <c r="M53" s="5"/>
      <c r="O53" s="2"/>
      <c r="Z53" s="5"/>
    </row>
    <row r="54" spans="2:26" x14ac:dyDescent="0.3">
      <c r="B54" s="2"/>
      <c r="M54" s="5"/>
      <c r="O54" s="2"/>
      <c r="Z54" s="5"/>
    </row>
    <row r="55" spans="2:26" x14ac:dyDescent="0.3">
      <c r="B55" s="2"/>
      <c r="M55" s="5"/>
      <c r="O55" s="2"/>
      <c r="Z55" s="5"/>
    </row>
    <row r="56" spans="2:26" x14ac:dyDescent="0.3">
      <c r="B56" s="2"/>
      <c r="M56" s="5"/>
      <c r="O56" s="2"/>
      <c r="Z56" s="5"/>
    </row>
    <row r="57" spans="2:26" x14ac:dyDescent="0.3">
      <c r="B57" s="2"/>
      <c r="M57" s="5"/>
      <c r="O57" s="2"/>
      <c r="Z57" s="5"/>
    </row>
    <row r="58" spans="2:26" ht="15" thickBot="1" x14ac:dyDescent="0.35">
      <c r="B58" s="6"/>
      <c r="C58" s="7"/>
      <c r="D58" s="7"/>
      <c r="E58" s="7"/>
      <c r="F58" s="7"/>
      <c r="G58" s="7"/>
      <c r="H58" s="7"/>
      <c r="I58" s="7"/>
      <c r="J58" s="7"/>
      <c r="K58" s="7"/>
      <c r="L58" s="7"/>
      <c r="M58" s="8"/>
      <c r="O58" s="6"/>
      <c r="P58" s="7"/>
      <c r="Q58" s="7"/>
      <c r="R58" s="7"/>
      <c r="S58" s="7"/>
      <c r="T58" s="7"/>
      <c r="U58" s="7"/>
      <c r="V58" s="7"/>
      <c r="W58" s="7"/>
      <c r="X58" s="7"/>
      <c r="Y58" s="7"/>
      <c r="Z58" s="8"/>
    </row>
    <row r="61" spans="2:26" x14ac:dyDescent="0.3">
      <c r="B61" t="s">
        <v>347</v>
      </c>
    </row>
    <row r="62" spans="2:26" x14ac:dyDescent="0.3">
      <c r="B62" t="s">
        <v>341</v>
      </c>
      <c r="C62">
        <f>9*60</f>
        <v>540</v>
      </c>
    </row>
    <row r="63" spans="2:26" x14ac:dyDescent="0.3">
      <c r="B63" t="s">
        <v>342</v>
      </c>
      <c r="C63">
        <f>4*60</f>
        <v>240</v>
      </c>
    </row>
    <row r="66" spans="2:3" x14ac:dyDescent="0.3">
      <c r="B66" t="s">
        <v>343</v>
      </c>
    </row>
    <row r="67" spans="2:3" x14ac:dyDescent="0.3">
      <c r="B67" t="s">
        <v>341</v>
      </c>
      <c r="C67">
        <f>9*60</f>
        <v>540</v>
      </c>
    </row>
    <row r="68" spans="2:3" x14ac:dyDescent="0.3">
      <c r="B68" t="s">
        <v>342</v>
      </c>
      <c r="C68">
        <f>3*60</f>
        <v>180</v>
      </c>
    </row>
    <row r="71" spans="2:3" x14ac:dyDescent="0.3">
      <c r="B71" t="s">
        <v>345</v>
      </c>
      <c r="C71">
        <f>8*60</f>
        <v>480</v>
      </c>
    </row>
    <row r="72" spans="2:3" x14ac:dyDescent="0.3">
      <c r="B72" t="s">
        <v>344</v>
      </c>
      <c r="C72">
        <f>10*60</f>
        <v>600</v>
      </c>
    </row>
    <row r="73" spans="2:3" x14ac:dyDescent="0.3">
      <c r="B73" t="s">
        <v>346</v>
      </c>
      <c r="C73">
        <f>11*60</f>
        <v>660</v>
      </c>
    </row>
    <row r="90" spans="4:4" x14ac:dyDescent="0.3">
      <c r="D90" s="52"/>
    </row>
  </sheetData>
  <mergeCells count="3">
    <mergeCell ref="C1:E1"/>
    <mergeCell ref="D2:F2"/>
    <mergeCell ref="Q2:R2"/>
  </mergeCells>
  <dataValidations count="2">
    <dataValidation type="list" allowBlank="1" showInputMessage="1" showErrorMessage="1" sqref="D6:M6" xr:uid="{8585FAC7-6689-4F3E-B6A0-2C9D6C8593E2}">
      <formula1>$E$41:$E$42</formula1>
    </dataValidation>
    <dataValidation type="list" allowBlank="1" showInputMessage="1" showErrorMessage="1" sqref="D5:M5" xr:uid="{018E1B7F-D74B-4127-A972-B713E483AB80}">
      <formula1>$B$41:$B$42</formula1>
    </dataValidation>
  </dataValidation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3AA-1405-40BC-93D3-011287E01CA9}">
  <dimension ref="A1:N15"/>
  <sheetViews>
    <sheetView tabSelected="1" workbookViewId="0">
      <selection activeCell="H18" sqref="H18"/>
    </sheetView>
  </sheetViews>
  <sheetFormatPr baseColWidth="10" defaultRowHeight="14.4" x14ac:dyDescent="0.3"/>
  <cols>
    <col min="1" max="1" width="26.44140625" customWidth="1"/>
    <col min="2" max="2" width="12.88671875" bestFit="1" customWidth="1"/>
  </cols>
  <sheetData>
    <row r="1" spans="1:14" ht="69" customHeight="1" x14ac:dyDescent="0.3">
      <c r="A1" s="17"/>
      <c r="B1" s="288" t="s">
        <v>0</v>
      </c>
      <c r="C1" s="288"/>
      <c r="D1" s="288"/>
      <c r="E1" s="22"/>
      <c r="F1" s="222"/>
      <c r="G1" s="22"/>
      <c r="H1" s="22"/>
      <c r="I1" s="22"/>
      <c r="J1" s="22"/>
      <c r="K1" s="22"/>
      <c r="L1" s="18"/>
    </row>
    <row r="2" spans="1:14" ht="18" x14ac:dyDescent="0.35">
      <c r="A2" s="66" t="s">
        <v>1</v>
      </c>
      <c r="B2" s="61"/>
      <c r="C2" s="289" t="s">
        <v>2</v>
      </c>
      <c r="D2" s="289"/>
      <c r="E2" s="289"/>
      <c r="L2" s="5"/>
    </row>
    <row r="3" spans="1:14" x14ac:dyDescent="0.3">
      <c r="A3" s="2"/>
      <c r="B3" t="s">
        <v>4</v>
      </c>
      <c r="C3" s="35"/>
      <c r="L3" s="5"/>
    </row>
    <row r="4" spans="1:14" x14ac:dyDescent="0.3">
      <c r="A4" s="66" t="s">
        <v>6</v>
      </c>
      <c r="B4" s="67" t="s">
        <v>7</v>
      </c>
      <c r="C4" s="62">
        <v>1</v>
      </c>
      <c r="D4" s="62">
        <v>2</v>
      </c>
      <c r="E4" s="62">
        <v>3</v>
      </c>
      <c r="F4" s="62">
        <v>4</v>
      </c>
      <c r="G4" s="62">
        <v>5</v>
      </c>
      <c r="H4" s="62">
        <v>6</v>
      </c>
      <c r="I4" s="62">
        <v>7</v>
      </c>
      <c r="J4" s="62">
        <v>8</v>
      </c>
      <c r="K4" s="62">
        <v>9</v>
      </c>
      <c r="L4" s="68">
        <v>10</v>
      </c>
      <c r="M4" t="s">
        <v>303</v>
      </c>
    </row>
    <row r="5" spans="1:14" x14ac:dyDescent="0.3">
      <c r="A5" s="1" t="s">
        <v>300</v>
      </c>
    </row>
    <row r="6" spans="1:14" x14ac:dyDescent="0.3">
      <c r="A6" s="61" t="s">
        <v>54</v>
      </c>
      <c r="B6" s="67" t="s">
        <v>28</v>
      </c>
      <c r="C6" s="231">
        <f>'Outil Cibles'!D21</f>
        <v>2.5855157380365981</v>
      </c>
      <c r="D6" s="231">
        <f>'Outil Cibles'!E21</f>
        <v>6.9626722623861621</v>
      </c>
      <c r="E6" s="231">
        <f>'Outil Cibles'!F21</f>
        <v>5.1850137535102592</v>
      </c>
      <c r="F6" s="231">
        <f>'Outil Cibles'!G21</f>
        <v>3.5914413199390673</v>
      </c>
      <c r="G6" s="231">
        <f>'Outil Cibles'!H21</f>
        <v>2.8187471118968008</v>
      </c>
      <c r="H6" s="231">
        <f>'Outil Cibles'!I21</f>
        <v>2.3732147362230469</v>
      </c>
      <c r="I6" s="231">
        <f>'Outil Cibles'!J21</f>
        <v>1.9454894525084028</v>
      </c>
      <c r="J6" s="231">
        <f>'Outil Cibles'!K21</f>
        <v>1.4857888961774444</v>
      </c>
      <c r="K6" s="231">
        <f>'Outil Cibles'!L21</f>
        <v>0.56998405015544618</v>
      </c>
      <c r="L6" s="231">
        <f>'Outil Cibles'!M21</f>
        <v>0.28322332478112072</v>
      </c>
    </row>
    <row r="7" spans="1:14" x14ac:dyDescent="0.3">
      <c r="A7" s="61" t="s">
        <v>301</v>
      </c>
      <c r="B7" s="67" t="s">
        <v>20</v>
      </c>
      <c r="C7" s="232">
        <f>'Outil Cibles'!D$11</f>
        <v>478.96211255367052</v>
      </c>
      <c r="D7" s="232">
        <f>'Outil Cibles'!E$11</f>
        <v>423.48890835140691</v>
      </c>
      <c r="E7" s="232">
        <f>'Outil Cibles'!F$11</f>
        <v>374.06854553324115</v>
      </c>
      <c r="F7" s="232">
        <f>'Outil Cibles'!G$11</f>
        <v>311.04320690378205</v>
      </c>
      <c r="G7" s="232">
        <f>'Outil Cibles'!H$11</f>
        <v>275.56062827607457</v>
      </c>
      <c r="H7" s="232">
        <f>'Outil Cibles'!I$11</f>
        <v>252.35602516880044</v>
      </c>
      <c r="I7" s="232">
        <f>'Outil Cibles'!J$11</f>
        <v>230.79781632642164</v>
      </c>
      <c r="J7" s="232">
        <f>'Outil Cibles'!K$11</f>
        <v>212.79234281701181</v>
      </c>
      <c r="K7" s="232">
        <f>'Outil Cibles'!L$11</f>
        <v>157.68796679973201</v>
      </c>
      <c r="L7" s="232">
        <f>'Outil Cibles'!M$11</f>
        <v>142.03696208901502</v>
      </c>
      <c r="M7">
        <v>0</v>
      </c>
    </row>
    <row r="8" spans="1:14" x14ac:dyDescent="0.3">
      <c r="B8" s="67" t="s">
        <v>32</v>
      </c>
      <c r="C8" s="265">
        <f>(C7*C12)/1000</f>
        <v>478.96211255367052</v>
      </c>
      <c r="D8" s="265">
        <f t="shared" ref="D8:L8" si="0">(D7*D12)/1000</f>
        <v>423.48890835140691</v>
      </c>
      <c r="E8" s="265">
        <f t="shared" si="0"/>
        <v>374.06854553324115</v>
      </c>
      <c r="F8" s="265">
        <f t="shared" si="0"/>
        <v>311.04320690378205</v>
      </c>
      <c r="G8" s="265">
        <f t="shared" si="0"/>
        <v>275.56062827607451</v>
      </c>
      <c r="H8" s="265">
        <f t="shared" si="0"/>
        <v>252.35602516880044</v>
      </c>
      <c r="I8" s="265">
        <f t="shared" si="0"/>
        <v>230.79781632642164</v>
      </c>
      <c r="J8" s="265">
        <f t="shared" si="0"/>
        <v>212.79234281701181</v>
      </c>
      <c r="K8" s="265">
        <f t="shared" si="0"/>
        <v>157.68796679973201</v>
      </c>
      <c r="L8" s="265">
        <f t="shared" si="0"/>
        <v>142.03696208901502</v>
      </c>
      <c r="N8" s="23">
        <f>SUM(C8:L8)</f>
        <v>2858.7945148191561</v>
      </c>
    </row>
    <row r="9" spans="1:14" ht="15" thickBot="1" x14ac:dyDescent="0.35">
      <c r="A9" s="1" t="s">
        <v>302</v>
      </c>
      <c r="C9" s="266" t="s">
        <v>340</v>
      </c>
    </row>
    <row r="10" spans="1:14" x14ac:dyDescent="0.3">
      <c r="A10" s="233" t="s">
        <v>54</v>
      </c>
      <c r="B10" s="234" t="s">
        <v>28</v>
      </c>
      <c r="C10" s="253">
        <v>2</v>
      </c>
      <c r="D10" s="253">
        <v>2</v>
      </c>
      <c r="E10" s="253">
        <v>2</v>
      </c>
      <c r="F10" s="253">
        <v>1</v>
      </c>
      <c r="G10" s="253">
        <v>0</v>
      </c>
      <c r="H10" s="253">
        <v>0</v>
      </c>
      <c r="I10" s="253">
        <v>0</v>
      </c>
      <c r="J10" s="253">
        <v>0</v>
      </c>
      <c r="K10" s="253">
        <v>0</v>
      </c>
      <c r="L10" s="254">
        <v>0</v>
      </c>
    </row>
    <row r="11" spans="1:14" ht="15" thickBot="1" x14ac:dyDescent="0.35">
      <c r="A11" s="236" t="s">
        <v>301</v>
      </c>
      <c r="B11" s="237" t="s">
        <v>20</v>
      </c>
      <c r="C11" s="255">
        <v>500</v>
      </c>
      <c r="D11" s="255">
        <v>400</v>
      </c>
      <c r="E11" s="255">
        <v>300</v>
      </c>
      <c r="F11" s="255">
        <v>300</v>
      </c>
      <c r="G11" s="255">
        <v>200</v>
      </c>
      <c r="H11" s="255">
        <v>200</v>
      </c>
      <c r="I11" s="255">
        <v>200</v>
      </c>
      <c r="J11" s="255">
        <v>200</v>
      </c>
      <c r="K11" s="255">
        <v>100</v>
      </c>
      <c r="L11" s="255">
        <v>100</v>
      </c>
      <c r="M11" s="11"/>
    </row>
    <row r="12" spans="1:14" x14ac:dyDescent="0.3">
      <c r="A12" s="61" t="s">
        <v>279</v>
      </c>
      <c r="C12" s="263">
        <f>'Outil Cibles'!D8</f>
        <v>1000</v>
      </c>
      <c r="D12" s="263">
        <f>'Outil Cibles'!E8</f>
        <v>1000</v>
      </c>
      <c r="E12" s="263">
        <f>'Outil Cibles'!F8</f>
        <v>1000</v>
      </c>
      <c r="F12" s="263">
        <f>'Outil Cibles'!G8</f>
        <v>1000</v>
      </c>
      <c r="G12" s="263">
        <f>'Outil Cibles'!H8</f>
        <v>1000</v>
      </c>
      <c r="H12" s="263">
        <f>'Outil Cibles'!I8</f>
        <v>1000</v>
      </c>
      <c r="I12" s="263">
        <f>'Outil Cibles'!J8</f>
        <v>1000</v>
      </c>
      <c r="J12" s="263">
        <f>'Outil Cibles'!K8</f>
        <v>1000</v>
      </c>
      <c r="K12" s="263">
        <f>'Outil Cibles'!L8</f>
        <v>1000</v>
      </c>
      <c r="L12" s="263">
        <f>'Outil Cibles'!M8</f>
        <v>1000</v>
      </c>
      <c r="M12" s="28">
        <f>SUM(C12:L12)</f>
        <v>10000</v>
      </c>
    </row>
    <row r="13" spans="1:14" x14ac:dyDescent="0.3">
      <c r="A13" s="61"/>
      <c r="B13" s="67" t="s">
        <v>32</v>
      </c>
      <c r="C13" s="186">
        <f>(C11*C12)/1000</f>
        <v>500</v>
      </c>
      <c r="D13" s="186">
        <f t="shared" ref="D13:L13" si="1">(D11*D12)/1000</f>
        <v>400</v>
      </c>
      <c r="E13" s="186">
        <f t="shared" si="1"/>
        <v>300</v>
      </c>
      <c r="F13" s="186">
        <f t="shared" si="1"/>
        <v>300</v>
      </c>
      <c r="G13" s="186">
        <f t="shared" si="1"/>
        <v>200</v>
      </c>
      <c r="H13" s="186">
        <f t="shared" si="1"/>
        <v>200</v>
      </c>
      <c r="I13" s="186">
        <f t="shared" si="1"/>
        <v>200</v>
      </c>
      <c r="J13" s="186">
        <f t="shared" si="1"/>
        <v>200</v>
      </c>
      <c r="K13" s="186">
        <f t="shared" si="1"/>
        <v>100</v>
      </c>
      <c r="L13" s="186">
        <f t="shared" si="1"/>
        <v>100</v>
      </c>
      <c r="M13">
        <f>N8-N13</f>
        <v>358.79451481915612</v>
      </c>
      <c r="N13">
        <f>SUM(C13:L13)</f>
        <v>2500</v>
      </c>
    </row>
    <row r="15" spans="1:14" x14ac:dyDescent="0.3">
      <c r="A15" s="186" t="s">
        <v>309</v>
      </c>
      <c r="B15" s="264">
        <f>'Outil Cibles'!D27</f>
        <v>2991.4669890326873</v>
      </c>
      <c r="C15" s="264">
        <f>B15-C13</f>
        <v>2491.4669890326873</v>
      </c>
      <c r="D15" s="264">
        <f t="shared" ref="D15:L15" si="2">C15-D13</f>
        <v>2091.4669890326873</v>
      </c>
      <c r="E15" s="264">
        <f t="shared" si="2"/>
        <v>1791.4669890326873</v>
      </c>
      <c r="F15" s="264">
        <f t="shared" si="2"/>
        <v>1491.4669890326873</v>
      </c>
      <c r="G15" s="264">
        <f t="shared" si="2"/>
        <v>1291.4669890326873</v>
      </c>
      <c r="H15" s="264">
        <f t="shared" si="2"/>
        <v>1091.4669890326873</v>
      </c>
      <c r="I15" s="264">
        <f t="shared" si="2"/>
        <v>891.46698903268725</v>
      </c>
      <c r="J15" s="264">
        <f t="shared" si="2"/>
        <v>691.46698903268725</v>
      </c>
      <c r="K15" s="264">
        <f t="shared" si="2"/>
        <v>591.46698903268725</v>
      </c>
      <c r="L15" s="264">
        <f t="shared" si="2"/>
        <v>491.46698903268725</v>
      </c>
    </row>
  </sheetData>
  <mergeCells count="2">
    <mergeCell ref="B1:D1"/>
    <mergeCell ref="C2:E2"/>
  </mergeCells>
  <conditionalFormatting sqref="C10:L10">
    <cfRule type="cellIs" dxfId="3" priority="4" operator="lessThan">
      <formula>C6</formula>
    </cfRule>
    <cfRule type="cellIs" dxfId="2" priority="5" operator="greaterThan">
      <formula>C6</formula>
    </cfRule>
  </conditionalFormatting>
  <conditionalFormatting sqref="C11:M11">
    <cfRule type="cellIs" dxfId="1" priority="2" operator="lessThan">
      <formula>C7</formula>
    </cfRule>
    <cfRule type="cellIs" dxfId="0" priority="3" operator="greaterThan">
      <formula>C7</formula>
    </cfRule>
  </conditionalFormatting>
  <conditionalFormatting sqref="M13">
    <cfRule type="colorScale" priority="1">
      <colorScale>
        <cfvo type="min"/>
        <cfvo type="max"/>
        <color rgb="FFFF0000"/>
        <color rgb="FF00B050"/>
      </colorScale>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61AF6-C778-4310-9D05-5BC37AED2DDA}">
  <dimension ref="A1:BD429"/>
  <sheetViews>
    <sheetView topLeftCell="A40" zoomScale="70" zoomScaleNormal="70" workbookViewId="0">
      <selection activeCell="O37" sqref="O37:O67"/>
    </sheetView>
  </sheetViews>
  <sheetFormatPr baseColWidth="10" defaultColWidth="11.44140625" defaultRowHeight="14.4" x14ac:dyDescent="0.3"/>
  <cols>
    <col min="1" max="1" width="10.109375" customWidth="1"/>
    <col min="8" max="8" width="12.44140625" customWidth="1"/>
    <col min="11" max="11" width="13" bestFit="1" customWidth="1"/>
    <col min="18" max="18" width="12" bestFit="1" customWidth="1"/>
    <col min="23" max="24" width="11.44140625" customWidth="1"/>
    <col min="27" max="27" width="4.44140625" customWidth="1"/>
    <col min="28" max="28" width="6" customWidth="1"/>
    <col min="29" max="30" width="9.88671875" customWidth="1"/>
  </cols>
  <sheetData>
    <row r="1" spans="1:56" ht="14.4" customHeight="1" x14ac:dyDescent="0.3">
      <c r="A1" s="294" t="s">
        <v>227</v>
      </c>
      <c r="B1" s="294"/>
      <c r="C1" s="294"/>
      <c r="D1" s="294"/>
      <c r="E1" s="294"/>
      <c r="F1" s="294"/>
      <c r="G1" s="294"/>
      <c r="H1" s="294"/>
      <c r="I1" s="294"/>
      <c r="V1" s="183"/>
      <c r="Y1" t="s">
        <v>292</v>
      </c>
    </row>
    <row r="2" spans="1:56" ht="12.6" customHeight="1" thickBot="1" x14ac:dyDescent="0.35">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c r="AH2">
        <v>33</v>
      </c>
      <c r="AI2">
        <v>34</v>
      </c>
      <c r="AJ2">
        <v>35</v>
      </c>
      <c r="AK2">
        <v>36</v>
      </c>
      <c r="AL2">
        <v>37</v>
      </c>
      <c r="AM2">
        <v>38</v>
      </c>
      <c r="AN2">
        <v>39</v>
      </c>
      <c r="AO2">
        <v>40</v>
      </c>
      <c r="AP2">
        <v>41</v>
      </c>
      <c r="AQ2">
        <v>42</v>
      </c>
      <c r="AR2">
        <v>43</v>
      </c>
      <c r="AS2">
        <v>44</v>
      </c>
      <c r="AT2">
        <v>45</v>
      </c>
      <c r="AU2">
        <v>46</v>
      </c>
      <c r="AV2">
        <v>47</v>
      </c>
      <c r="AW2">
        <v>48</v>
      </c>
      <c r="AX2">
        <v>49</v>
      </c>
      <c r="AY2">
        <v>50</v>
      </c>
      <c r="AZ2">
        <v>51</v>
      </c>
      <c r="BA2">
        <v>52</v>
      </c>
    </row>
    <row r="3" spans="1:56" ht="15" thickBot="1" x14ac:dyDescent="0.35">
      <c r="B3" t="s">
        <v>330</v>
      </c>
      <c r="E3" s="9"/>
      <c r="F3" s="9"/>
      <c r="L3" s="295" t="s">
        <v>229</v>
      </c>
      <c r="M3" s="296"/>
      <c r="N3" s="275"/>
      <c r="U3" s="187">
        <v>0.74</v>
      </c>
      <c r="V3" s="187">
        <f>100%-U3</f>
        <v>0.26</v>
      </c>
      <c r="W3" s="187">
        <f>100%-X3</f>
        <v>0.26</v>
      </c>
      <c r="X3" s="187">
        <v>0.74</v>
      </c>
      <c r="Y3">
        <v>60</v>
      </c>
      <c r="Z3" t="s">
        <v>237</v>
      </c>
    </row>
    <row r="4" spans="1:56" ht="15" thickBot="1" x14ac:dyDescent="0.35">
      <c r="C4" s="301" t="s">
        <v>331</v>
      </c>
      <c r="D4" s="301"/>
      <c r="E4" s="301"/>
      <c r="F4" s="301"/>
      <c r="G4" s="301"/>
      <c r="H4" s="301"/>
      <c r="L4" s="297" t="s">
        <v>216</v>
      </c>
      <c r="M4" s="298"/>
      <c r="N4" s="143"/>
      <c r="O4" s="297" t="s">
        <v>216</v>
      </c>
      <c r="P4" s="298"/>
      <c r="Q4" s="299" t="s">
        <v>233</v>
      </c>
      <c r="R4" s="290"/>
      <c r="S4" s="290"/>
      <c r="T4" s="274"/>
      <c r="U4" s="267"/>
      <c r="V4" s="290" t="s">
        <v>233</v>
      </c>
      <c r="W4" s="290"/>
      <c r="X4" s="269"/>
      <c r="Y4" s="290" t="s">
        <v>235</v>
      </c>
      <c r="Z4" s="292"/>
      <c r="AC4" s="1" t="s">
        <v>54</v>
      </c>
      <c r="AD4" s="1"/>
      <c r="AN4" s="1" t="s">
        <v>293</v>
      </c>
    </row>
    <row r="5" spans="1:56" ht="15" thickBot="1" x14ac:dyDescent="0.35">
      <c r="A5" s="155" t="s">
        <v>55</v>
      </c>
      <c r="B5" s="156"/>
      <c r="C5" s="172">
        <f>SUM(C37:C67)</f>
        <v>152.04653320947321</v>
      </c>
      <c r="D5" s="173">
        <f>SUM(D37:D67)</f>
        <v>259.11788308166552</v>
      </c>
      <c r="E5" s="173">
        <f>SUM(E37:E67)</f>
        <v>232.19876701616323</v>
      </c>
      <c r="F5" s="173">
        <f>SUM(F37:F67)</f>
        <v>254.82344470044973</v>
      </c>
      <c r="G5" s="172">
        <f t="shared" ref="G5:H5" si="0">SUM(G37:G67)</f>
        <v>-17.830159477342672</v>
      </c>
      <c r="H5" s="174">
        <f t="shared" si="0"/>
        <v>-52.528539910448238</v>
      </c>
      <c r="I5" s="17"/>
      <c r="J5" s="22"/>
      <c r="K5" s="22"/>
      <c r="L5" s="2"/>
      <c r="M5" s="5"/>
      <c r="O5" s="295" t="s">
        <v>231</v>
      </c>
      <c r="P5" s="296"/>
      <c r="Q5" s="300" t="s">
        <v>232</v>
      </c>
      <c r="R5" s="291"/>
      <c r="S5" s="291"/>
      <c r="T5" s="275"/>
      <c r="U5" s="268"/>
      <c r="V5" s="291" t="s">
        <v>232</v>
      </c>
      <c r="W5" s="291"/>
      <c r="X5" s="270"/>
      <c r="Y5" s="291" t="s">
        <v>236</v>
      </c>
      <c r="Z5" s="293"/>
      <c r="AC5" s="21" t="s">
        <v>142</v>
      </c>
      <c r="AD5" s="22" t="s">
        <v>235</v>
      </c>
      <c r="AE5" s="188"/>
      <c r="AF5" s="188"/>
      <c r="AG5" s="189"/>
      <c r="AH5" s="21" t="s">
        <v>57</v>
      </c>
      <c r="AI5" s="188"/>
      <c r="AJ5" s="22"/>
      <c r="AK5" s="22"/>
      <c r="AL5" s="18"/>
      <c r="AN5" s="21" t="s">
        <v>142</v>
      </c>
      <c r="AO5" s="18" t="s">
        <v>235</v>
      </c>
      <c r="AP5" s="22"/>
      <c r="AQ5" s="22"/>
      <c r="AR5" s="22"/>
      <c r="AS5" s="22"/>
      <c r="AT5" s="22"/>
      <c r="AU5" s="18"/>
      <c r="AW5" s="21" t="s">
        <v>57</v>
      </c>
    </row>
    <row r="6" spans="1:56" ht="72" x14ac:dyDescent="0.3">
      <c r="C6" s="167" t="s">
        <v>58</v>
      </c>
      <c r="D6" s="168" t="s">
        <v>59</v>
      </c>
      <c r="E6" s="168" t="s">
        <v>60</v>
      </c>
      <c r="F6" s="168" t="s">
        <v>61</v>
      </c>
      <c r="G6" s="169" t="s">
        <v>62</v>
      </c>
      <c r="H6" s="170" t="s">
        <v>63</v>
      </c>
      <c r="I6" s="169" t="s">
        <v>64</v>
      </c>
      <c r="J6" s="171" t="s">
        <v>65</v>
      </c>
      <c r="K6" s="171" t="s">
        <v>228</v>
      </c>
      <c r="L6" s="169" t="s">
        <v>51</v>
      </c>
      <c r="M6" s="170" t="s">
        <v>230</v>
      </c>
      <c r="N6" s="171" t="s">
        <v>366</v>
      </c>
      <c r="O6" s="169" t="s">
        <v>67</v>
      </c>
      <c r="P6" s="170" t="s">
        <v>68</v>
      </c>
      <c r="Q6" s="169" t="s">
        <v>67</v>
      </c>
      <c r="R6" s="171" t="s">
        <v>367</v>
      </c>
      <c r="S6" s="171" t="s">
        <v>68</v>
      </c>
      <c r="T6" s="171" t="s">
        <v>367</v>
      </c>
      <c r="U6" s="169" t="s">
        <v>348</v>
      </c>
      <c r="V6" s="171" t="s">
        <v>349</v>
      </c>
      <c r="W6" s="171" t="s">
        <v>351</v>
      </c>
      <c r="X6" s="170" t="s">
        <v>350</v>
      </c>
      <c r="Y6" s="171" t="s">
        <v>67</v>
      </c>
      <c r="Z6" s="170" t="s">
        <v>68</v>
      </c>
      <c r="AC6" s="190">
        <v>0.69</v>
      </c>
      <c r="AD6" s="1" t="s">
        <v>219</v>
      </c>
      <c r="AE6" s="1" t="s">
        <v>70</v>
      </c>
      <c r="AF6" s="1" t="s">
        <v>71</v>
      </c>
      <c r="AG6" s="27" t="s">
        <v>72</v>
      </c>
      <c r="AH6" s="190">
        <f>100%-AC6</f>
        <v>0.31000000000000005</v>
      </c>
      <c r="AI6" s="1" t="s">
        <v>69</v>
      </c>
      <c r="AJ6" s="1" t="s">
        <v>70</v>
      </c>
      <c r="AK6" s="1" t="s">
        <v>71</v>
      </c>
      <c r="AL6" s="27" t="s">
        <v>72</v>
      </c>
      <c r="AN6" s="19" t="s">
        <v>71</v>
      </c>
      <c r="AO6" s="27" t="s">
        <v>72</v>
      </c>
      <c r="AP6" s="1" t="s">
        <v>70</v>
      </c>
      <c r="AQ6" s="1" t="s">
        <v>71</v>
      </c>
      <c r="AR6" s="27" t="s">
        <v>72</v>
      </c>
      <c r="AS6" s="1" t="s">
        <v>70</v>
      </c>
      <c r="AT6" s="1" t="s">
        <v>71</v>
      </c>
      <c r="AU6" s="27" t="s">
        <v>72</v>
      </c>
      <c r="AW6" s="19" t="s">
        <v>71</v>
      </c>
      <c r="AX6" s="27" t="s">
        <v>72</v>
      </c>
      <c r="AY6" s="1" t="s">
        <v>70</v>
      </c>
      <c r="AZ6" s="1" t="s">
        <v>71</v>
      </c>
      <c r="BA6" s="27" t="s">
        <v>72</v>
      </c>
      <c r="BB6" s="1" t="s">
        <v>70</v>
      </c>
      <c r="BC6" s="1" t="s">
        <v>71</v>
      </c>
      <c r="BD6" s="27" t="s">
        <v>72</v>
      </c>
    </row>
    <row r="7" spans="1:56" ht="15" x14ac:dyDescent="0.35">
      <c r="B7">
        <v>1990</v>
      </c>
      <c r="C7" s="94">
        <v>16.687078235646027</v>
      </c>
      <c r="D7" s="95">
        <v>14.676371953635769</v>
      </c>
      <c r="E7" s="95">
        <v>13.547158388535459</v>
      </c>
      <c r="F7" s="95">
        <v>9.2350523332430559</v>
      </c>
      <c r="G7" s="159"/>
      <c r="H7" s="160"/>
      <c r="I7" s="162"/>
      <c r="L7" s="31"/>
      <c r="M7" s="5"/>
      <c r="O7" s="184">
        <f>'Global-Swiss Carbon Budgets'!C65</f>
        <v>0.55732012105988737</v>
      </c>
      <c r="P7" s="185">
        <f>'Global-Swiss Carbon Budgets'!C66</f>
        <v>0.44267987894011257</v>
      </c>
      <c r="Q7" s="2"/>
      <c r="U7" s="2"/>
      <c r="X7" s="5"/>
      <c r="Z7" s="5"/>
      <c r="AC7" s="2" t="s">
        <v>146</v>
      </c>
      <c r="AE7" s="23">
        <v>0.98</v>
      </c>
      <c r="AF7" s="23">
        <v>0.01</v>
      </c>
      <c r="AG7" s="20">
        <v>0.01</v>
      </c>
      <c r="AH7" s="2"/>
      <c r="AI7" s="23">
        <f>(AH37*1000000000)/Surfaces!N6</f>
        <v>26.958537682826108</v>
      </c>
      <c r="AJ7" s="57">
        <f>100%-AK7-AL7</f>
        <v>0.98599999999999999</v>
      </c>
      <c r="AK7" s="57">
        <v>4.0000000000000001E-3</v>
      </c>
      <c r="AL7" s="192">
        <v>0.01</v>
      </c>
      <c r="AN7" s="2"/>
      <c r="AO7" s="5"/>
      <c r="AU7" s="5"/>
    </row>
    <row r="8" spans="1:56" ht="15" x14ac:dyDescent="0.35">
      <c r="B8">
        <v>1991</v>
      </c>
      <c r="C8" s="94">
        <v>18.051942742427364</v>
      </c>
      <c r="D8" s="95">
        <v>15.174492875903393</v>
      </c>
      <c r="E8" s="95">
        <v>13.770043526289779</v>
      </c>
      <c r="F8" s="95">
        <v>9.0060501281598579</v>
      </c>
      <c r="G8" s="159"/>
      <c r="H8" s="160"/>
      <c r="I8" s="162"/>
      <c r="L8" s="2"/>
      <c r="M8" s="5"/>
      <c r="O8" s="2"/>
      <c r="P8" s="5"/>
      <c r="Q8" s="2"/>
      <c r="U8" s="2"/>
      <c r="X8" s="5"/>
      <c r="Z8" s="5"/>
      <c r="AC8" s="2" t="s">
        <v>221</v>
      </c>
      <c r="AD8" s="23">
        <f>(AC37*1000000000)/Surfaces!C6</f>
        <v>20.0014957001613</v>
      </c>
      <c r="AE8" s="191">
        <f>(AD8-(AF8*AF7)-(AG8*AG7))/AE7</f>
        <v>20.314791530776837</v>
      </c>
      <c r="AF8">
        <v>3.5</v>
      </c>
      <c r="AG8" s="5">
        <v>5.8</v>
      </c>
      <c r="AH8" s="2" t="s">
        <v>56</v>
      </c>
      <c r="AJ8" s="191">
        <f>(AI7-(AK8*AK7)-(AL8*AL7))/AJ7</f>
        <v>27.178232944042705</v>
      </c>
      <c r="AK8">
        <f>AVERAGE(4,2,6,29,10)</f>
        <v>10.199999999999999</v>
      </c>
      <c r="AL8" s="5">
        <f>AVERAGE(6,4,7,31,12)</f>
        <v>12</v>
      </c>
      <c r="AN8" s="2"/>
      <c r="AO8" s="5"/>
      <c r="AU8" s="5"/>
    </row>
    <row r="9" spans="1:56" ht="15" x14ac:dyDescent="0.35">
      <c r="B9">
        <v>1992</v>
      </c>
      <c r="C9" s="94">
        <v>18.093297250529066</v>
      </c>
      <c r="D9" s="95">
        <v>15.501761129980201</v>
      </c>
      <c r="E9" s="95">
        <v>13.22941638075846</v>
      </c>
      <c r="F9" s="95">
        <v>8.8906619759232175</v>
      </c>
      <c r="G9" s="159"/>
      <c r="H9" s="160"/>
      <c r="I9" s="162"/>
      <c r="L9" s="2"/>
      <c r="M9" s="5"/>
      <c r="O9" s="2"/>
      <c r="P9" s="5"/>
      <c r="Q9" s="2"/>
      <c r="U9" s="2"/>
      <c r="X9" s="5"/>
      <c r="Z9" s="5"/>
      <c r="AC9" s="2" t="s">
        <v>220</v>
      </c>
      <c r="AE9" s="24">
        <f>AE8/$AD$8</f>
        <v>1.0156636201268194</v>
      </c>
      <c r="AF9" s="24">
        <f>AF8/$AD$8</f>
        <v>0.17498691360225499</v>
      </c>
      <c r="AG9" s="124">
        <f>AG8/$AD$8</f>
        <v>0.28997831396945112</v>
      </c>
      <c r="AH9" s="2" t="s">
        <v>69</v>
      </c>
      <c r="AJ9" s="24">
        <f>AJ8/$AI$7</f>
        <v>1.0081493760455915</v>
      </c>
      <c r="AK9" s="24">
        <f t="shared" ref="AK9:AL9" si="1">AK8/$AI$7</f>
        <v>0.3783588012081936</v>
      </c>
      <c r="AL9" s="124">
        <f t="shared" si="1"/>
        <v>0.44512800142140424</v>
      </c>
      <c r="AN9" s="2"/>
      <c r="AO9" s="5"/>
      <c r="AU9" s="5"/>
    </row>
    <row r="10" spans="1:56" ht="15" x14ac:dyDescent="0.35">
      <c r="B10">
        <v>1993</v>
      </c>
      <c r="C10" s="94">
        <v>17.485075012567854</v>
      </c>
      <c r="D10" s="95">
        <v>14.432099728757557</v>
      </c>
      <c r="E10" s="95">
        <v>12.450475013129331</v>
      </c>
      <c r="F10" s="95">
        <v>8.8431310278765825</v>
      </c>
      <c r="G10" s="159"/>
      <c r="H10" s="160"/>
      <c r="I10" s="162"/>
      <c r="L10" s="2"/>
      <c r="M10" s="5"/>
      <c r="O10" s="2"/>
      <c r="P10" s="5"/>
      <c r="Q10" s="2"/>
      <c r="U10" s="2"/>
      <c r="X10" s="5"/>
      <c r="Z10" s="5"/>
      <c r="AC10" s="2"/>
      <c r="AG10" s="5"/>
      <c r="AH10" s="2"/>
      <c r="AL10" s="5"/>
      <c r="AN10" s="2"/>
      <c r="AO10" s="5"/>
      <c r="AU10" s="5"/>
    </row>
    <row r="11" spans="1:56" ht="15" x14ac:dyDescent="0.35">
      <c r="B11">
        <v>1994</v>
      </c>
      <c r="C11" s="94">
        <v>16.209921061568444</v>
      </c>
      <c r="D11" s="95">
        <v>14.619024251692455</v>
      </c>
      <c r="E11" s="95">
        <v>12.606203630747707</v>
      </c>
      <c r="F11" s="95">
        <v>8.7428417151373061</v>
      </c>
      <c r="G11" s="159"/>
      <c r="H11" s="160"/>
      <c r="I11" s="162"/>
      <c r="L11" s="2"/>
      <c r="M11" s="5"/>
      <c r="O11" s="2"/>
      <c r="P11" s="5"/>
      <c r="Q11" s="2"/>
      <c r="U11" s="2"/>
      <c r="X11" s="5"/>
      <c r="Z11" s="5"/>
      <c r="AC11" s="2"/>
      <c r="AG11" s="5"/>
      <c r="AH11" s="2"/>
      <c r="AL11" s="5"/>
      <c r="AN11" s="2"/>
      <c r="AO11" s="5"/>
      <c r="AU11" s="5"/>
    </row>
    <row r="12" spans="1:56" ht="15" x14ac:dyDescent="0.35">
      <c r="B12">
        <v>1995</v>
      </c>
      <c r="C12" s="94">
        <v>17.260064665282986</v>
      </c>
      <c r="D12" s="95">
        <v>14.30494068428178</v>
      </c>
      <c r="E12" s="95">
        <v>12.74776841361858</v>
      </c>
      <c r="F12" s="95">
        <v>8.762715945124059</v>
      </c>
      <c r="G12" s="159"/>
      <c r="H12" s="160"/>
      <c r="I12" s="162"/>
      <c r="L12" s="2"/>
      <c r="M12" s="5"/>
      <c r="O12" s="2"/>
      <c r="P12" s="5"/>
      <c r="Q12" s="2"/>
      <c r="U12" s="2"/>
      <c r="X12" s="5"/>
      <c r="Z12" s="5"/>
      <c r="AC12" s="2"/>
      <c r="AG12" s="5"/>
      <c r="AH12" s="2"/>
      <c r="AL12" s="5"/>
      <c r="AN12" s="2"/>
      <c r="AO12" s="5"/>
      <c r="AU12" s="5"/>
    </row>
    <row r="13" spans="1:56" ht="15" x14ac:dyDescent="0.35">
      <c r="B13">
        <v>1996</v>
      </c>
      <c r="C13" s="94">
        <v>18.117080989434818</v>
      </c>
      <c r="D13" s="95">
        <v>14.368708683810713</v>
      </c>
      <c r="E13" s="95">
        <v>12.573806149253015</v>
      </c>
      <c r="F13" s="95">
        <v>8.6005862687267136</v>
      </c>
      <c r="G13" s="159"/>
      <c r="H13" s="160"/>
      <c r="I13" s="162"/>
      <c r="L13" s="2"/>
      <c r="M13" s="5"/>
      <c r="O13" s="2"/>
      <c r="P13" s="5"/>
      <c r="Q13" s="2"/>
      <c r="U13" s="2"/>
      <c r="X13" s="5"/>
      <c r="Z13" s="5"/>
      <c r="AC13" s="2"/>
      <c r="AG13" s="5"/>
      <c r="AH13" s="2"/>
      <c r="AL13" s="5"/>
      <c r="AN13" s="2"/>
      <c r="AO13" s="5"/>
      <c r="AU13" s="5"/>
    </row>
    <row r="14" spans="1:56" ht="15" x14ac:dyDescent="0.35">
      <c r="B14">
        <v>1997</v>
      </c>
      <c r="C14" s="94">
        <v>16.688995474624683</v>
      </c>
      <c r="D14" s="95">
        <v>14.925240498711442</v>
      </c>
      <c r="E14" s="95">
        <v>12.430277924948065</v>
      </c>
      <c r="F14" s="95">
        <v>8.4702128581906422</v>
      </c>
      <c r="G14" s="159"/>
      <c r="H14" s="160"/>
      <c r="I14" s="162"/>
      <c r="L14" s="2"/>
      <c r="M14" s="5"/>
      <c r="O14" s="2"/>
      <c r="P14" s="5"/>
      <c r="Q14" s="2"/>
      <c r="U14" s="2"/>
      <c r="X14" s="5"/>
      <c r="Z14" s="5"/>
      <c r="AC14" s="2"/>
      <c r="AG14" s="5"/>
      <c r="AH14" s="2"/>
      <c r="AL14" s="5"/>
      <c r="AN14" s="2"/>
      <c r="AO14" s="5"/>
      <c r="AU14" s="5"/>
    </row>
    <row r="15" spans="1:56" ht="15" x14ac:dyDescent="0.35">
      <c r="B15">
        <v>1998</v>
      </c>
      <c r="C15" s="94">
        <v>17.508047098826466</v>
      </c>
      <c r="D15" s="95">
        <v>15.134297433091467</v>
      </c>
      <c r="E15" s="95">
        <v>12.914913306036555</v>
      </c>
      <c r="F15" s="95">
        <v>8.5063328195422692</v>
      </c>
      <c r="G15" s="159"/>
      <c r="H15" s="160"/>
      <c r="I15" s="162"/>
      <c r="L15" s="2"/>
      <c r="M15" s="5"/>
      <c r="O15" s="2"/>
      <c r="P15" s="5"/>
      <c r="Q15" s="2"/>
      <c r="U15" s="2"/>
      <c r="X15" s="5"/>
      <c r="Z15" s="5"/>
      <c r="AC15" s="2"/>
      <c r="AG15" s="5"/>
      <c r="AH15" s="2"/>
      <c r="AL15" s="5"/>
      <c r="AN15" s="2"/>
      <c r="AO15" s="5"/>
      <c r="AU15" s="5"/>
    </row>
    <row r="16" spans="1:56" ht="15" x14ac:dyDescent="0.35">
      <c r="B16">
        <v>1999</v>
      </c>
      <c r="C16" s="94">
        <v>16.84181695077201</v>
      </c>
      <c r="D16" s="95">
        <v>15.743858031600093</v>
      </c>
      <c r="E16" s="95">
        <v>12.786334179866884</v>
      </c>
      <c r="F16" s="95">
        <v>8.465149323551076</v>
      </c>
      <c r="G16" s="159"/>
      <c r="H16" s="160"/>
      <c r="I16" s="162"/>
      <c r="L16" s="2"/>
      <c r="M16" s="5"/>
      <c r="O16" s="2"/>
      <c r="P16" s="5"/>
      <c r="Q16" s="2"/>
      <c r="U16" s="2"/>
      <c r="X16" s="5"/>
      <c r="Z16" s="5"/>
      <c r="AC16" s="2"/>
      <c r="AG16" s="5"/>
      <c r="AH16" s="2"/>
      <c r="AL16" s="5"/>
      <c r="AN16" s="2"/>
      <c r="AO16" s="5"/>
      <c r="AU16" s="5"/>
    </row>
    <row r="17" spans="2:47" ht="15" x14ac:dyDescent="0.35">
      <c r="B17">
        <v>2000</v>
      </c>
      <c r="C17" s="94">
        <v>15.751205335392848</v>
      </c>
      <c r="D17" s="95">
        <v>15.977221273986018</v>
      </c>
      <c r="E17" s="95">
        <v>12.813644285450442</v>
      </c>
      <c r="F17" s="95">
        <v>8.7051064463299408</v>
      </c>
      <c r="G17" s="159"/>
      <c r="H17" s="160"/>
      <c r="I17" s="162"/>
      <c r="L17" s="2"/>
      <c r="M17" s="5"/>
      <c r="O17" s="2"/>
      <c r="P17" s="5"/>
      <c r="Q17" s="2"/>
      <c r="U17" s="2"/>
      <c r="X17" s="5"/>
      <c r="Z17" s="5"/>
      <c r="AC17" s="2"/>
      <c r="AG17" s="5"/>
      <c r="AH17" s="2"/>
      <c r="AL17" s="5"/>
      <c r="AN17" s="2"/>
      <c r="AO17" s="5"/>
      <c r="AU17" s="5"/>
    </row>
    <row r="18" spans="2:47" ht="15" x14ac:dyDescent="0.35">
      <c r="B18">
        <v>2001</v>
      </c>
      <c r="C18" s="94">
        <v>17.107314778556216</v>
      </c>
      <c r="D18" s="95">
        <v>15.676660677015185</v>
      </c>
      <c r="E18" s="95">
        <v>13.157243796909022</v>
      </c>
      <c r="F18" s="95">
        <v>8.8152466202098303</v>
      </c>
      <c r="G18" s="159"/>
      <c r="H18" s="160"/>
      <c r="I18" s="162"/>
      <c r="L18" s="2"/>
      <c r="M18" s="5"/>
      <c r="O18" s="2"/>
      <c r="P18" s="5"/>
      <c r="Q18" s="2"/>
      <c r="U18" s="2"/>
      <c r="X18" s="5"/>
      <c r="Z18" s="5"/>
      <c r="AC18" s="2"/>
      <c r="AG18" s="5"/>
      <c r="AH18" s="2"/>
      <c r="AL18" s="5"/>
      <c r="AN18" s="2"/>
      <c r="AO18" s="5"/>
      <c r="AU18" s="5"/>
    </row>
    <row r="19" spans="2:47" ht="15" x14ac:dyDescent="0.35">
      <c r="B19">
        <v>2002</v>
      </c>
      <c r="C19" s="94">
        <v>15.973871460915685</v>
      </c>
      <c r="D19" s="95">
        <v>15.599937249852537</v>
      </c>
      <c r="E19" s="95">
        <v>12.856036330817394</v>
      </c>
      <c r="F19" s="95">
        <v>8.7804988457151456</v>
      </c>
      <c r="G19" s="159"/>
      <c r="H19" s="160"/>
      <c r="I19" s="162"/>
      <c r="L19" s="2"/>
      <c r="M19" s="5"/>
      <c r="O19" s="2"/>
      <c r="P19" s="5"/>
      <c r="Q19" s="2"/>
      <c r="U19" s="2"/>
      <c r="X19" s="5"/>
      <c r="Z19" s="5"/>
      <c r="AC19" s="2"/>
      <c r="AG19" s="5"/>
      <c r="AH19" s="2"/>
      <c r="AL19" s="5"/>
      <c r="AN19" s="2"/>
      <c r="AO19" s="5"/>
      <c r="AU19" s="5"/>
    </row>
    <row r="20" spans="2:47" ht="15" x14ac:dyDescent="0.35">
      <c r="B20">
        <v>2003</v>
      </c>
      <c r="C20" s="94">
        <v>16.976063024906125</v>
      </c>
      <c r="D20" s="95">
        <v>15.764449961557405</v>
      </c>
      <c r="E20" s="95">
        <v>12.882462569481769</v>
      </c>
      <c r="F20" s="95">
        <v>8.6014906762706858</v>
      </c>
      <c r="G20" s="159"/>
      <c r="H20" s="160"/>
      <c r="I20" s="162"/>
      <c r="L20" s="2"/>
      <c r="M20" s="5"/>
      <c r="O20" s="2"/>
      <c r="P20" s="5"/>
      <c r="Q20" s="2"/>
      <c r="U20" s="2"/>
      <c r="X20" s="5"/>
      <c r="Z20" s="5"/>
      <c r="AC20" s="2"/>
      <c r="AG20" s="5"/>
      <c r="AH20" s="2"/>
      <c r="AL20" s="5"/>
      <c r="AN20" s="2"/>
      <c r="AO20" s="5"/>
      <c r="AU20" s="5"/>
    </row>
    <row r="21" spans="2:47" ht="15" x14ac:dyDescent="0.35">
      <c r="B21">
        <v>2004</v>
      </c>
      <c r="C21" s="94">
        <v>16.837575010093495</v>
      </c>
      <c r="D21" s="95">
        <v>15.796470550687312</v>
      </c>
      <c r="E21" s="95">
        <v>13.527853637826698</v>
      </c>
      <c r="F21" s="95">
        <v>8.6528515170600446</v>
      </c>
      <c r="G21" s="159"/>
      <c r="H21" s="160"/>
      <c r="I21" s="162"/>
      <c r="L21" s="2"/>
      <c r="M21" s="5"/>
      <c r="O21" s="2"/>
      <c r="P21" s="5"/>
      <c r="Q21" s="2"/>
      <c r="U21" s="2"/>
      <c r="X21" s="5"/>
      <c r="Z21" s="5"/>
      <c r="AC21" s="2"/>
      <c r="AG21" s="5"/>
      <c r="AH21" s="2"/>
      <c r="AL21" s="5"/>
      <c r="AN21" s="2"/>
      <c r="AO21" s="5"/>
      <c r="AU21" s="5"/>
    </row>
    <row r="22" spans="2:47" ht="15" x14ac:dyDescent="0.35">
      <c r="B22">
        <v>2005</v>
      </c>
      <c r="C22" s="94">
        <v>17.071414391412919</v>
      </c>
      <c r="D22" s="95">
        <v>15.858331922296555</v>
      </c>
      <c r="E22" s="95">
        <v>13.75232545881528</v>
      </c>
      <c r="F22" s="95">
        <v>8.8451024364356154</v>
      </c>
      <c r="G22" s="159"/>
      <c r="H22" s="160"/>
      <c r="I22" s="162"/>
      <c r="L22" s="2"/>
      <c r="M22" s="5"/>
      <c r="O22" s="2"/>
      <c r="P22" s="5"/>
      <c r="Q22" s="2"/>
      <c r="U22" s="2"/>
      <c r="X22" s="5"/>
      <c r="Z22" s="5"/>
      <c r="AC22" s="2"/>
      <c r="AG22" s="5"/>
      <c r="AH22" s="2"/>
      <c r="AL22" s="5"/>
      <c r="AN22" s="2"/>
      <c r="AO22" s="5"/>
      <c r="AU22" s="5"/>
    </row>
    <row r="23" spans="2:47" ht="15" x14ac:dyDescent="0.35">
      <c r="B23">
        <v>2006</v>
      </c>
      <c r="C23" s="94">
        <v>16.225671639286766</v>
      </c>
      <c r="D23" s="95">
        <v>15.975834885057543</v>
      </c>
      <c r="E23" s="95">
        <v>13.961231431984324</v>
      </c>
      <c r="F23" s="95">
        <v>8.9725487180804748</v>
      </c>
      <c r="G23" s="159"/>
      <c r="H23" s="160"/>
      <c r="I23" s="162"/>
      <c r="L23" s="2"/>
      <c r="M23" s="5"/>
      <c r="O23" s="2"/>
      <c r="P23" s="5"/>
      <c r="Q23" s="2"/>
      <c r="U23" s="2"/>
      <c r="X23" s="5"/>
      <c r="Z23" s="5"/>
      <c r="AC23" s="2"/>
      <c r="AG23" s="5"/>
      <c r="AH23" s="2"/>
      <c r="AL23" s="5"/>
      <c r="AN23" s="2"/>
      <c r="AO23" s="5"/>
      <c r="AU23" s="5"/>
    </row>
    <row r="24" spans="2:47" ht="15" x14ac:dyDescent="0.35">
      <c r="B24">
        <v>2007</v>
      </c>
      <c r="C24" s="94">
        <v>14.412889708381268</v>
      </c>
      <c r="D24" s="95">
        <v>16.300692948404599</v>
      </c>
      <c r="E24" s="95">
        <v>13.558034880592055</v>
      </c>
      <c r="F24" s="95">
        <v>8.9961519847166578</v>
      </c>
      <c r="G24" s="159"/>
      <c r="H24" s="160"/>
      <c r="I24" s="162"/>
      <c r="L24" s="2"/>
      <c r="M24" s="5"/>
      <c r="O24" s="2"/>
      <c r="P24" s="5"/>
      <c r="Q24" s="2"/>
      <c r="U24" s="2"/>
      <c r="X24" s="5"/>
      <c r="Z24" s="5"/>
      <c r="AC24" s="2"/>
      <c r="AG24" s="5"/>
      <c r="AH24" s="2"/>
      <c r="AL24" s="5"/>
      <c r="AN24" s="2"/>
      <c r="AO24" s="5"/>
      <c r="AU24" s="5"/>
    </row>
    <row r="25" spans="2:47" ht="15" x14ac:dyDescent="0.35">
      <c r="B25">
        <v>2008</v>
      </c>
      <c r="C25" s="94">
        <v>15.284010507785457</v>
      </c>
      <c r="D25" s="95">
        <v>16.651384685852303</v>
      </c>
      <c r="E25" s="95">
        <v>13.697004671685903</v>
      </c>
      <c r="F25" s="95">
        <v>8.9995520150357891</v>
      </c>
      <c r="G25" s="159"/>
      <c r="H25" s="160"/>
      <c r="I25" s="162"/>
      <c r="L25" s="2"/>
      <c r="M25" s="5"/>
      <c r="O25" s="2"/>
      <c r="P25" s="5"/>
      <c r="Q25" s="2"/>
      <c r="U25" s="2"/>
      <c r="X25" s="5"/>
      <c r="Z25" s="5"/>
      <c r="AC25" s="2"/>
      <c r="AG25" s="5"/>
      <c r="AH25" s="2"/>
      <c r="AL25" s="5"/>
      <c r="AN25" s="2"/>
      <c r="AO25" s="5"/>
      <c r="AU25" s="5"/>
    </row>
    <row r="26" spans="2:47" ht="15" x14ac:dyDescent="0.35">
      <c r="B26">
        <v>2009</v>
      </c>
      <c r="C26" s="94">
        <v>14.862959406654983</v>
      </c>
      <c r="D26" s="95">
        <v>16.446679420463212</v>
      </c>
      <c r="E26" s="95">
        <v>13.019740779165144</v>
      </c>
      <c r="F26" s="95">
        <v>8.8585946071003008</v>
      </c>
      <c r="G26" s="159"/>
      <c r="H26" s="160"/>
      <c r="I26" s="162"/>
      <c r="L26" s="2"/>
      <c r="M26" s="5"/>
      <c r="O26" s="2"/>
      <c r="P26" s="5"/>
      <c r="Q26" s="2"/>
      <c r="U26" s="2"/>
      <c r="X26" s="5"/>
      <c r="Z26" s="5"/>
      <c r="AC26" s="2"/>
      <c r="AG26" s="5"/>
      <c r="AH26" s="2"/>
      <c r="AL26" s="5"/>
      <c r="AN26" s="2"/>
      <c r="AO26" s="5"/>
      <c r="AU26" s="5"/>
    </row>
    <row r="27" spans="2:47" ht="15" x14ac:dyDescent="0.35">
      <c r="B27">
        <v>2010</v>
      </c>
      <c r="C27" s="94">
        <v>16.046705847967111</v>
      </c>
      <c r="D27" s="95">
        <v>16.336981159173657</v>
      </c>
      <c r="E27" s="95">
        <v>13.503461464105689</v>
      </c>
      <c r="F27" s="95">
        <v>8.9428268157048283</v>
      </c>
      <c r="G27" s="159"/>
      <c r="H27" s="160"/>
      <c r="I27" s="162"/>
      <c r="L27" s="2"/>
      <c r="M27" s="5"/>
      <c r="O27" s="2"/>
      <c r="P27" s="5"/>
      <c r="Q27" s="2"/>
      <c r="U27" s="2"/>
      <c r="X27" s="5"/>
      <c r="Z27" s="5"/>
      <c r="AC27" s="2"/>
      <c r="AG27" s="5"/>
      <c r="AH27" s="2"/>
      <c r="AL27" s="5"/>
      <c r="AN27" s="2"/>
      <c r="AO27" s="5"/>
      <c r="AU27" s="5"/>
    </row>
    <row r="28" spans="2:47" ht="15" x14ac:dyDescent="0.35">
      <c r="B28">
        <v>2011</v>
      </c>
      <c r="C28" s="94">
        <v>12.882899967868637</v>
      </c>
      <c r="D28" s="95">
        <v>16.15778694010536</v>
      </c>
      <c r="E28" s="95">
        <v>12.823490452376248</v>
      </c>
      <c r="F28" s="95">
        <v>8.8521553128613562</v>
      </c>
      <c r="G28" s="159"/>
      <c r="H28" s="160"/>
      <c r="I28" s="162"/>
      <c r="L28" s="2"/>
      <c r="M28" s="5"/>
      <c r="O28" s="2"/>
      <c r="P28" s="5"/>
      <c r="Q28" s="2"/>
      <c r="U28" s="2"/>
      <c r="X28" s="5"/>
      <c r="Z28" s="5"/>
      <c r="AC28" s="2"/>
      <c r="AG28" s="5"/>
      <c r="AH28" s="2"/>
      <c r="AL28" s="5"/>
      <c r="AN28" s="2"/>
      <c r="AO28" s="5"/>
      <c r="AU28" s="5"/>
    </row>
    <row r="29" spans="2:47" ht="15" x14ac:dyDescent="0.35">
      <c r="B29">
        <v>2012</v>
      </c>
      <c r="C29" s="94">
        <v>14.114883355140179</v>
      </c>
      <c r="D29" s="95">
        <v>16.275352977447742</v>
      </c>
      <c r="E29" s="95">
        <v>12.799366197998545</v>
      </c>
      <c r="F29" s="95">
        <v>8.946510245576679</v>
      </c>
      <c r="G29" s="159"/>
      <c r="H29" s="160"/>
      <c r="I29" s="162"/>
      <c r="L29" s="2"/>
      <c r="M29" s="5"/>
      <c r="O29" s="2"/>
      <c r="P29" s="5"/>
      <c r="Q29" s="2"/>
      <c r="U29" s="2"/>
      <c r="X29" s="5"/>
      <c r="Z29" s="5"/>
      <c r="AC29" s="2"/>
      <c r="AG29" s="5"/>
      <c r="AH29" s="2"/>
      <c r="AL29" s="5"/>
      <c r="AN29" s="2"/>
      <c r="AO29" s="5"/>
      <c r="AU29" s="5"/>
    </row>
    <row r="30" spans="2:47" ht="15" x14ac:dyDescent="0.35">
      <c r="B30">
        <v>2013</v>
      </c>
      <c r="C30" s="94">
        <v>15.034452271656201</v>
      </c>
      <c r="D30" s="95">
        <v>16.18538436893148</v>
      </c>
      <c r="E30" s="95">
        <v>12.940303761682321</v>
      </c>
      <c r="F30" s="95">
        <v>8.751802946952651</v>
      </c>
      <c r="G30" s="159"/>
      <c r="H30" s="160"/>
      <c r="I30" s="162"/>
      <c r="L30" s="2"/>
      <c r="M30" s="5"/>
      <c r="O30" s="2"/>
      <c r="P30" s="5"/>
      <c r="Q30" s="2"/>
      <c r="U30" s="2"/>
      <c r="X30" s="5"/>
      <c r="Z30" s="5"/>
      <c r="AC30" s="2"/>
      <c r="AG30" s="5"/>
      <c r="AH30" s="2"/>
      <c r="AL30" s="5"/>
      <c r="AN30" s="2"/>
      <c r="AO30" s="5"/>
      <c r="AU30" s="5"/>
    </row>
    <row r="31" spans="2:47" ht="15" x14ac:dyDescent="0.35">
      <c r="B31">
        <v>2014</v>
      </c>
      <c r="C31" s="94">
        <v>11.667553231058934</v>
      </c>
      <c r="D31" s="95">
        <v>16.078846702215905</v>
      </c>
      <c r="E31" s="95">
        <v>12.320023027413992</v>
      </c>
      <c r="F31" s="95">
        <v>8.9047086596435232</v>
      </c>
      <c r="G31" s="159"/>
      <c r="H31" s="160"/>
      <c r="I31" s="162"/>
      <c r="L31" s="2"/>
      <c r="M31" s="5"/>
      <c r="O31" s="2"/>
      <c r="P31" s="5"/>
      <c r="Q31" s="2"/>
      <c r="U31" s="2"/>
      <c r="X31" s="5"/>
      <c r="Z31" s="5"/>
      <c r="AC31" s="2"/>
      <c r="AG31" s="5"/>
      <c r="AH31" s="2"/>
      <c r="AL31" s="5"/>
      <c r="AN31" s="2"/>
      <c r="AO31" s="5"/>
      <c r="AU31" s="5"/>
    </row>
    <row r="32" spans="2:47" ht="15" x14ac:dyDescent="0.35">
      <c r="B32">
        <v>2015</v>
      </c>
      <c r="C32" s="94">
        <v>12.514840793891644</v>
      </c>
      <c r="D32" s="95">
        <v>15.343800581110377</v>
      </c>
      <c r="E32" s="95">
        <v>11.773388788662759</v>
      </c>
      <c r="F32" s="95">
        <v>8.8693235183848707</v>
      </c>
      <c r="G32" s="159"/>
      <c r="H32" s="160"/>
      <c r="I32" s="162"/>
      <c r="L32" s="2"/>
      <c r="M32" s="5"/>
      <c r="O32" s="2"/>
      <c r="P32" s="5"/>
      <c r="Q32" s="2"/>
      <c r="U32" s="2"/>
      <c r="X32" s="5"/>
      <c r="Z32" s="5"/>
      <c r="AC32" s="2"/>
      <c r="AG32" s="5"/>
      <c r="AH32" s="2"/>
      <c r="AL32" s="5"/>
      <c r="AN32" s="2"/>
      <c r="AO32" s="5"/>
      <c r="AU32" s="5"/>
    </row>
    <row r="33" spans="1:56" ht="15" x14ac:dyDescent="0.35">
      <c r="B33">
        <v>2016</v>
      </c>
      <c r="C33" s="94">
        <v>12.978612372273911</v>
      </c>
      <c r="D33" s="95">
        <v>15.17846006557243</v>
      </c>
      <c r="E33" s="95">
        <v>11.72955356825409</v>
      </c>
      <c r="F33" s="95">
        <v>8.9233048697575459</v>
      </c>
      <c r="G33" s="159"/>
      <c r="H33" s="160"/>
      <c r="I33" s="162"/>
      <c r="L33" s="2"/>
      <c r="M33" s="5"/>
      <c r="O33" s="2"/>
      <c r="P33" s="5"/>
      <c r="Q33" s="2"/>
      <c r="U33" s="2"/>
      <c r="X33" s="5"/>
      <c r="Z33" s="5"/>
      <c r="AC33" s="2"/>
      <c r="AG33" s="5"/>
      <c r="AH33" s="2"/>
      <c r="AL33" s="5"/>
      <c r="AN33" s="2"/>
      <c r="AO33" s="5"/>
      <c r="AU33" s="5"/>
    </row>
    <row r="34" spans="1:56" ht="15" x14ac:dyDescent="0.35">
      <c r="B34">
        <v>2017</v>
      </c>
      <c r="C34" s="94">
        <v>12.358619709962349</v>
      </c>
      <c r="D34" s="95">
        <v>14.916423874981829</v>
      </c>
      <c r="E34" s="95">
        <v>11.770970304942075</v>
      </c>
      <c r="F34" s="95">
        <v>8.9118997750945734</v>
      </c>
      <c r="G34" s="159"/>
      <c r="H34" s="160"/>
      <c r="I34" s="162"/>
      <c r="L34" s="2"/>
      <c r="M34" s="5"/>
      <c r="O34" s="2"/>
      <c r="P34" s="5"/>
      <c r="Q34" s="2"/>
      <c r="U34" s="2"/>
      <c r="V34" s="276">
        <f>U37+V37+R37</f>
        <v>792.47582457455201</v>
      </c>
      <c r="X34" s="5"/>
      <c r="Z34" s="5"/>
      <c r="AC34" s="2"/>
      <c r="AG34" s="5"/>
      <c r="AH34" s="2"/>
      <c r="AL34" s="5"/>
      <c r="AN34" s="2"/>
      <c r="AO34" s="5"/>
      <c r="AU34" s="5"/>
    </row>
    <row r="35" spans="1:56" ht="15" x14ac:dyDescent="0.35">
      <c r="B35">
        <v>2018</v>
      </c>
      <c r="C35" s="94">
        <v>11.195800617960556</v>
      </c>
      <c r="D35" s="95">
        <v>14.918086209890715</v>
      </c>
      <c r="E35" s="95">
        <v>11.507840941464931</v>
      </c>
      <c r="F35" s="95">
        <v>8.795058739939595</v>
      </c>
      <c r="G35" s="159"/>
      <c r="H35" s="160"/>
      <c r="I35" s="162"/>
      <c r="L35" s="2"/>
      <c r="M35" s="5"/>
      <c r="O35" s="2"/>
      <c r="P35" s="5"/>
      <c r="Q35" s="2"/>
      <c r="R35" s="24">
        <f>R37/$V$34</f>
        <v>0.10925963883694256</v>
      </c>
      <c r="U35" s="24">
        <f>U37/$V$34</f>
        <v>0.65914786726066255</v>
      </c>
      <c r="V35" s="24">
        <f>V37/$V$34</f>
        <v>0.23159249390239497</v>
      </c>
      <c r="X35" s="5"/>
      <c r="Z35" s="5"/>
      <c r="AC35" s="2"/>
      <c r="AG35" s="5"/>
      <c r="AH35" s="2"/>
      <c r="AL35" s="5"/>
      <c r="AN35" s="2"/>
      <c r="AO35" s="5"/>
      <c r="AU35" s="5"/>
    </row>
    <row r="36" spans="1:56" ht="15.6" thickBot="1" x14ac:dyDescent="0.4">
      <c r="B36">
        <v>2019</v>
      </c>
      <c r="C36" s="96">
        <v>11.469993986771833</v>
      </c>
      <c r="D36" s="97">
        <v>14.932576255197484</v>
      </c>
      <c r="E36" s="97">
        <v>11.072146466152489</v>
      </c>
      <c r="F36" s="97">
        <v>8.9072031489603116</v>
      </c>
      <c r="G36" s="159"/>
      <c r="H36" s="160"/>
      <c r="I36" s="162"/>
      <c r="L36" s="2"/>
      <c r="M36" s="5"/>
      <c r="O36" s="2"/>
      <c r="P36" s="5"/>
      <c r="Q36" s="2"/>
      <c r="U36" s="2"/>
      <c r="X36" s="5"/>
      <c r="Z36" s="5"/>
      <c r="AC36" s="2"/>
      <c r="AG36" s="5"/>
      <c r="AH36" s="2"/>
      <c r="AL36" s="5"/>
      <c r="AN36" s="2"/>
      <c r="AO36" s="5"/>
      <c r="AU36" s="5"/>
    </row>
    <row r="37" spans="1:56" x14ac:dyDescent="0.3">
      <c r="B37">
        <v>2020</v>
      </c>
      <c r="C37" s="98">
        <v>11.390585114632525</v>
      </c>
      <c r="D37" s="99">
        <v>14.404079105705499</v>
      </c>
      <c r="E37" s="99">
        <v>11.335581307546121</v>
      </c>
      <c r="F37" s="100">
        <v>8.8647186040830626</v>
      </c>
      <c r="G37" s="159"/>
      <c r="H37" s="160"/>
      <c r="I37" s="163">
        <f t="shared" ref="I37:I66" si="2">SUM(C37:F37)+SUM(G37:H37)</f>
        <v>45.994964131967208</v>
      </c>
      <c r="J37" s="165">
        <f>Surfaces!$A$8</f>
        <v>8645297.8125</v>
      </c>
      <c r="K37" s="175">
        <f>(I37*1000000)/J37</f>
        <v>5.3202289995683376</v>
      </c>
      <c r="L37" s="63">
        <f>C37</f>
        <v>11.390585114632525</v>
      </c>
      <c r="M37" s="109">
        <f>(E37*'Global-Swiss Carbon Budgets'!$B$50)/(100%-'Global-Swiss Carbon Budgets'!$B$51)</f>
        <v>7.2269712174263496</v>
      </c>
      <c r="N37" s="64">
        <f>F37*0.1</f>
        <v>0.88647186040830628</v>
      </c>
      <c r="O37" s="120">
        <f>M37*$O$7</f>
        <v>4.0277364737923751</v>
      </c>
      <c r="P37" s="109">
        <f>M37*$P$7</f>
        <v>3.1992347436339745</v>
      </c>
      <c r="Q37" s="181">
        <f>(O37*1000000000)/Surfaces!U8</f>
        <v>705.89020219452823</v>
      </c>
      <c r="R37" s="165">
        <f>((N37*$O$7)*1000000000)/Surfaces!U8</f>
        <v>86.585622380023807</v>
      </c>
      <c r="S37" s="165">
        <f>(P37*1000000000)/Surfaces!V8</f>
        <v>542.19155842231339</v>
      </c>
      <c r="T37" s="165">
        <f>((N37*$P$7)*1000000000)/Surfaces!V8</f>
        <v>66.506084642117941</v>
      </c>
      <c r="U37" s="181">
        <f>Q37*$U$3</f>
        <v>522.35874962395087</v>
      </c>
      <c r="V37" s="165">
        <f>Q37*$V$3</f>
        <v>183.53145257057736</v>
      </c>
      <c r="W37" s="165">
        <f t="shared" ref="W37:W68" si="3">S37*$W$3</f>
        <v>140.96980518980149</v>
      </c>
      <c r="X37" s="182">
        <f t="shared" ref="X37:X68" si="4">S37*$X$3</f>
        <v>401.2217532325119</v>
      </c>
      <c r="Y37" s="64">
        <f>V37/$Y$3</f>
        <v>3.0588575428429561</v>
      </c>
      <c r="Z37" s="109">
        <f>W37/$Y$3</f>
        <v>2.3494967531633582</v>
      </c>
      <c r="AB37">
        <v>2020</v>
      </c>
      <c r="AC37" s="120">
        <f t="shared" ref="AC37:AC68" si="5">L37*$AC$6</f>
        <v>7.859503729096442</v>
      </c>
      <c r="AD37" s="64">
        <f>(AC37*1000000000)/(Surfaces!E8+Surfaces!I8+Surfaces!K8)</f>
        <v>19.251925176592753</v>
      </c>
      <c r="AE37" s="64">
        <f t="shared" ref="AE37:AE67" si="6">AD37*AS37</f>
        <v>20.34074524685062</v>
      </c>
      <c r="AF37" s="64">
        <f>AD37*$AF$9</f>
        <v>3.3688349675535139</v>
      </c>
      <c r="AG37" s="109">
        <f>AD37*$AG$9</f>
        <v>5.5826408033743942</v>
      </c>
      <c r="AH37" s="120">
        <f t="shared" ref="AH37:AH68" si="7">L37*$AH$6</f>
        <v>3.5310813855360834</v>
      </c>
      <c r="AI37" s="64">
        <f>(AH37*1000000000)/Surfaces!N8</f>
        <v>26.726489223041312</v>
      </c>
      <c r="AJ37" s="64">
        <f>AI37*$BB$37</f>
        <v>27.041860151679327</v>
      </c>
      <c r="AK37" s="64">
        <f>AI37*$AK$9</f>
        <v>10.112202422933617</v>
      </c>
      <c r="AL37" s="109">
        <f>AI37*$AL$9</f>
        <v>11.896708732863079</v>
      </c>
      <c r="AN37" s="31">
        <f>AVERAGE(AF37:AF56)</f>
        <v>1.8236496090057166</v>
      </c>
      <c r="AO37" s="20">
        <f>AVERAGE(AG37:AG56)</f>
        <v>3.022047923495188</v>
      </c>
      <c r="AP37" s="191">
        <f>(AD37-(AQ37*Surfaces!Y8)-(AR37*Surfaces!Z8))/Surfaces!X8</f>
        <v>20.34074524685062</v>
      </c>
      <c r="AQ37" s="23">
        <f t="shared" ref="AQ37:AQ67" si="8">AF37</f>
        <v>3.3688349675535139</v>
      </c>
      <c r="AR37" s="20">
        <f t="shared" ref="AR37:AR67" si="9">AG37</f>
        <v>5.5826408033743942</v>
      </c>
      <c r="AS37" s="24">
        <f t="shared" ref="AS37:AS67" si="10">AP37/$AD37</f>
        <v>1.0565564254104673</v>
      </c>
      <c r="AT37" s="24">
        <f t="shared" ref="AT37:AT67" si="11">AQ37/$AD37</f>
        <v>0.17498691360225499</v>
      </c>
      <c r="AU37" s="124">
        <f t="shared" ref="AU37:AU67" si="12">AR37/$AD37</f>
        <v>0.28997831396945112</v>
      </c>
      <c r="AW37" s="31">
        <f>AVERAGE(AK37:AK56)</f>
        <v>5.7872110583036322</v>
      </c>
      <c r="AX37" s="31">
        <f>AVERAGE(AL37:AL56)</f>
        <v>6.8084835980042708</v>
      </c>
      <c r="AY37" s="191">
        <f>(AI37-(AZ37*Surfaces!AC8)-(BA37*Surfaces!AD8))/Surfaces!AB8</f>
        <v>27.04186015167933</v>
      </c>
      <c r="AZ37" s="23">
        <f>AK37</f>
        <v>10.112202422933617</v>
      </c>
      <c r="BA37" s="23">
        <f>AL37</f>
        <v>11.896708732863079</v>
      </c>
      <c r="BB37" s="24">
        <f>AY37/$AI37</f>
        <v>1.0117999384807388</v>
      </c>
      <c r="BC37" s="24">
        <f>AZ37/$AI37</f>
        <v>0.3783588012081936</v>
      </c>
      <c r="BD37" s="124">
        <f>BA37/$AI37</f>
        <v>0.44512800142140424</v>
      </c>
    </row>
    <row r="38" spans="1:56" x14ac:dyDescent="0.3">
      <c r="B38">
        <v>2021</v>
      </c>
      <c r="C38" s="101">
        <v>10.892561753547378</v>
      </c>
      <c r="D38" s="87">
        <v>14.324869262413172</v>
      </c>
      <c r="E38" s="87">
        <v>11.162732673123962</v>
      </c>
      <c r="F38" s="102">
        <v>8.8162473153813092</v>
      </c>
      <c r="G38" s="159"/>
      <c r="H38" s="160"/>
      <c r="I38" s="163">
        <f t="shared" si="2"/>
        <v>45.196411004465823</v>
      </c>
      <c r="J38" s="165">
        <f>Surfaces!$A$8</f>
        <v>8645297.8125</v>
      </c>
      <c r="K38" s="175">
        <f t="shared" ref="K38:K67" si="13">(I38*1000000)/J38</f>
        <v>5.2278605069125055</v>
      </c>
      <c r="L38" s="63">
        <f t="shared" ref="L38:L101" si="14">C38</f>
        <v>10.892561753547378</v>
      </c>
      <c r="M38" s="109">
        <f>(E38*'Global-Swiss Carbon Budgets'!$B$50)/(100%-'Global-Swiss Carbon Budgets'!$B$51)</f>
        <v>7.116772007341833</v>
      </c>
      <c r="N38" s="64">
        <f t="shared" ref="N38:N101" si="15">F38*0.1</f>
        <v>0.88162473153813092</v>
      </c>
      <c r="O38" s="120">
        <f t="shared" ref="O38:O101" si="16">M38*$O$7</f>
        <v>3.966320236687368</v>
      </c>
      <c r="P38" s="109">
        <f t="shared" ref="P38:P101" si="17">M38*$P$7</f>
        <v>3.1504517706544646</v>
      </c>
      <c r="Q38" s="181">
        <f>(O38*1000000000)/Surfaces!U9</f>
        <v>690.34791799229617</v>
      </c>
      <c r="R38" s="165">
        <f>((N38*$O$7)*1000000000)/Surfaces!U9</f>
        <v>85.52020455903191</v>
      </c>
      <c r="S38" s="165">
        <f>(P38*1000000000)/Surfaces!V9</f>
        <v>505.82277948549694</v>
      </c>
      <c r="T38" s="165">
        <f>((N38*$P$7)*1000000000)/Surfaces!V9</f>
        <v>62.661255933128672</v>
      </c>
      <c r="U38" s="181">
        <f t="shared" ref="U38:U101" si="18">Q38*$U$3</f>
        <v>510.85745931429915</v>
      </c>
      <c r="V38" s="165">
        <f t="shared" ref="V38:V101" si="19">Q38*$V$3</f>
        <v>179.490458677997</v>
      </c>
      <c r="W38" s="165">
        <f t="shared" si="3"/>
        <v>131.51392266622921</v>
      </c>
      <c r="X38" s="182">
        <f t="shared" si="4"/>
        <v>374.3088568192677</v>
      </c>
      <c r="Y38" s="64">
        <f t="shared" ref="Y38:Y69" si="20">V38/$Y$3</f>
        <v>2.9915076446332831</v>
      </c>
      <c r="Z38" s="109">
        <f t="shared" ref="Z38:Z101" si="21">W38/$Y$3</f>
        <v>2.19189871110382</v>
      </c>
      <c r="AB38">
        <v>2021</v>
      </c>
      <c r="AC38" s="120">
        <f t="shared" si="5"/>
        <v>7.5158676099476907</v>
      </c>
      <c r="AD38" s="64">
        <f>(AC38*1000000000)/(Surfaces!E9+Surfaces!I9+Surfaces!K9)</f>
        <v>18.179917604645237</v>
      </c>
      <c r="AE38" s="64">
        <f t="shared" si="6"/>
        <v>19.587574836636577</v>
      </c>
      <c r="AF38" s="64">
        <f t="shared" ref="AF38:AF67" si="22">AD38*$AF$9</f>
        <v>3.1812476711801705</v>
      </c>
      <c r="AG38" s="109">
        <f t="shared" ref="AG38:AG67" si="23">AD38*$AG$9</f>
        <v>5.2717818550985678</v>
      </c>
      <c r="AH38" s="120">
        <f t="shared" si="7"/>
        <v>3.3766941435996878</v>
      </c>
      <c r="AI38" s="64">
        <f>(AH38*1000000000)/Surfaces!N9</f>
        <v>25.447282614514755</v>
      </c>
      <c r="AJ38" s="64">
        <f t="shared" ref="AJ38:AJ67" si="24">AI38*$BB$37</f>
        <v>25.747558983868004</v>
      </c>
      <c r="AK38" s="64">
        <f t="shared" ref="AK38:AK67" si="25">AI38*$AK$9</f>
        <v>9.6282033440339099</v>
      </c>
      <c r="AL38" s="109">
        <f t="shared" ref="AL38:AL67" si="26">AI38*$AL$9</f>
        <v>11.327298051804599</v>
      </c>
      <c r="AN38" s="31">
        <f t="shared" ref="AN38:AN67" si="27">AVERAGE(AF38:AF57)</f>
        <v>1.6892224893090575</v>
      </c>
      <c r="AO38" s="20">
        <f t="shared" ref="AO38:AO67" si="28">AVERAGE(AG38:AG57)</f>
        <v>2.7992829822835819</v>
      </c>
      <c r="AP38" s="191">
        <f>(AD38-(AQ38*Surfaces!Y9)-(AR38*Surfaces!Z9))/Surfaces!X9</f>
        <v>19.587574836636577</v>
      </c>
      <c r="AQ38" s="23">
        <f t="shared" si="8"/>
        <v>3.1812476711801705</v>
      </c>
      <c r="AR38" s="20">
        <f t="shared" si="9"/>
        <v>5.2717818550985678</v>
      </c>
      <c r="AS38" s="24">
        <f t="shared" si="10"/>
        <v>1.0774292415732216</v>
      </c>
      <c r="AT38" s="24">
        <f t="shared" si="11"/>
        <v>0.17498691360225499</v>
      </c>
      <c r="AU38" s="124">
        <f t="shared" si="12"/>
        <v>0.28997831396945112</v>
      </c>
      <c r="AW38" s="31">
        <f t="shared" ref="AW38:AX38" si="29">AVERAGE(AK38:AK57)</f>
        <v>5.400261673968104</v>
      </c>
      <c r="AX38" s="31">
        <f t="shared" si="29"/>
        <v>6.3532490281977685</v>
      </c>
      <c r="AY38" s="191">
        <f>(AI38-(AZ38*Surfaces!AC9)-(BA38*Surfaces!AD9))/Surfaces!AB9</f>
        <v>25.994668339649561</v>
      </c>
      <c r="AZ38" s="23">
        <f t="shared" ref="AZ38:AZ67" si="30">AK38</f>
        <v>9.6282033440339099</v>
      </c>
      <c r="BA38" s="23">
        <f t="shared" ref="BA38:BA67" si="31">AL38</f>
        <v>11.327298051804599</v>
      </c>
      <c r="BB38" s="24">
        <f t="shared" ref="BB38:BB67" si="32">AY38/$AI38</f>
        <v>1.0215105767254924</v>
      </c>
      <c r="BC38" s="24">
        <f t="shared" ref="BC38:BC67" si="33">AZ38/$AI38</f>
        <v>0.3783588012081936</v>
      </c>
      <c r="BD38" s="124">
        <f t="shared" ref="BD38:BD67" si="34">BA38/$AI38</f>
        <v>0.44512800142140424</v>
      </c>
    </row>
    <row r="39" spans="1:56" x14ac:dyDescent="0.3">
      <c r="B39">
        <v>2022</v>
      </c>
      <c r="C39" s="101">
        <v>10.284349872217231</v>
      </c>
      <c r="D39" s="87">
        <v>14.128691412642</v>
      </c>
      <c r="E39" s="87">
        <v>11.002745887227482</v>
      </c>
      <c r="F39" s="102">
        <v>8.7686382523980289</v>
      </c>
      <c r="G39" s="159"/>
      <c r="H39" s="160"/>
      <c r="I39" s="163">
        <f t="shared" si="2"/>
        <v>44.184425424484743</v>
      </c>
      <c r="J39" s="165">
        <f>Surfaces!$A$8</f>
        <v>8645297.8125</v>
      </c>
      <c r="K39" s="175">
        <f t="shared" si="13"/>
        <v>5.110804321928585</v>
      </c>
      <c r="L39" s="63">
        <f t="shared" si="14"/>
        <v>10.284349872217231</v>
      </c>
      <c r="M39" s="109">
        <f>(E39*'Global-Swiss Carbon Budgets'!$B$50)/(100%-'Global-Swiss Carbon Budgets'!$B$51)</f>
        <v>7.0147728362827602</v>
      </c>
      <c r="N39" s="64">
        <f t="shared" si="15"/>
        <v>0.87686382523980289</v>
      </c>
      <c r="O39" s="120">
        <f t="shared" si="16"/>
        <v>3.9094740463247173</v>
      </c>
      <c r="P39" s="109">
        <f t="shared" si="17"/>
        <v>3.1052987899580424</v>
      </c>
      <c r="Q39" s="181">
        <f>(O39*1000000000)/Surfaces!U10</f>
        <v>675.80786255337227</v>
      </c>
      <c r="R39" s="165">
        <f>((N39*$O$7)*1000000000)/Surfaces!U10</f>
        <v>84.47764187324826</v>
      </c>
      <c r="S39" s="165">
        <f>(P39*1000000000)/Surfaces!V10</f>
        <v>473.64455336704538</v>
      </c>
      <c r="T39" s="165">
        <f>((N39*$P$7)*1000000000)/Surfaces!V10</f>
        <v>59.206731930254627</v>
      </c>
      <c r="U39" s="181">
        <f t="shared" si="18"/>
        <v>500.09781828949548</v>
      </c>
      <c r="V39" s="165">
        <f t="shared" si="19"/>
        <v>175.7100442638768</v>
      </c>
      <c r="W39" s="165">
        <f t="shared" si="3"/>
        <v>123.14758387543181</v>
      </c>
      <c r="X39" s="182">
        <f t="shared" si="4"/>
        <v>350.49696949161358</v>
      </c>
      <c r="Y39" s="64">
        <f t="shared" si="20"/>
        <v>2.9285007377312797</v>
      </c>
      <c r="Z39" s="109">
        <f t="shared" si="21"/>
        <v>2.0524597312571968</v>
      </c>
      <c r="AB39">
        <v>2022</v>
      </c>
      <c r="AC39" s="120">
        <f t="shared" si="5"/>
        <v>7.0962014118298882</v>
      </c>
      <c r="AD39" s="64">
        <f>(AC39*1000000000)/(Surfaces!E10+Surfaces!I10+Surfaces!K10)</f>
        <v>16.951320622327941</v>
      </c>
      <c r="AE39" s="64">
        <f t="shared" si="6"/>
        <v>18.636989253391484</v>
      </c>
      <c r="AF39" s="64">
        <f t="shared" si="22"/>
        <v>2.9662592771834229</v>
      </c>
      <c r="AG39" s="109">
        <f t="shared" si="23"/>
        <v>4.9155153736182431</v>
      </c>
      <c r="AH39" s="120">
        <f t="shared" si="7"/>
        <v>3.188148460387342</v>
      </c>
      <c r="AI39" s="64">
        <f>(AH39*1000000000)/Surfaces!N10</f>
        <v>23.922083291619213</v>
      </c>
      <c r="AJ39" s="64">
        <f t="shared" si="24"/>
        <v>24.204362402791428</v>
      </c>
      <c r="AK39" s="64">
        <f t="shared" si="25"/>
        <v>9.0511307566196031</v>
      </c>
      <c r="AL39" s="109">
        <f t="shared" si="26"/>
        <v>10.648389125434827</v>
      </c>
      <c r="AN39" s="31">
        <f t="shared" si="27"/>
        <v>1.5606812942436188</v>
      </c>
      <c r="AO39" s="20">
        <f t="shared" si="28"/>
        <v>2.5862718590322831</v>
      </c>
      <c r="AP39" s="191">
        <f>(AD39-(AQ39*Surfaces!Y10)-(AR39*Surfaces!Z10))/Surfaces!X10</f>
        <v>18.636989253391484</v>
      </c>
      <c r="AQ39" s="23">
        <f t="shared" si="8"/>
        <v>2.9662592771834229</v>
      </c>
      <c r="AR39" s="20">
        <f t="shared" si="9"/>
        <v>4.9155153736182431</v>
      </c>
      <c r="AS39" s="24">
        <f t="shared" si="10"/>
        <v>1.0994417289732112</v>
      </c>
      <c r="AT39" s="24">
        <f t="shared" si="11"/>
        <v>0.17498691360225499</v>
      </c>
      <c r="AU39" s="124">
        <f t="shared" si="12"/>
        <v>0.28997831396945112</v>
      </c>
      <c r="AW39" s="31">
        <f t="shared" ref="AW39:AX39" si="35">AVERAGE(AK39:AK58)</f>
        <v>5.0260480364688522</v>
      </c>
      <c r="AX39" s="31">
        <f t="shared" si="35"/>
        <v>5.9129976899633547</v>
      </c>
      <c r="AY39" s="191">
        <f>(AI39-(AZ39*Surfaces!AC10)-(BA39*Surfaces!AD10))/Surfaces!AB10</f>
        <v>24.684298761064021</v>
      </c>
      <c r="AZ39" s="23">
        <f t="shared" si="30"/>
        <v>9.0511307566196031</v>
      </c>
      <c r="BA39" s="23">
        <f t="shared" si="31"/>
        <v>10.648389125434827</v>
      </c>
      <c r="BB39" s="24">
        <f t="shared" si="32"/>
        <v>1.0318624201810984</v>
      </c>
      <c r="BC39" s="24">
        <f t="shared" si="33"/>
        <v>0.3783588012081936</v>
      </c>
      <c r="BD39" s="124">
        <f t="shared" si="34"/>
        <v>0.44512800142140418</v>
      </c>
    </row>
    <row r="40" spans="1:56" x14ac:dyDescent="0.3">
      <c r="B40">
        <v>2023</v>
      </c>
      <c r="C40" s="101">
        <v>9.7338020092581026</v>
      </c>
      <c r="D40" s="87">
        <v>13.894462578847881</v>
      </c>
      <c r="E40" s="87">
        <v>10.845369626110791</v>
      </c>
      <c r="F40" s="102">
        <v>8.7218206962617408</v>
      </c>
      <c r="G40" s="159"/>
      <c r="H40" s="160"/>
      <c r="I40" s="163">
        <f t="shared" si="2"/>
        <v>43.195454910478517</v>
      </c>
      <c r="J40" s="165">
        <f>Surfaces!$A$8</f>
        <v>8645297.8125</v>
      </c>
      <c r="K40" s="175">
        <f t="shared" si="13"/>
        <v>4.9964102853719385</v>
      </c>
      <c r="L40" s="63">
        <f t="shared" si="14"/>
        <v>9.7338020092581026</v>
      </c>
      <c r="M40" s="109">
        <f>(E40*'Global-Swiss Carbon Budgets'!$B$50)/(100%-'Global-Swiss Carbon Budgets'!$B$51)</f>
        <v>6.9144379987002056</v>
      </c>
      <c r="N40" s="64">
        <f t="shared" si="15"/>
        <v>0.87218206962617417</v>
      </c>
      <c r="O40" s="120">
        <f t="shared" si="16"/>
        <v>3.8535554224966839</v>
      </c>
      <c r="P40" s="109">
        <f t="shared" si="17"/>
        <v>3.0608825762035212</v>
      </c>
      <c r="Q40" s="181">
        <f>(O40*1000000000)/Surfaces!U11</f>
        <v>661.62426241513492</v>
      </c>
      <c r="R40" s="165">
        <f>((N40*$O$7)*1000000000)/Surfaces!U11</f>
        <v>83.456792673041534</v>
      </c>
      <c r="S40" s="165">
        <f>(P40*1000000000)/Surfaces!V11</f>
        <v>444.63794638260163</v>
      </c>
      <c r="T40" s="165">
        <f>((N40*$P$7)*1000000000)/Surfaces!V11</f>
        <v>56.086300055508488</v>
      </c>
      <c r="U40" s="181">
        <f t="shared" si="18"/>
        <v>489.60195418719985</v>
      </c>
      <c r="V40" s="165">
        <f t="shared" si="19"/>
        <v>172.0223082279351</v>
      </c>
      <c r="W40" s="165">
        <f t="shared" si="3"/>
        <v>115.60586605947643</v>
      </c>
      <c r="X40" s="182">
        <f t="shared" si="4"/>
        <v>329.03208032312517</v>
      </c>
      <c r="Y40" s="64">
        <f t="shared" si="20"/>
        <v>2.8670384704655851</v>
      </c>
      <c r="Z40" s="109">
        <f t="shared" si="21"/>
        <v>1.9267644343246071</v>
      </c>
      <c r="AB40">
        <v>2023</v>
      </c>
      <c r="AC40" s="120">
        <f t="shared" si="5"/>
        <v>6.7163233863880905</v>
      </c>
      <c r="AD40" s="64">
        <f>(AC40*1000000000)/(Surfaces!E11+Surfaces!I11+Surfaces!K11)</f>
        <v>15.8454572984844</v>
      </c>
      <c r="AE40" s="64">
        <f t="shared" si="6"/>
        <v>17.789443939827141</v>
      </c>
      <c r="AF40" s="64">
        <f t="shared" si="22"/>
        <v>2.7727476672781104</v>
      </c>
      <c r="AG40" s="109">
        <f t="shared" si="23"/>
        <v>4.5948389914894401</v>
      </c>
      <c r="AH40" s="120">
        <f t="shared" si="7"/>
        <v>3.0174786228700121</v>
      </c>
      <c r="AI40" s="64">
        <f>(AH40*1000000000)/Surfaces!N11</f>
        <v>22.542952935759963</v>
      </c>
      <c r="AJ40" s="64">
        <f t="shared" si="24"/>
        <v>22.80895839357612</v>
      </c>
      <c r="AK40" s="64">
        <f t="shared" si="25"/>
        <v>8.5293246484668686</v>
      </c>
      <c r="AL40" s="109">
        <f t="shared" si="26"/>
        <v>10.034499586431609</v>
      </c>
      <c r="AN40" s="31">
        <f t="shared" si="27"/>
        <v>1.4398795674585234</v>
      </c>
      <c r="AO40" s="20">
        <f t="shared" si="28"/>
        <v>2.386086140359839</v>
      </c>
      <c r="AP40" s="191">
        <f>(AD40-(AQ40*Surfaces!Y11)-(AR40*Surfaces!Z11))/Surfaces!X11</f>
        <v>17.789443939827141</v>
      </c>
      <c r="AQ40" s="23">
        <f t="shared" si="8"/>
        <v>2.7727476672781104</v>
      </c>
      <c r="AR40" s="20">
        <f t="shared" si="9"/>
        <v>4.5948389914894401</v>
      </c>
      <c r="AS40" s="24">
        <f t="shared" si="10"/>
        <v>1.1226841614428307</v>
      </c>
      <c r="AT40" s="24">
        <f t="shared" si="11"/>
        <v>0.17498691360225499</v>
      </c>
      <c r="AU40" s="124">
        <f t="shared" si="12"/>
        <v>0.28997831396945112</v>
      </c>
      <c r="AW40" s="31">
        <f t="shared" ref="AW40:AX40" si="36">AVERAGE(AK40:AK59)</f>
        <v>4.6707659712632923</v>
      </c>
      <c r="AX40" s="31">
        <f t="shared" si="36"/>
        <v>5.4950187897215201</v>
      </c>
      <c r="AY40" s="191">
        <f>(AI40-(AZ40*Surfaces!AC11)-(BA40*Surfaces!AD11))/Surfaces!AB11</f>
        <v>23.510076242204619</v>
      </c>
      <c r="AZ40" s="23">
        <f t="shared" si="30"/>
        <v>8.5293246484668686</v>
      </c>
      <c r="BA40" s="23">
        <f t="shared" si="31"/>
        <v>10.034499586431609</v>
      </c>
      <c r="BB40" s="24">
        <f t="shared" si="32"/>
        <v>1.042901358539879</v>
      </c>
      <c r="BC40" s="24">
        <f t="shared" si="33"/>
        <v>0.3783588012081936</v>
      </c>
      <c r="BD40" s="124">
        <f t="shared" si="34"/>
        <v>0.44512800142140424</v>
      </c>
    </row>
    <row r="41" spans="1:56" x14ac:dyDescent="0.3">
      <c r="B41">
        <v>2024</v>
      </c>
      <c r="C41" s="101">
        <v>9.1895304073203974</v>
      </c>
      <c r="D41" s="87">
        <v>13.624206067002184</v>
      </c>
      <c r="E41" s="87">
        <v>10.681629175665622</v>
      </c>
      <c r="F41" s="102">
        <v>8.6757416340801363</v>
      </c>
      <c r="G41" s="159"/>
      <c r="H41" s="160"/>
      <c r="I41" s="163">
        <f t="shared" si="2"/>
        <v>42.171107284068341</v>
      </c>
      <c r="J41" s="165">
        <f>Surfaces!$A$8</f>
        <v>8645297.8125</v>
      </c>
      <c r="K41" s="175">
        <f t="shared" si="13"/>
        <v>4.877924184762529</v>
      </c>
      <c r="L41" s="63">
        <f t="shared" si="14"/>
        <v>9.1895304073203974</v>
      </c>
      <c r="M41" s="109">
        <f>(E41*'Global-Swiss Carbon Budgets'!$B$50)/(100%-'Global-Swiss Carbon Budgets'!$B$51)</f>
        <v>6.8100456882936875</v>
      </c>
      <c r="N41" s="64">
        <f t="shared" si="15"/>
        <v>0.86757416340801363</v>
      </c>
      <c r="O41" s="120">
        <f t="shared" si="16"/>
        <v>3.7953754874232017</v>
      </c>
      <c r="P41" s="109">
        <f t="shared" si="17"/>
        <v>3.0146702008704853</v>
      </c>
      <c r="Q41" s="181">
        <f>(O41*1000000000)/Surfaces!U12</f>
        <v>647.24609804550073</v>
      </c>
      <c r="R41" s="165">
        <f>((N41*$O$7)*1000000000)/Surfaces!U12</f>
        <v>82.456714350124045</v>
      </c>
      <c r="S41" s="165">
        <f>(P41*1000000000)/Surfaces!V12</f>
        <v>418.01924488137576</v>
      </c>
      <c r="T41" s="165">
        <f>((N41*$P$7)*1000000000)/Surfaces!V12</f>
        <v>53.254076883774509</v>
      </c>
      <c r="U41" s="181">
        <f t="shared" si="18"/>
        <v>478.96211255367052</v>
      </c>
      <c r="V41" s="165">
        <f t="shared" si="19"/>
        <v>168.28398549183021</v>
      </c>
      <c r="W41" s="165">
        <f t="shared" si="3"/>
        <v>108.68500366915769</v>
      </c>
      <c r="X41" s="182">
        <f t="shared" si="4"/>
        <v>309.33424121221805</v>
      </c>
      <c r="Y41" s="64">
        <f t="shared" si="20"/>
        <v>2.8047330915305033</v>
      </c>
      <c r="Z41" s="109">
        <f t="shared" si="21"/>
        <v>1.811416727819295</v>
      </c>
      <c r="AB41">
        <v>2024</v>
      </c>
      <c r="AC41" s="120">
        <f t="shared" si="5"/>
        <v>6.340775981051074</v>
      </c>
      <c r="AD41" s="64">
        <f>(AC41*1000000000)/(Surfaces!E12+Surfaces!I12+Surfaces!K12)</f>
        <v>14.775480547725254</v>
      </c>
      <c r="AE41" s="64">
        <f t="shared" si="6"/>
        <v>16.951271850294265</v>
      </c>
      <c r="AF41" s="64">
        <f t="shared" si="22"/>
        <v>2.5855157380365981</v>
      </c>
      <c r="AG41" s="109">
        <f t="shared" si="23"/>
        <v>4.2845689373177915</v>
      </c>
      <c r="AH41" s="120">
        <f t="shared" si="7"/>
        <v>2.8487544262693238</v>
      </c>
      <c r="AI41" s="64">
        <f>(AH41*1000000000)/Surfaces!N12</f>
        <v>21.189622507645183</v>
      </c>
      <c r="AJ41" s="64">
        <f t="shared" si="24"/>
        <v>21.439658749665472</v>
      </c>
      <c r="AK41" s="64">
        <f t="shared" si="25"/>
        <v>8.0172801700467886</v>
      </c>
      <c r="AL41" s="109">
        <f t="shared" si="26"/>
        <v>9.4320943177021039</v>
      </c>
      <c r="AN41" s="31">
        <f t="shared" si="27"/>
        <v>1.325267163737154</v>
      </c>
      <c r="AO41" s="20">
        <f t="shared" si="28"/>
        <v>2.1961570141929974</v>
      </c>
      <c r="AP41" s="191">
        <f>(AD41-(AQ41*Surfaces!Y12)-(AR41*Surfaces!Z12))/Surfaces!X12</f>
        <v>16.951271850294265</v>
      </c>
      <c r="AQ41" s="23">
        <f t="shared" si="8"/>
        <v>2.5855157380365981</v>
      </c>
      <c r="AR41" s="20">
        <f t="shared" si="9"/>
        <v>4.2845689373177915</v>
      </c>
      <c r="AS41" s="24">
        <f t="shared" si="10"/>
        <v>1.1472568892457433</v>
      </c>
      <c r="AT41" s="24">
        <f t="shared" si="11"/>
        <v>0.17498691360225499</v>
      </c>
      <c r="AU41" s="124">
        <f t="shared" si="12"/>
        <v>0.28997831396945112</v>
      </c>
      <c r="AW41" s="31">
        <f t="shared" ref="AW41:AX41" si="37">AVERAGE(AK41:AK60)</f>
        <v>4.329812926928688</v>
      </c>
      <c r="AX41" s="31">
        <f t="shared" si="37"/>
        <v>5.0938975610925752</v>
      </c>
      <c r="AY41" s="191">
        <f>(AI41-(AZ41*Surfaces!AC12)-(BA41*Surfaces!AD12))/Surfaces!AB12</f>
        <v>22.348240612124449</v>
      </c>
      <c r="AZ41" s="23">
        <f t="shared" si="30"/>
        <v>8.0172801700467886</v>
      </c>
      <c r="BA41" s="23">
        <f t="shared" si="31"/>
        <v>9.4320943177021039</v>
      </c>
      <c r="BB41" s="24">
        <f t="shared" si="32"/>
        <v>1.0546785627757758</v>
      </c>
      <c r="BC41" s="24">
        <f t="shared" si="33"/>
        <v>0.3783588012081936</v>
      </c>
      <c r="BD41" s="124">
        <f t="shared" si="34"/>
        <v>0.44512800142140424</v>
      </c>
    </row>
    <row r="42" spans="1:56" x14ac:dyDescent="0.3">
      <c r="B42">
        <v>2025</v>
      </c>
      <c r="C42" s="101">
        <v>8.6276497692208025</v>
      </c>
      <c r="D42" s="87">
        <v>13.318561804755733</v>
      </c>
      <c r="E42" s="87">
        <v>9.8601439742160615</v>
      </c>
      <c r="F42" s="102">
        <v>8.6303446597445586</v>
      </c>
      <c r="G42" s="159"/>
      <c r="H42" s="160"/>
      <c r="I42" s="163">
        <f t="shared" si="2"/>
        <v>40.43670020793715</v>
      </c>
      <c r="J42" s="165">
        <f>Surfaces!$A$8</f>
        <v>8645297.8125</v>
      </c>
      <c r="K42" s="175">
        <f t="shared" si="13"/>
        <v>4.6773056388492282</v>
      </c>
      <c r="L42" s="63">
        <f t="shared" si="14"/>
        <v>8.6276497692208025</v>
      </c>
      <c r="M42" s="109">
        <f>(E42*'Global-Swiss Carbon Budgets'!$B$50)/(100%-'Global-Swiss Carbon Budgets'!$B$51)</f>
        <v>6.2863098740160837</v>
      </c>
      <c r="N42" s="64">
        <f t="shared" si="15"/>
        <v>0.86303446597445588</v>
      </c>
      <c r="O42" s="120">
        <f t="shared" si="16"/>
        <v>3.5034869800066093</v>
      </c>
      <c r="P42" s="109">
        <f t="shared" si="17"/>
        <v>2.7828228940094744</v>
      </c>
      <c r="Q42" s="181">
        <f>(O42*1000000000)/Surfaces!U13</f>
        <v>593.4713842841702</v>
      </c>
      <c r="R42" s="165">
        <f>((N42*$O$7)*1000000000)/Surfaces!U13</f>
        <v>81.476457488022874</v>
      </c>
      <c r="S42" s="165">
        <f>(P42*1000000000)/Surfaces!V13</f>
        <v>369.09391106780765</v>
      </c>
      <c r="T42" s="165">
        <f>((N42*$P$7)*1000000000)/Surfaces!V13</f>
        <v>50.672138793139879</v>
      </c>
      <c r="U42" s="181">
        <f t="shared" si="18"/>
        <v>439.16882437028596</v>
      </c>
      <c r="V42" s="165">
        <f t="shared" si="19"/>
        <v>154.30255991388427</v>
      </c>
      <c r="W42" s="165">
        <f t="shared" si="3"/>
        <v>95.964416877629986</v>
      </c>
      <c r="X42" s="182">
        <f t="shared" si="4"/>
        <v>273.12949419017764</v>
      </c>
      <c r="Y42" s="64">
        <f t="shared" si="20"/>
        <v>2.571709331898071</v>
      </c>
      <c r="Z42" s="109">
        <f t="shared" si="21"/>
        <v>1.5994069479604998</v>
      </c>
      <c r="AB42">
        <v>2025</v>
      </c>
      <c r="AC42" s="120">
        <f t="shared" si="5"/>
        <v>5.9530783407623531</v>
      </c>
      <c r="AD42" s="64">
        <f>(AC42*1000000000)/(Surfaces!E13+Surfaces!I13+Surfaces!K13)</f>
        <v>13.702410654345318</v>
      </c>
      <c r="AE42" s="64">
        <f t="shared" si="6"/>
        <v>16.076651556853548</v>
      </c>
      <c r="AF42" s="64">
        <f t="shared" si="22"/>
        <v>2.3977425493145423</v>
      </c>
      <c r="AG42" s="109">
        <f t="shared" si="23"/>
        <v>3.9734019388640989</v>
      </c>
      <c r="AH42" s="120">
        <f t="shared" si="7"/>
        <v>2.6745714284584494</v>
      </c>
      <c r="AI42" s="64">
        <f>(AH42*1000000000)/Surfaces!N13</f>
        <v>19.807039661966957</v>
      </c>
      <c r="AJ42" s="64">
        <f t="shared" si="24"/>
        <v>20.040761511463721</v>
      </c>
      <c r="AK42" s="64">
        <f t="shared" si="25"/>
        <v>7.4941677819849621</v>
      </c>
      <c r="AL42" s="109">
        <f t="shared" si="26"/>
        <v>8.8166679788058371</v>
      </c>
      <c r="AN42" s="31">
        <f t="shared" si="27"/>
        <v>1.2167263557176846</v>
      </c>
      <c r="AO42" s="20">
        <f t="shared" si="28"/>
        <v>2.0162893894750202</v>
      </c>
      <c r="AP42" s="191">
        <f>(AD42-(AQ42*Surfaces!Y13)-(AR42*Surfaces!Z13))/Surfaces!X13</f>
        <v>16.076651556853548</v>
      </c>
      <c r="AQ42" s="23">
        <f t="shared" si="8"/>
        <v>2.3977425493145423</v>
      </c>
      <c r="AR42" s="20">
        <f t="shared" si="9"/>
        <v>3.9734019388640989</v>
      </c>
      <c r="AS42" s="24">
        <f t="shared" si="10"/>
        <v>1.173271766727799</v>
      </c>
      <c r="AT42" s="24">
        <f t="shared" si="11"/>
        <v>0.17498691360225499</v>
      </c>
      <c r="AU42" s="124">
        <f t="shared" si="12"/>
        <v>0.28997831396945112</v>
      </c>
      <c r="AW42" s="31">
        <f t="shared" ref="AW42:AX42" si="38">AVERAGE(AK42:AK61)</f>
        <v>4.0032383632352193</v>
      </c>
      <c r="AX42" s="31">
        <f t="shared" si="38"/>
        <v>4.7096921920414365</v>
      </c>
      <c r="AY42" s="191">
        <f>(AI42-(AZ42*Surfaces!AC13)-(BA42*Surfaces!AD13))/Surfaces!AB13</f>
        <v>21.139087054215697</v>
      </c>
      <c r="AZ42" s="23">
        <f t="shared" si="30"/>
        <v>7.4941677819849621</v>
      </c>
      <c r="BA42" s="23">
        <f t="shared" si="31"/>
        <v>8.8166679788058371</v>
      </c>
      <c r="BB42" s="24">
        <f t="shared" si="32"/>
        <v>1.067251210427296</v>
      </c>
      <c r="BC42" s="24">
        <f t="shared" si="33"/>
        <v>0.3783588012081936</v>
      </c>
      <c r="BD42" s="124">
        <f t="shared" si="34"/>
        <v>0.44512800142140418</v>
      </c>
    </row>
    <row r="43" spans="1:56" x14ac:dyDescent="0.3">
      <c r="B43">
        <v>2026</v>
      </c>
      <c r="C43" s="101">
        <v>8.0510445815980916</v>
      </c>
      <c r="D43" s="87">
        <v>13.006550261880664</v>
      </c>
      <c r="E43" s="87">
        <v>9.5717152472893314</v>
      </c>
      <c r="F43" s="102">
        <v>8.5865083520156364</v>
      </c>
      <c r="G43" s="159"/>
      <c r="H43" s="160"/>
      <c r="I43" s="163">
        <f t="shared" si="2"/>
        <v>39.215818442783721</v>
      </c>
      <c r="J43" s="165">
        <f>Surfaces!$A$8</f>
        <v>8645297.8125</v>
      </c>
      <c r="K43" s="175">
        <f t="shared" si="13"/>
        <v>4.5360864707381898</v>
      </c>
      <c r="L43" s="63">
        <f t="shared" si="14"/>
        <v>8.0510445815980916</v>
      </c>
      <c r="M43" s="109">
        <f>(E43*'Global-Swiss Carbon Budgets'!$B$50)/(100%-'Global-Swiss Carbon Budgets'!$B$51)</f>
        <v>6.1024228680280652</v>
      </c>
      <c r="N43" s="64">
        <f t="shared" si="15"/>
        <v>0.85865083520156371</v>
      </c>
      <c r="O43" s="120">
        <f t="shared" si="16"/>
        <v>3.4010030515680265</v>
      </c>
      <c r="P43" s="109">
        <f t="shared" si="17"/>
        <v>2.7014198164600383</v>
      </c>
      <c r="Q43" s="181">
        <f>(O43*1000000000)/Surfaces!U14</f>
        <v>572.2823085829823</v>
      </c>
      <c r="R43" s="165">
        <f>((N43*$O$7)*1000000000)/Surfaces!U14</f>
        <v>80.523866153288168</v>
      </c>
      <c r="S43" s="165">
        <f>(P43*1000000000)/Surfaces!V14</f>
        <v>343.36813432194407</v>
      </c>
      <c r="T43" s="165">
        <f>((N43*$P$7)*1000000000)/Surfaces!V14</f>
        <v>48.314143692308946</v>
      </c>
      <c r="U43" s="181">
        <f t="shared" si="18"/>
        <v>423.48890835140691</v>
      </c>
      <c r="V43" s="165">
        <f t="shared" si="19"/>
        <v>148.79340023157539</v>
      </c>
      <c r="W43" s="165">
        <f t="shared" si="3"/>
        <v>89.275714923705465</v>
      </c>
      <c r="X43" s="182">
        <f t="shared" si="4"/>
        <v>254.0924193982386</v>
      </c>
      <c r="Y43" s="64">
        <f t="shared" si="20"/>
        <v>2.4798900038595897</v>
      </c>
      <c r="Z43" s="109">
        <f t="shared" si="21"/>
        <v>1.4879285820617578</v>
      </c>
      <c r="AB43">
        <v>2026</v>
      </c>
      <c r="AC43" s="120">
        <f t="shared" si="5"/>
        <v>5.5552207613026825</v>
      </c>
      <c r="AD43" s="64">
        <f>(AC43*1000000000)/(Surfaces!E14+Surfaces!I14+Surfaces!K14)</f>
        <v>12.631145331558228</v>
      </c>
      <c r="AE43" s="64">
        <f t="shared" si="6"/>
        <v>15.168159263656076</v>
      </c>
      <c r="AF43" s="64">
        <f t="shared" si="22"/>
        <v>2.210285136830906</v>
      </c>
      <c r="AG43" s="109">
        <f t="shared" si="23"/>
        <v>3.6627582267483585</v>
      </c>
      <c r="AH43" s="120">
        <f t="shared" si="7"/>
        <v>2.4958238202954086</v>
      </c>
      <c r="AI43" s="64">
        <f>(AH43*1000000000)/Surfaces!N14</f>
        <v>18.402300250853479</v>
      </c>
      <c r="AJ43" s="64">
        <f t="shared" si="24"/>
        <v>18.619446261717634</v>
      </c>
      <c r="AK43" s="64">
        <f t="shared" si="25"/>
        <v>6.9626722623861621</v>
      </c>
      <c r="AL43" s="109">
        <f t="shared" si="26"/>
        <v>8.1913791322190157</v>
      </c>
      <c r="AN43" s="31">
        <f t="shared" si="27"/>
        <v>1.1144838676807058</v>
      </c>
      <c r="AO43" s="20">
        <f t="shared" si="28"/>
        <v>1.8468589807280267</v>
      </c>
      <c r="AP43" s="191">
        <f>(AD43-(AQ43*Surfaces!Y14)-(AR43*Surfaces!Z14))/Surfaces!X14</f>
        <v>15.168159263656074</v>
      </c>
      <c r="AQ43" s="23">
        <f t="shared" si="8"/>
        <v>2.210285136830906</v>
      </c>
      <c r="AR43" s="20">
        <f t="shared" si="9"/>
        <v>3.6627582267483585</v>
      </c>
      <c r="AS43" s="24">
        <f t="shared" si="10"/>
        <v>1.2008538311849881</v>
      </c>
      <c r="AT43" s="24">
        <f t="shared" si="11"/>
        <v>0.17498691360225499</v>
      </c>
      <c r="AU43" s="124">
        <f t="shared" si="12"/>
        <v>0.28997831396945112</v>
      </c>
      <c r="AW43" s="31">
        <f t="shared" ref="AW43:AX43" si="39">AVERAGE(AK43:AK62)</f>
        <v>3.6921600153547152</v>
      </c>
      <c r="AX43" s="31">
        <f t="shared" si="39"/>
        <v>4.3437176651231963</v>
      </c>
      <c r="AY43" s="191">
        <f>(AI43-(AZ43*Surfaces!AC14)-(BA43*Surfaces!AD14))/Surfaces!AB14</f>
        <v>19.88705925982476</v>
      </c>
      <c r="AZ43" s="23">
        <f t="shared" si="30"/>
        <v>6.9626722623861621</v>
      </c>
      <c r="BA43" s="23">
        <f t="shared" si="31"/>
        <v>8.1913791322190157</v>
      </c>
      <c r="BB43" s="24">
        <f t="shared" si="32"/>
        <v>1.0806833378833942</v>
      </c>
      <c r="BC43" s="24">
        <f t="shared" si="33"/>
        <v>0.3783588012081936</v>
      </c>
      <c r="BD43" s="124">
        <f t="shared" si="34"/>
        <v>0.4451280014214043</v>
      </c>
    </row>
    <row r="44" spans="1:56" x14ac:dyDescent="0.3">
      <c r="B44">
        <v>2027</v>
      </c>
      <c r="C44" s="101">
        <v>7.4924575542051368</v>
      </c>
      <c r="D44" s="87">
        <v>12.62983979654727</v>
      </c>
      <c r="E44" s="87">
        <v>9.3259817677003234</v>
      </c>
      <c r="F44" s="102">
        <v>8.543186197627044</v>
      </c>
      <c r="G44" s="159"/>
      <c r="H44" s="160"/>
      <c r="I44" s="163">
        <f t="shared" si="2"/>
        <v>37.991465316079768</v>
      </c>
      <c r="J44" s="165">
        <f>Surfaces!$A$8</f>
        <v>8645297.8125</v>
      </c>
      <c r="K44" s="175">
        <f t="shared" si="13"/>
        <v>4.3944657708782389</v>
      </c>
      <c r="L44" s="63">
        <f t="shared" si="14"/>
        <v>7.4924575542051368</v>
      </c>
      <c r="M44" s="109">
        <f>(E44*'Global-Swiss Carbon Budgets'!$B$50)/(100%-'Global-Swiss Carbon Budgets'!$B$51)</f>
        <v>5.945756109088622</v>
      </c>
      <c r="N44" s="64">
        <f t="shared" si="15"/>
        <v>0.8543186197627044</v>
      </c>
      <c r="O44" s="120">
        <f t="shared" si="16"/>
        <v>3.3136895145098357</v>
      </c>
      <c r="P44" s="109">
        <f t="shared" si="17"/>
        <v>2.6320665945787858</v>
      </c>
      <c r="Q44" s="181">
        <f>(O44*1000000000)/Surfaces!U15</f>
        <v>553.90886909376468</v>
      </c>
      <c r="R44" s="165">
        <f>((N44*$O$7)*1000000000)/Surfaces!U15</f>
        <v>79.588643031481652</v>
      </c>
      <c r="S44" s="165">
        <f>(P44*1000000000)/Surfaces!V15</f>
        <v>321.17077059458961</v>
      </c>
      <c r="T44" s="165">
        <f>((N44*$P$7)*1000000000)/Surfaces!V15</f>
        <v>46.147565491809559</v>
      </c>
      <c r="U44" s="181">
        <f t="shared" si="18"/>
        <v>409.89256312938585</v>
      </c>
      <c r="V44" s="165">
        <f t="shared" si="19"/>
        <v>144.01630596437883</v>
      </c>
      <c r="W44" s="165">
        <f t="shared" si="3"/>
        <v>83.504400354593301</v>
      </c>
      <c r="X44" s="182">
        <f t="shared" si="4"/>
        <v>237.6663702399963</v>
      </c>
      <c r="Y44" s="64">
        <f t="shared" si="20"/>
        <v>2.4002717660729807</v>
      </c>
      <c r="Z44" s="109">
        <f t="shared" si="21"/>
        <v>1.3917400059098883</v>
      </c>
      <c r="AB44">
        <v>2027</v>
      </c>
      <c r="AC44" s="120">
        <f t="shared" si="5"/>
        <v>5.1697957124015437</v>
      </c>
      <c r="AD44" s="64">
        <f>(AC44*1000000000)/(Surfaces!E15+Surfaces!I15+Surfaces!K15)</f>
        <v>11.612624357642868</v>
      </c>
      <c r="AE44" s="64">
        <f t="shared" si="6"/>
        <v>14.285191885867745</v>
      </c>
      <c r="AF44" s="64">
        <f t="shared" si="22"/>
        <v>2.0320572951662945</v>
      </c>
      <c r="AG44" s="109">
        <f t="shared" si="23"/>
        <v>3.3674092319898592</v>
      </c>
      <c r="AH44" s="120">
        <f t="shared" si="7"/>
        <v>2.3226618418035927</v>
      </c>
      <c r="AI44" s="64">
        <f>(AH44*1000000000)/Surfaces!N15</f>
        <v>17.050327898587099</v>
      </c>
      <c r="AJ44" s="64">
        <f t="shared" si="24"/>
        <v>17.25152071886685</v>
      </c>
      <c r="AK44" s="64">
        <f t="shared" si="25"/>
        <v>6.4511416239160333</v>
      </c>
      <c r="AL44" s="109">
        <f t="shared" si="26"/>
        <v>7.5895783810776862</v>
      </c>
      <c r="AN44" s="31">
        <f t="shared" si="27"/>
        <v>1.0177378634428962</v>
      </c>
      <c r="AO44" s="20">
        <f t="shared" si="28"/>
        <v>1.6865370308482279</v>
      </c>
      <c r="AP44" s="191">
        <f>(AD44-(AQ44*Surfaces!Y15)-(AR44*Surfaces!Z15))/Surfaces!X15</f>
        <v>14.285191885867745</v>
      </c>
      <c r="AQ44" s="23">
        <f t="shared" si="8"/>
        <v>2.0320572951662945</v>
      </c>
      <c r="AR44" s="20">
        <f t="shared" si="9"/>
        <v>3.3674092319898592</v>
      </c>
      <c r="AS44" s="24">
        <f t="shared" si="10"/>
        <v>1.2301432859546448</v>
      </c>
      <c r="AT44" s="24">
        <f t="shared" si="11"/>
        <v>0.17498691360225499</v>
      </c>
      <c r="AU44" s="124">
        <f t="shared" si="12"/>
        <v>0.28997831396945112</v>
      </c>
      <c r="AW44" s="31">
        <f t="shared" ref="AW44:AX44" si="40">AVERAGE(AK44:AK63)</f>
        <v>3.3939984227268285</v>
      </c>
      <c r="AX44" s="31">
        <f t="shared" si="40"/>
        <v>3.9929393208550925</v>
      </c>
      <c r="AY44" s="191">
        <f>(AI44-(AZ44*Surfaces!AC15)-(BA44*Surfaces!AD15))/Surfaces!AB15</f>
        <v>18.670907789116669</v>
      </c>
      <c r="AZ44" s="23">
        <f t="shared" si="30"/>
        <v>6.4511416239160333</v>
      </c>
      <c r="BA44" s="23">
        <f t="shared" si="31"/>
        <v>7.5895783810776862</v>
      </c>
      <c r="BB44" s="24">
        <f t="shared" si="32"/>
        <v>1.0950468460295042</v>
      </c>
      <c r="BC44" s="24">
        <f t="shared" si="33"/>
        <v>0.3783588012081936</v>
      </c>
      <c r="BD44" s="124">
        <f t="shared" si="34"/>
        <v>0.44512800142140424</v>
      </c>
    </row>
    <row r="45" spans="1:56" x14ac:dyDescent="0.3">
      <c r="B45">
        <v>2028</v>
      </c>
      <c r="C45" s="101">
        <v>7.0164292528060699</v>
      </c>
      <c r="D45" s="87">
        <v>12.223295405510612</v>
      </c>
      <c r="E45" s="87">
        <v>9.1184949580422252</v>
      </c>
      <c r="F45" s="102">
        <v>8.5003453645703644</v>
      </c>
      <c r="G45" s="159"/>
      <c r="H45" s="160"/>
      <c r="I45" s="163">
        <f t="shared" si="2"/>
        <v>36.858564980929273</v>
      </c>
      <c r="J45" s="165">
        <f>Surfaces!$A$8</f>
        <v>8645297.8125</v>
      </c>
      <c r="K45" s="175">
        <f t="shared" si="13"/>
        <v>4.2634233985134067</v>
      </c>
      <c r="L45" s="63">
        <f t="shared" si="14"/>
        <v>7.0164292528060699</v>
      </c>
      <c r="M45" s="109">
        <f>(E45*'Global-Swiss Carbon Budgets'!$B$50)/(100%-'Global-Swiss Carbon Budgets'!$B$51)</f>
        <v>5.8134734179136691</v>
      </c>
      <c r="N45" s="64">
        <f t="shared" si="15"/>
        <v>0.85003453645703653</v>
      </c>
      <c r="O45" s="120">
        <f t="shared" si="16"/>
        <v>3.2399657090500833</v>
      </c>
      <c r="P45" s="109">
        <f t="shared" si="17"/>
        <v>2.5735077088635854</v>
      </c>
      <c r="Q45" s="181">
        <f>(O45*1000000000)/Surfaces!U16</f>
        <v>538.03317711378168</v>
      </c>
      <c r="R45" s="165">
        <f>((N45*$O$7)*1000000000)/Surfaces!U16</f>
        <v>78.670142517062033</v>
      </c>
      <c r="S45" s="165">
        <f>(P45*1000000000)/Surfaces!V16</f>
        <v>301.94738631249538</v>
      </c>
      <c r="T45" s="165">
        <f>((N45*$P$7)*1000000000)/Surfaces!V16</f>
        <v>44.150147099265062</v>
      </c>
      <c r="U45" s="181">
        <f t="shared" si="18"/>
        <v>398.14455106419842</v>
      </c>
      <c r="V45" s="165">
        <f t="shared" si="19"/>
        <v>139.88862604958325</v>
      </c>
      <c r="W45" s="165">
        <f t="shared" si="3"/>
        <v>78.506320441248803</v>
      </c>
      <c r="X45" s="182">
        <f t="shared" si="4"/>
        <v>223.44106587124659</v>
      </c>
      <c r="Y45" s="64">
        <f t="shared" si="20"/>
        <v>2.3314771008263877</v>
      </c>
      <c r="Z45" s="109">
        <f t="shared" si="21"/>
        <v>1.3084386740208134</v>
      </c>
      <c r="AB45">
        <v>2028</v>
      </c>
      <c r="AC45" s="120">
        <f t="shared" si="5"/>
        <v>4.8413361844361882</v>
      </c>
      <c r="AD45" s="64">
        <f>(AC45*1000000000)/(Surfaces!E16+Surfaces!I16+Surfaces!K16)</f>
        <v>10.744026951332778</v>
      </c>
      <c r="AE45" s="64">
        <f t="shared" si="6"/>
        <v>13.551418136257874</v>
      </c>
      <c r="AF45" s="64">
        <f t="shared" si="22"/>
        <v>1.8800641158731679</v>
      </c>
      <c r="AG45" s="109">
        <f t="shared" si="23"/>
        <v>3.1155348205898208</v>
      </c>
      <c r="AH45" s="120">
        <f t="shared" si="7"/>
        <v>2.1750930683698821</v>
      </c>
      <c r="AI45" s="64">
        <f>(AH45*1000000000)/Surfaces!N16</f>
        <v>15.896773894415071</v>
      </c>
      <c r="AJ45" s="64">
        <f t="shared" si="24"/>
        <v>16.084354848411383</v>
      </c>
      <c r="AK45" s="64">
        <f t="shared" si="25"/>
        <v>6.0146843137685932</v>
      </c>
      <c r="AL45" s="109">
        <f t="shared" si="26"/>
        <v>7.0760991926689334</v>
      </c>
      <c r="AN45" s="31">
        <f t="shared" si="27"/>
        <v>0.92663947879867747</v>
      </c>
      <c r="AO45" s="20">
        <f t="shared" si="28"/>
        <v>1.5355739934378083</v>
      </c>
      <c r="AP45" s="191">
        <f>(AD45-(AQ45*Surfaces!Y16)-(AR45*Surfaces!Z16))/Surfaces!X16</f>
        <v>13.551418136257874</v>
      </c>
      <c r="AQ45" s="23">
        <f t="shared" si="8"/>
        <v>1.8800641158731679</v>
      </c>
      <c r="AR45" s="20">
        <f t="shared" si="9"/>
        <v>3.1155348205898208</v>
      </c>
      <c r="AS45" s="24">
        <f t="shared" si="10"/>
        <v>1.261297853927744</v>
      </c>
      <c r="AT45" s="24">
        <f t="shared" si="11"/>
        <v>0.17498691360225499</v>
      </c>
      <c r="AU45" s="124">
        <f t="shared" si="12"/>
        <v>0.28997831396945112</v>
      </c>
      <c r="AW45" s="31">
        <f t="shared" ref="AW45:AX45" si="41">AVERAGE(AK45:AK64)</f>
        <v>3.1098115702078921</v>
      </c>
      <c r="AX45" s="31">
        <f t="shared" si="41"/>
        <v>3.6586018473034025</v>
      </c>
      <c r="AY45" s="191">
        <f>(AI45-(AZ45*Surfaces!AC16)-(BA45*Surfaces!AD16))/Surfaces!AB16</f>
        <v>17.652138463375621</v>
      </c>
      <c r="AZ45" s="23">
        <f t="shared" si="30"/>
        <v>6.0146843137685932</v>
      </c>
      <c r="BA45" s="23">
        <f t="shared" si="31"/>
        <v>7.0760991926689334</v>
      </c>
      <c r="BB45" s="24">
        <f t="shared" si="32"/>
        <v>1.1104226920895726</v>
      </c>
      <c r="BC45" s="24">
        <f t="shared" si="33"/>
        <v>0.3783588012081936</v>
      </c>
      <c r="BD45" s="124">
        <f t="shared" si="34"/>
        <v>0.44512800142140424</v>
      </c>
    </row>
    <row r="46" spans="1:56" x14ac:dyDescent="0.3">
      <c r="B46">
        <v>2029</v>
      </c>
      <c r="C46" s="101">
        <v>6.564891961477243</v>
      </c>
      <c r="D46" s="87">
        <v>11.790292465522803</v>
      </c>
      <c r="E46" s="87">
        <v>8.89643411745927</v>
      </c>
      <c r="F46" s="102">
        <v>8.4579587662480016</v>
      </c>
      <c r="G46" s="159"/>
      <c r="H46" s="160"/>
      <c r="I46" s="163">
        <f t="shared" si="2"/>
        <v>35.709577310707317</v>
      </c>
      <c r="J46" s="165">
        <f>Surfaces!$A$8</f>
        <v>8645297.8125</v>
      </c>
      <c r="K46" s="175">
        <f t="shared" si="13"/>
        <v>4.1305202070743956</v>
      </c>
      <c r="L46" s="63">
        <f t="shared" si="14"/>
        <v>6.564891961477243</v>
      </c>
      <c r="M46" s="109">
        <f>(E46*'Global-Swiss Carbon Budgets'!$B$50)/(100%-'Global-Swiss Carbon Budgets'!$B$51)</f>
        <v>5.6718990901513884</v>
      </c>
      <c r="N46" s="64">
        <f t="shared" si="15"/>
        <v>0.84579587662480016</v>
      </c>
      <c r="O46" s="120">
        <f t="shared" si="16"/>
        <v>3.1610634875626369</v>
      </c>
      <c r="P46" s="109">
        <f t="shared" si="17"/>
        <v>2.510835602588751</v>
      </c>
      <c r="Q46" s="181">
        <f>(O46*1000000000)/Surfaces!U17</f>
        <v>521.51004979729998</v>
      </c>
      <c r="R46" s="165">
        <f>((N46*$O$7)*1000000000)/Surfaces!U17</f>
        <v>77.767788658803056</v>
      </c>
      <c r="S46" s="165">
        <f>(P46*1000000000)/Surfaces!V17</f>
        <v>283.68322998048728</v>
      </c>
      <c r="T46" s="165">
        <f>((N46*$P$7)*1000000000)/Surfaces!V17</f>
        <v>42.302957505313607</v>
      </c>
      <c r="U46" s="181">
        <f t="shared" si="18"/>
        <v>385.91743685000199</v>
      </c>
      <c r="V46" s="165">
        <f t="shared" si="19"/>
        <v>135.59261294729799</v>
      </c>
      <c r="W46" s="165">
        <f t="shared" si="3"/>
        <v>73.757639794926689</v>
      </c>
      <c r="X46" s="182">
        <f t="shared" si="4"/>
        <v>209.92559018556059</v>
      </c>
      <c r="Y46" s="64">
        <f t="shared" si="20"/>
        <v>2.2598768824549667</v>
      </c>
      <c r="Z46" s="109">
        <f t="shared" si="21"/>
        <v>1.2292939965821115</v>
      </c>
      <c r="AB46">
        <v>2029</v>
      </c>
      <c r="AC46" s="120">
        <f t="shared" si="5"/>
        <v>4.5297754534192975</v>
      </c>
      <c r="AD46" s="64">
        <f>(AC46*1000000000)/(Surfaces!E17+Surfaces!I17+Surfaces!K17)</f>
        <v>9.9323577127784013</v>
      </c>
      <c r="AE46" s="64">
        <f t="shared" si="6"/>
        <v>12.857393204677509</v>
      </c>
      <c r="AF46" s="64">
        <f t="shared" si="22"/>
        <v>1.7380326209526451</v>
      </c>
      <c r="AG46" s="109">
        <f t="shared" si="23"/>
        <v>2.8801683432929548</v>
      </c>
      <c r="AH46" s="120">
        <f t="shared" si="7"/>
        <v>2.0351165080579459</v>
      </c>
      <c r="AI46" s="64">
        <f>(AH46*1000000000)/Surfaces!N17</f>
        <v>14.808148578163449</v>
      </c>
      <c r="AJ46" s="64">
        <f t="shared" si="24"/>
        <v>14.982883820399417</v>
      </c>
      <c r="AK46" s="64">
        <f t="shared" si="25"/>
        <v>5.6027933441467388</v>
      </c>
      <c r="AL46" s="109">
        <f t="shared" si="26"/>
        <v>6.591521581349105</v>
      </c>
      <c r="AN46" s="31">
        <f t="shared" si="27"/>
        <v>0.84038923700072699</v>
      </c>
      <c r="AO46" s="20">
        <f t="shared" si="28"/>
        <v>1.3926450213154908</v>
      </c>
      <c r="AP46" s="191">
        <f>(AD46-(AQ46*Surfaces!Y17)-(AR46*Surfaces!Z17))/Surfaces!X17</f>
        <v>12.857393204677509</v>
      </c>
      <c r="AQ46" s="23">
        <f t="shared" si="8"/>
        <v>1.7380326209526451</v>
      </c>
      <c r="AR46" s="20">
        <f t="shared" si="9"/>
        <v>2.8801683432929548</v>
      </c>
      <c r="AS46" s="24">
        <f t="shared" si="10"/>
        <v>1.2944955846823685</v>
      </c>
      <c r="AT46" s="24">
        <f t="shared" si="11"/>
        <v>0.17498691360225499</v>
      </c>
      <c r="AU46" s="124">
        <f t="shared" si="12"/>
        <v>0.28997831396945112</v>
      </c>
      <c r="AW46" s="31">
        <f t="shared" ref="AW46:AX46" si="42">AVERAGE(AK46:AK65)</f>
        <v>2.8375765570272349</v>
      </c>
      <c r="AX46" s="31">
        <f t="shared" si="42"/>
        <v>3.3383253612085113</v>
      </c>
      <c r="AY46" s="191">
        <f>(AI46-(AZ46*Surfaces!AC17)-(BA46*Surfaces!AD17))/Surfaces!AB17</f>
        <v>16.687336822123882</v>
      </c>
      <c r="AZ46" s="23">
        <f t="shared" si="30"/>
        <v>5.6027933441467388</v>
      </c>
      <c r="BA46" s="23">
        <f t="shared" si="31"/>
        <v>6.591521581349105</v>
      </c>
      <c r="BB46" s="24">
        <f t="shared" si="32"/>
        <v>1.1269023088228289</v>
      </c>
      <c r="BC46" s="24">
        <f t="shared" si="33"/>
        <v>0.3783588012081936</v>
      </c>
      <c r="BD46" s="124">
        <f t="shared" si="34"/>
        <v>0.44512800142140424</v>
      </c>
    </row>
    <row r="47" spans="1:56" s="12" customFormat="1" x14ac:dyDescent="0.3">
      <c r="A47"/>
      <c r="B47">
        <v>2030</v>
      </c>
      <c r="C47" s="101">
        <v>6.1023419043550984</v>
      </c>
      <c r="D47" s="87">
        <v>11.337812408234567</v>
      </c>
      <c r="E47" s="87">
        <v>8.6794757709345625</v>
      </c>
      <c r="F47" s="102">
        <v>8.4160007642378698</v>
      </c>
      <c r="G47" s="159"/>
      <c r="H47" s="160"/>
      <c r="I47" s="163">
        <f t="shared" si="2"/>
        <v>34.5356308477621</v>
      </c>
      <c r="J47" s="165">
        <f>Surfaces!$A$8</f>
        <v>8645297.8125</v>
      </c>
      <c r="K47" s="175">
        <f t="shared" si="13"/>
        <v>3.9947300366943952</v>
      </c>
      <c r="L47" s="63">
        <f t="shared" si="14"/>
        <v>6.1023419043550984</v>
      </c>
      <c r="M47" s="109">
        <f>(E47*'Global-Swiss Carbon Budgets'!$B$50)/(100%-'Global-Swiss Carbon Budgets'!$B$51)</f>
        <v>5.5335778445818571</v>
      </c>
      <c r="N47" s="64">
        <f t="shared" si="15"/>
        <v>0.84160007642378698</v>
      </c>
      <c r="O47" s="120">
        <f t="shared" si="16"/>
        <v>3.0839742742366711</v>
      </c>
      <c r="P47" s="109">
        <f t="shared" si="17"/>
        <v>2.4496035703451855</v>
      </c>
      <c r="Q47" s="181">
        <f>(O47*1000000000)/Surfaces!U18</f>
        <v>505.49803450437992</v>
      </c>
      <c r="R47" s="165">
        <f>((N47*$O$7)*1000000000)/Surfaces!U18</f>
        <v>76.88103364941594</v>
      </c>
      <c r="S47" s="165">
        <f>(P47*1000000000)/Surfaces!V18</f>
        <v>266.88055009955184</v>
      </c>
      <c r="T47" s="165">
        <f>((N47*$P$7)*1000000000)/Surfaces!V18</f>
        <v>40.58977711495038</v>
      </c>
      <c r="U47" s="181">
        <f t="shared" si="18"/>
        <v>374.06854553324115</v>
      </c>
      <c r="V47" s="165">
        <f t="shared" si="19"/>
        <v>131.4294889711388</v>
      </c>
      <c r="W47" s="165">
        <f t="shared" si="3"/>
        <v>69.388943025883478</v>
      </c>
      <c r="X47" s="182">
        <f t="shared" si="4"/>
        <v>197.49160707366835</v>
      </c>
      <c r="Y47" s="64">
        <f t="shared" si="20"/>
        <v>2.1904914828523134</v>
      </c>
      <c r="Z47" s="109">
        <f t="shared" si="21"/>
        <v>1.1564823837647247</v>
      </c>
      <c r="AA47"/>
      <c r="AB47">
        <v>2030</v>
      </c>
      <c r="AC47" s="120">
        <f t="shared" si="5"/>
        <v>4.2106159140050172</v>
      </c>
      <c r="AD47" s="64">
        <f>(AC47*1000000000)/(Surfaces!E18+Surfaces!I18+Surfaces!K18)</f>
        <v>9.1227091793791626</v>
      </c>
      <c r="AE47" s="64">
        <f t="shared" si="6"/>
        <v>12.132639612299316</v>
      </c>
      <c r="AF47" s="64">
        <f t="shared" si="22"/>
        <v>1.5963547229905199</v>
      </c>
      <c r="AG47" s="109">
        <f t="shared" si="23"/>
        <v>2.6453878266700044</v>
      </c>
      <c r="AH47" s="120">
        <f t="shared" si="7"/>
        <v>1.8917259903500809</v>
      </c>
      <c r="AI47" s="64">
        <f>(AH47*1000000000)/Surfaces!N18</f>
        <v>13.70395967254686</v>
      </c>
      <c r="AJ47" s="64">
        <f t="shared" si="24"/>
        <v>13.865665553625439</v>
      </c>
      <c r="AK47" s="64">
        <f t="shared" si="25"/>
        <v>5.1850137535102592</v>
      </c>
      <c r="AL47" s="109">
        <f t="shared" si="26"/>
        <v>6.1000161806003055</v>
      </c>
      <c r="AN47" s="31">
        <f t="shared" si="27"/>
        <v>0.75899956460510509</v>
      </c>
      <c r="AO47" s="20">
        <f t="shared" si="28"/>
        <v>1.2577707070598885</v>
      </c>
      <c r="AP47" s="191">
        <f>(AD47-(AQ47*Surfaces!Y18)-(AR47*Surfaces!Z18))/Surfaces!X18</f>
        <v>12.132639612299316</v>
      </c>
      <c r="AQ47" s="23">
        <f t="shared" si="8"/>
        <v>1.5963547229905199</v>
      </c>
      <c r="AR47" s="20">
        <f t="shared" si="9"/>
        <v>2.6453878266700044</v>
      </c>
      <c r="AS47" s="24">
        <f t="shared" si="10"/>
        <v>1.329938220514993</v>
      </c>
      <c r="AT47" s="24">
        <f t="shared" si="11"/>
        <v>0.17498691360225499</v>
      </c>
      <c r="AU47" s="124">
        <f t="shared" si="12"/>
        <v>0.28997831396945112</v>
      </c>
      <c r="AW47" s="31">
        <f t="shared" ref="AW47:AX47" si="43">AVERAGE(AK47:AK66)</f>
        <v>2.5778255967046846</v>
      </c>
      <c r="AX47" s="31">
        <f t="shared" si="43"/>
        <v>3.032735996123157</v>
      </c>
      <c r="AY47" s="191">
        <f>(AI47-(AZ47*Surfaces!AC18)-(BA47*Surfaces!AD18))/Surfaces!AB18</f>
        <v>15.685405649996827</v>
      </c>
      <c r="AZ47" s="23">
        <f t="shared" si="30"/>
        <v>5.1850137535102592</v>
      </c>
      <c r="BA47" s="23">
        <f t="shared" si="31"/>
        <v>6.1000161806003055</v>
      </c>
      <c r="BB47" s="24">
        <f t="shared" si="32"/>
        <v>1.144589303004109</v>
      </c>
      <c r="BC47" s="24">
        <f t="shared" si="33"/>
        <v>0.3783588012081936</v>
      </c>
      <c r="BD47" s="124">
        <f t="shared" si="34"/>
        <v>0.44512800142140424</v>
      </c>
    </row>
    <row r="48" spans="1:56" x14ac:dyDescent="0.3">
      <c r="B48">
        <v>2031</v>
      </c>
      <c r="C48" s="101">
        <v>5.6992968870463852</v>
      </c>
      <c r="D48" s="87">
        <v>10.871560995624371</v>
      </c>
      <c r="E48" s="87">
        <v>8.4540069591384963</v>
      </c>
      <c r="F48" s="102">
        <v>8.3746044345342732</v>
      </c>
      <c r="G48" s="159"/>
      <c r="H48" s="160"/>
      <c r="I48" s="163">
        <f t="shared" si="2"/>
        <v>33.399469276343524</v>
      </c>
      <c r="J48" s="165">
        <f>Surfaces!$A$8</f>
        <v>8645297.8125</v>
      </c>
      <c r="K48" s="175">
        <f t="shared" si="13"/>
        <v>3.8633104377332317</v>
      </c>
      <c r="L48" s="63">
        <f t="shared" si="14"/>
        <v>5.6992968870463852</v>
      </c>
      <c r="M48" s="109">
        <f>(E48*'Global-Swiss Carbon Budgets'!$B$50)/(100%-'Global-Swiss Carbon Budgets'!$B$51)</f>
        <v>5.3898307733846558</v>
      </c>
      <c r="N48" s="64">
        <f t="shared" si="15"/>
        <v>0.83746044345342741</v>
      </c>
      <c r="O48" s="120">
        <f t="shared" si="16"/>
        <v>3.0038611391150427</v>
      </c>
      <c r="P48" s="109">
        <f t="shared" si="17"/>
        <v>2.3859696342696126</v>
      </c>
      <c r="Q48" s="181">
        <f>(O48*1000000000)/Surfaces!U19</f>
        <v>489.19954089127492</v>
      </c>
      <c r="R48" s="165">
        <f>((N48*$O$7)*1000000000)/Surfaces!U19</f>
        <v>76.010784322779372</v>
      </c>
      <c r="S48" s="165">
        <f>(P48*1000000000)/Surfaces!V19</f>
        <v>250.98401556797512</v>
      </c>
      <c r="T48" s="165">
        <f>((N48*$P$7)*1000000000)/Surfaces!V19</f>
        <v>38.997362591643245</v>
      </c>
      <c r="U48" s="181">
        <f t="shared" si="18"/>
        <v>362.00766025954346</v>
      </c>
      <c r="V48" s="165">
        <f t="shared" si="19"/>
        <v>127.19188063173148</v>
      </c>
      <c r="W48" s="165">
        <f t="shared" si="3"/>
        <v>65.255844047673534</v>
      </c>
      <c r="X48" s="182">
        <f t="shared" si="4"/>
        <v>185.7281715203016</v>
      </c>
      <c r="Y48" s="64">
        <f t="shared" si="20"/>
        <v>2.1198646771955247</v>
      </c>
      <c r="Z48" s="109">
        <f t="shared" si="21"/>
        <v>1.0875974007945588</v>
      </c>
      <c r="AB48">
        <v>2031</v>
      </c>
      <c r="AC48" s="120">
        <f t="shared" si="5"/>
        <v>3.9325148520620052</v>
      </c>
      <c r="AD48" s="64">
        <f>(AC48*1000000000)/(Surfaces!E19+Surfaces!I19+Surfaces!K19)</f>
        <v>8.4193683856476333</v>
      </c>
      <c r="AE48" s="64">
        <f t="shared" si="6"/>
        <v>11.51647729461623</v>
      </c>
      <c r="AF48" s="64">
        <f t="shared" si="22"/>
        <v>1.4732792882848795</v>
      </c>
      <c r="AG48" s="109">
        <f t="shared" si="23"/>
        <v>2.4414342491578003</v>
      </c>
      <c r="AH48" s="120">
        <f t="shared" si="7"/>
        <v>1.7667820349843797</v>
      </c>
      <c r="AI48" s="64">
        <f>(AH48*1000000000)/Surfaces!N19</f>
        <v>12.742166710515269</v>
      </c>
      <c r="AJ48" s="64">
        <f t="shared" si="24"/>
        <v>12.892523493810668</v>
      </c>
      <c r="AK48" s="64">
        <f t="shared" si="25"/>
        <v>4.8211109213855083</v>
      </c>
      <c r="AL48" s="109">
        <f t="shared" si="26"/>
        <v>5.6718952016300106</v>
      </c>
      <c r="AN48" s="31">
        <f t="shared" si="27"/>
        <v>0.68298654693441085</v>
      </c>
      <c r="AO48" s="20">
        <f t="shared" si="28"/>
        <v>1.1318062777770239</v>
      </c>
      <c r="AP48" s="191">
        <f>(AD48-(AQ48*Surfaces!Y19)-(AR48*Surfaces!Z19))/Surfaces!X19</f>
        <v>11.51647729461623</v>
      </c>
      <c r="AQ48" s="23">
        <f t="shared" si="8"/>
        <v>1.4732792882848795</v>
      </c>
      <c r="AR48" s="20">
        <f t="shared" si="9"/>
        <v>2.4414342491578003</v>
      </c>
      <c r="AS48" s="24">
        <f t="shared" si="10"/>
        <v>1.3678552555377184</v>
      </c>
      <c r="AT48" s="24">
        <f t="shared" si="11"/>
        <v>0.17498691360225499</v>
      </c>
      <c r="AU48" s="124">
        <f t="shared" si="12"/>
        <v>0.28997831396945112</v>
      </c>
      <c r="AW48" s="31">
        <f t="shared" ref="AW48:AX48" si="44">AVERAGE(AK48:AK67)</f>
        <v>2.3327360752682278</v>
      </c>
      <c r="AX48" s="31">
        <f t="shared" si="44"/>
        <v>2.7443953826685017</v>
      </c>
      <c r="AY48" s="191">
        <f>(AI48-(AZ48*Surfaces!AC19)-(BA48*Surfaces!AD19))/Surfaces!AB19</f>
        <v>14.826804286911035</v>
      </c>
      <c r="AZ48" s="23">
        <f t="shared" si="30"/>
        <v>4.8211109213855083</v>
      </c>
      <c r="BA48" s="23">
        <f t="shared" si="31"/>
        <v>5.6718952016300106</v>
      </c>
      <c r="BB48" s="24">
        <f t="shared" si="32"/>
        <v>1.1636014991606924</v>
      </c>
      <c r="BC48" s="24">
        <f t="shared" si="33"/>
        <v>0.37835880120819354</v>
      </c>
      <c r="BD48" s="124">
        <f t="shared" si="34"/>
        <v>0.44512800142140424</v>
      </c>
    </row>
    <row r="49" spans="2:56" x14ac:dyDescent="0.3">
      <c r="B49">
        <v>2032</v>
      </c>
      <c r="C49" s="101">
        <v>5.3124513571168519</v>
      </c>
      <c r="D49" s="87">
        <v>10.394454977808195</v>
      </c>
      <c r="E49" s="87">
        <v>8.1685381556665391</v>
      </c>
      <c r="F49" s="102">
        <v>8.3334677178885261</v>
      </c>
      <c r="G49" s="159"/>
      <c r="H49" s="160"/>
      <c r="I49" s="163">
        <f t="shared" si="2"/>
        <v>32.208912208480115</v>
      </c>
      <c r="J49" s="165">
        <f>Surfaces!$A$8</f>
        <v>8645297.8125</v>
      </c>
      <c r="K49" s="175">
        <f t="shared" si="13"/>
        <v>3.7255989217526007</v>
      </c>
      <c r="L49" s="63">
        <f t="shared" si="14"/>
        <v>5.3124513571168519</v>
      </c>
      <c r="M49" s="109">
        <f>(E49*'Global-Swiss Carbon Budgets'!$B$50)/(100%-'Global-Swiss Carbon Budgets'!$B$51)</f>
        <v>5.2078308591154538</v>
      </c>
      <c r="N49" s="64">
        <f t="shared" si="15"/>
        <v>0.83334677178885264</v>
      </c>
      <c r="O49" s="120">
        <f t="shared" si="16"/>
        <v>2.9024289248616419</v>
      </c>
      <c r="P49" s="109">
        <f t="shared" si="17"/>
        <v>2.3054019342538115</v>
      </c>
      <c r="Q49" s="181">
        <f>(O49*1000000000)/Surfaces!U20</f>
        <v>469.65961150433708</v>
      </c>
      <c r="R49" s="165">
        <f>((N49*$O$7)*1000000000)/Surfaces!U20</f>
        <v>75.154000134563347</v>
      </c>
      <c r="S49" s="165">
        <f>(P49*1000000000)/Surfaces!V20</f>
        <v>234.42533624832984</v>
      </c>
      <c r="T49" s="165">
        <f>((N49*$P$7)*1000000000)/Surfaces!V20</f>
        <v>37.512277658964393</v>
      </c>
      <c r="U49" s="181">
        <f t="shared" si="18"/>
        <v>347.54811251320945</v>
      </c>
      <c r="V49" s="165">
        <f t="shared" si="19"/>
        <v>122.11149899112765</v>
      </c>
      <c r="W49" s="165">
        <f t="shared" si="3"/>
        <v>60.950587424565761</v>
      </c>
      <c r="X49" s="182">
        <f t="shared" si="4"/>
        <v>173.47474882376409</v>
      </c>
      <c r="Y49" s="64">
        <f t="shared" si="20"/>
        <v>2.0351916498521274</v>
      </c>
      <c r="Z49" s="109">
        <f t="shared" si="21"/>
        <v>1.0158431237427628</v>
      </c>
      <c r="AB49">
        <v>2032</v>
      </c>
      <c r="AC49" s="120">
        <f t="shared" si="5"/>
        <v>3.6655914364106277</v>
      </c>
      <c r="AD49" s="64">
        <f>(AC49*1000000000)/(Surfaces!E20+Surfaces!I20+Surfaces!K20)</f>
        <v>7.755544108094341</v>
      </c>
      <c r="AE49" s="64">
        <f t="shared" si="6"/>
        <v>10.923752591431752</v>
      </c>
      <c r="AF49" s="64">
        <f t="shared" si="22"/>
        <v>1.3571187267815823</v>
      </c>
      <c r="AG49" s="109">
        <f t="shared" si="23"/>
        <v>2.2489396043809076</v>
      </c>
      <c r="AH49" s="120">
        <f t="shared" si="7"/>
        <v>1.6468599207062244</v>
      </c>
      <c r="AI49" s="64">
        <f>(AH49*1000000000)/Surfaces!N20</f>
        <v>11.82457761771413</v>
      </c>
      <c r="AJ49" s="64">
        <f t="shared" si="24"/>
        <v>11.964106906163877</v>
      </c>
      <c r="AK49" s="64">
        <f t="shared" si="25"/>
        <v>4.4739330122315559</v>
      </c>
      <c r="AL49" s="109">
        <f t="shared" si="26"/>
        <v>5.26345060262536</v>
      </c>
      <c r="AN49" s="31">
        <f t="shared" si="27"/>
        <v>0.60932258252016691</v>
      </c>
      <c r="AO49" s="20">
        <f t="shared" si="28"/>
        <v>1.0097345653191339</v>
      </c>
      <c r="AP49" s="191">
        <f>(AD49-(AQ49*Surfaces!Y20)-(AR49*Surfaces!Z20))/Surfaces!X20</f>
        <v>10.923752591431752</v>
      </c>
      <c r="AQ49" s="23">
        <f t="shared" si="8"/>
        <v>1.3571187267815823</v>
      </c>
      <c r="AR49" s="20">
        <f t="shared" si="9"/>
        <v>2.2489396043809076</v>
      </c>
      <c r="AS49" s="24">
        <f t="shared" si="10"/>
        <v>1.408508860136686</v>
      </c>
      <c r="AT49" s="24">
        <f t="shared" si="11"/>
        <v>0.17498691360225502</v>
      </c>
      <c r="AU49" s="124">
        <f t="shared" si="12"/>
        <v>0.28997831396945112</v>
      </c>
      <c r="AW49" s="31">
        <f t="shared" ref="AW49:AX49" si="45">AVERAGE(AK49:AK68)</f>
        <v>2.091680529198952</v>
      </c>
      <c r="AX49" s="31">
        <f t="shared" si="45"/>
        <v>2.4608006225870014</v>
      </c>
      <c r="AY49" s="191">
        <f>(AI49-(AZ49*Surfaces!AC20)-(BA49*Surfaces!AD20))/Surfaces!AB20</f>
        <v>14.001167977112678</v>
      </c>
      <c r="AZ49" s="23">
        <f t="shared" si="30"/>
        <v>4.4739330122315559</v>
      </c>
      <c r="BA49" s="23">
        <f t="shared" si="31"/>
        <v>5.26345060262536</v>
      </c>
      <c r="BB49" s="24">
        <f t="shared" si="32"/>
        <v>1.1840734130019026</v>
      </c>
      <c r="BC49" s="24">
        <f t="shared" si="33"/>
        <v>0.3783588012081936</v>
      </c>
      <c r="BD49" s="124">
        <f t="shared" si="34"/>
        <v>0.44512800142140424</v>
      </c>
    </row>
    <row r="50" spans="2:56" ht="15" x14ac:dyDescent="0.35">
      <c r="B50">
        <v>2033</v>
      </c>
      <c r="C50" s="101">
        <v>4.9619834523073543</v>
      </c>
      <c r="D50" s="87">
        <v>9.9050706703104066</v>
      </c>
      <c r="E50" s="87">
        <v>7.9411032410324101</v>
      </c>
      <c r="F50" s="102">
        <v>8.2925377395650681</v>
      </c>
      <c r="G50" s="159"/>
      <c r="H50" s="103">
        <v>-0.24308042749721581</v>
      </c>
      <c r="I50" s="163">
        <f t="shared" si="2"/>
        <v>30.857614675718022</v>
      </c>
      <c r="J50" s="165">
        <f>Surfaces!$A$8</f>
        <v>8645297.8125</v>
      </c>
      <c r="K50" s="175">
        <f t="shared" si="13"/>
        <v>3.5692945859079415</v>
      </c>
      <c r="L50" s="63">
        <f t="shared" si="14"/>
        <v>4.9619834523073543</v>
      </c>
      <c r="M50" s="109">
        <f>(E50*'Global-Swiss Carbon Budgets'!$B$50)/(100%-'Global-Swiss Carbon Budgets'!$B$51)</f>
        <v>5.0628303040222198</v>
      </c>
      <c r="N50" s="64">
        <f t="shared" si="15"/>
        <v>0.8292537739565069</v>
      </c>
      <c r="O50" s="120">
        <f t="shared" si="16"/>
        <v>2.82161719794333</v>
      </c>
      <c r="P50" s="109">
        <f t="shared" si="17"/>
        <v>2.2412131060788898</v>
      </c>
      <c r="Q50" s="181">
        <f>(O50*1000000000)/Surfaces!U21</f>
        <v>453.68339860534394</v>
      </c>
      <c r="R50" s="165">
        <f>((N50*$O$7)*1000000000)/Surfaces!U21</f>
        <v>74.309950735659612</v>
      </c>
      <c r="S50" s="165">
        <f>(P50*1000000000)/Surfaces!V21</f>
        <v>220.54672277860556</v>
      </c>
      <c r="T50" s="165">
        <f>((N50*$P$7)*1000000000)/Surfaces!V21</f>
        <v>36.123905249717701</v>
      </c>
      <c r="U50" s="181">
        <f t="shared" si="18"/>
        <v>335.7257149679545</v>
      </c>
      <c r="V50" s="165">
        <f t="shared" si="19"/>
        <v>117.95768363738942</v>
      </c>
      <c r="W50" s="165">
        <f t="shared" si="3"/>
        <v>57.342147922437448</v>
      </c>
      <c r="X50" s="182">
        <f t="shared" si="4"/>
        <v>163.20457485616811</v>
      </c>
      <c r="Y50" s="64">
        <f t="shared" si="20"/>
        <v>1.9659613939564904</v>
      </c>
      <c r="Z50" s="109">
        <f t="shared" si="21"/>
        <v>0.95570246537395742</v>
      </c>
      <c r="AB50">
        <v>2033</v>
      </c>
      <c r="AC50" s="120">
        <f t="shared" si="5"/>
        <v>3.423768582092074</v>
      </c>
      <c r="AD50" s="64">
        <f>(AC50*1000000000)/(Surfaces!E21+Surfaces!I21+Surfaces!K21)</f>
        <v>7.1591185415122069</v>
      </c>
      <c r="AE50" s="64">
        <f t="shared" si="6"/>
        <v>10.396471186049554</v>
      </c>
      <c r="AF50" s="64">
        <f t="shared" si="22"/>
        <v>1.2527520576918982</v>
      </c>
      <c r="AG50" s="109">
        <f t="shared" si="23"/>
        <v>2.0759891241751456</v>
      </c>
      <c r="AH50" s="120">
        <f t="shared" si="7"/>
        <v>1.53821487021528</v>
      </c>
      <c r="AI50" s="64">
        <f>(AH50*1000000000)/Surfaces!N21</f>
        <v>10.995397604988788</v>
      </c>
      <c r="AJ50" s="64">
        <f t="shared" si="24"/>
        <v>11.125142620298918</v>
      </c>
      <c r="AK50" s="64">
        <f t="shared" si="25"/>
        <v>4.1602054566310009</v>
      </c>
      <c r="AL50" s="109">
        <f t="shared" si="26"/>
        <v>4.8943593607423539</v>
      </c>
      <c r="AN50" s="31">
        <f t="shared" si="27"/>
        <v>0.54146664618108786</v>
      </c>
      <c r="AO50" s="20">
        <f t="shared" si="28"/>
        <v>0.89728758510008844</v>
      </c>
      <c r="AP50" s="191">
        <f>(AD50-(AQ50*Surfaces!Y21)-(AR50*Surfaces!Z21))/Surfaces!X21</f>
        <v>10.396471186049554</v>
      </c>
      <c r="AQ50" s="23">
        <f t="shared" si="8"/>
        <v>1.2527520576918982</v>
      </c>
      <c r="AR50" s="20">
        <f t="shared" si="9"/>
        <v>2.0759891241751456</v>
      </c>
      <c r="AS50" s="24">
        <f t="shared" si="10"/>
        <v>1.4521998938508327</v>
      </c>
      <c r="AT50" s="24">
        <f t="shared" si="11"/>
        <v>0.17498691360225499</v>
      </c>
      <c r="AU50" s="124">
        <f t="shared" si="12"/>
        <v>0.28997831396945112</v>
      </c>
      <c r="AW50" s="31">
        <f t="shared" ref="AW50:AX50" si="46">AVERAGE(AK50:AK69)</f>
        <v>1.8679838785873737</v>
      </c>
      <c r="AX50" s="31">
        <f t="shared" si="46"/>
        <v>2.1976280924557328</v>
      </c>
      <c r="AY50" s="191">
        <f>(AI50-(AZ50*Surfaces!AC21)-(BA50*Surfaces!AD21))/Surfaces!AB21</f>
        <v>13.262200676699619</v>
      </c>
      <c r="AZ50" s="23">
        <f t="shared" si="30"/>
        <v>4.1602054566310009</v>
      </c>
      <c r="BA50" s="23">
        <f t="shared" si="31"/>
        <v>4.8943593607423539</v>
      </c>
      <c r="BB50" s="24">
        <f t="shared" si="32"/>
        <v>1.2061592634615002</v>
      </c>
      <c r="BC50" s="24">
        <f t="shared" si="33"/>
        <v>0.3783588012081936</v>
      </c>
      <c r="BD50" s="124">
        <f t="shared" si="34"/>
        <v>0.44512800142140418</v>
      </c>
    </row>
    <row r="51" spans="2:56" ht="15" x14ac:dyDescent="0.35">
      <c r="B51">
        <v>2034</v>
      </c>
      <c r="C51" s="101">
        <v>4.6315095618576789</v>
      </c>
      <c r="D51" s="87">
        <v>9.405743722981093</v>
      </c>
      <c r="E51" s="87">
        <v>7.7287045860842323</v>
      </c>
      <c r="F51" s="102">
        <v>8.2517198736725028</v>
      </c>
      <c r="G51" s="159"/>
      <c r="H51" s="103">
        <v>-0.34708336107240451</v>
      </c>
      <c r="I51" s="163">
        <f t="shared" si="2"/>
        <v>29.670594383523103</v>
      </c>
      <c r="J51" s="165">
        <f>Surfaces!$A$8</f>
        <v>8645297.8125</v>
      </c>
      <c r="K51" s="175">
        <f t="shared" si="13"/>
        <v>3.4319921681151575</v>
      </c>
      <c r="L51" s="63">
        <f t="shared" si="14"/>
        <v>4.6315095618576789</v>
      </c>
      <c r="M51" s="109">
        <f>(E51*'Global-Swiss Carbon Budgets'!$B$50)/(100%-'Global-Swiss Carbon Budgets'!$B$51)</f>
        <v>4.9274160782948897</v>
      </c>
      <c r="N51" s="64">
        <f t="shared" si="15"/>
        <v>0.82517198736725028</v>
      </c>
      <c r="O51" s="120">
        <f t="shared" si="16"/>
        <v>2.7461481252677435</v>
      </c>
      <c r="P51" s="109">
        <f t="shared" si="17"/>
        <v>2.1812679530271462</v>
      </c>
      <c r="Q51" s="181">
        <f>(O51*1000000000)/Surfaces!U22</f>
        <v>438.76243840479424</v>
      </c>
      <c r="R51" s="165">
        <f>((N51*$O$7)*1000000000)/Surfaces!U22</f>
        <v>73.477552438776812</v>
      </c>
      <c r="S51" s="165">
        <f>(P51*1000000000)/Surfaces!V22</f>
        <v>207.94007180693703</v>
      </c>
      <c r="T51" s="165">
        <f>((N51*$P$7)*1000000000)/Surfaces!V22</f>
        <v>34.822779237590915</v>
      </c>
      <c r="U51" s="181">
        <f t="shared" si="18"/>
        <v>324.68420441954771</v>
      </c>
      <c r="V51" s="165">
        <f t="shared" si="19"/>
        <v>114.07823398524651</v>
      </c>
      <c r="W51" s="165">
        <f t="shared" si="3"/>
        <v>54.064418669803629</v>
      </c>
      <c r="X51" s="182">
        <f t="shared" si="4"/>
        <v>153.87565313713341</v>
      </c>
      <c r="Y51" s="64">
        <f t="shared" si="20"/>
        <v>1.9013038997541085</v>
      </c>
      <c r="Z51" s="109">
        <f t="shared" si="21"/>
        <v>0.90107364449672711</v>
      </c>
      <c r="AB51">
        <v>2034</v>
      </c>
      <c r="AC51" s="120">
        <f t="shared" si="5"/>
        <v>3.1957415976817982</v>
      </c>
      <c r="AD51" s="64">
        <f>(AC51*1000000000)/(Surfaces!E22+Surfaces!I22+Surfaces!K22)</f>
        <v>6.6045211442829617</v>
      </c>
      <c r="AE51" s="64">
        <f t="shared" si="6"/>
        <v>9.9019954064961446</v>
      </c>
      <c r="AF51" s="64">
        <f t="shared" si="22"/>
        <v>1.1557047708589088</v>
      </c>
      <c r="AG51" s="109">
        <f t="shared" si="23"/>
        <v>1.9151679059947633</v>
      </c>
      <c r="AH51" s="120">
        <f t="shared" si="7"/>
        <v>1.4357679641758807</v>
      </c>
      <c r="AI51" s="64">
        <f>(AH51*1000000000)/Surfaces!N22</f>
        <v>10.217379525155724</v>
      </c>
      <c r="AJ51" s="64">
        <f t="shared" si="24"/>
        <v>10.337943974986922</v>
      </c>
      <c r="AK51" s="64">
        <f t="shared" si="25"/>
        <v>3.8658354686270622</v>
      </c>
      <c r="AL51" s="109">
        <f t="shared" si="26"/>
        <v>4.5480417277965435</v>
      </c>
      <c r="AN51" s="31">
        <f t="shared" si="27"/>
        <v>0.47882904329649295</v>
      </c>
      <c r="AO51" s="20">
        <f t="shared" si="28"/>
        <v>0.79348812889133113</v>
      </c>
      <c r="AP51" s="191">
        <f>(AD51-(AQ51*Surfaces!Y22)-(AR51*Surfaces!Z22))/Surfaces!X22</f>
        <v>9.9019954064961446</v>
      </c>
      <c r="AQ51" s="23">
        <f t="shared" si="8"/>
        <v>1.1557047708589088</v>
      </c>
      <c r="AR51" s="20">
        <f t="shared" si="9"/>
        <v>1.9151679059947633</v>
      </c>
      <c r="AS51" s="24">
        <f t="shared" si="10"/>
        <v>1.4992752979627537</v>
      </c>
      <c r="AT51" s="24">
        <f t="shared" si="11"/>
        <v>0.17498691360225496</v>
      </c>
      <c r="AU51" s="124">
        <f t="shared" si="12"/>
        <v>0.28997831396945112</v>
      </c>
      <c r="AW51" s="31">
        <f t="shared" ref="AW51:AX51" si="47">AVERAGE(AK51:AK70)</f>
        <v>1.6599736057558236</v>
      </c>
      <c r="AX51" s="31">
        <f t="shared" si="47"/>
        <v>1.9529101244186158</v>
      </c>
      <c r="AY51" s="191">
        <f>(AI51-(AZ51*Surfaces!AC22)-(BA51*Surfaces!AD22))/Surfaces!AB22</f>
        <v>12.567751436579226</v>
      </c>
      <c r="AZ51" s="23">
        <f t="shared" si="30"/>
        <v>3.8658354686270622</v>
      </c>
      <c r="BA51" s="23">
        <f t="shared" si="31"/>
        <v>4.5480417277965435</v>
      </c>
      <c r="BB51" s="24">
        <f t="shared" si="32"/>
        <v>1.2300366650408514</v>
      </c>
      <c r="BC51" s="24">
        <f t="shared" si="33"/>
        <v>0.3783588012081936</v>
      </c>
      <c r="BD51" s="124">
        <f t="shared" si="34"/>
        <v>0.44512800142140418</v>
      </c>
    </row>
    <row r="52" spans="2:56" ht="15" x14ac:dyDescent="0.35">
      <c r="B52">
        <v>2035</v>
      </c>
      <c r="C52" s="101">
        <v>4.3220538809650346</v>
      </c>
      <c r="D52" s="87">
        <v>8.8977396370678274</v>
      </c>
      <c r="E52" s="87">
        <v>7.4507207039800036</v>
      </c>
      <c r="F52" s="102">
        <v>8.2110302291520014</v>
      </c>
      <c r="G52" s="159"/>
      <c r="H52" s="103">
        <v>-0.41024212788411291</v>
      </c>
      <c r="I52" s="163">
        <f t="shared" si="2"/>
        <v>28.471302323280753</v>
      </c>
      <c r="J52" s="165">
        <f>Surfaces!$A$8</f>
        <v>8645297.8125</v>
      </c>
      <c r="K52" s="175">
        <f t="shared" si="13"/>
        <v>3.2932702771806048</v>
      </c>
      <c r="L52" s="63">
        <f t="shared" si="14"/>
        <v>4.3220538809650346</v>
      </c>
      <c r="M52" s="109">
        <f>(E52*'Global-Swiss Carbon Budgets'!$B$50)/(100%-'Global-Swiss Carbon Budgets'!$B$51)</f>
        <v>4.7501881567291635</v>
      </c>
      <c r="N52" s="64">
        <f t="shared" si="15"/>
        <v>0.82110302291520021</v>
      </c>
      <c r="O52" s="120">
        <f t="shared" si="16"/>
        <v>2.6473754385655406</v>
      </c>
      <c r="P52" s="109">
        <f t="shared" si="17"/>
        <v>2.1028127181636225</v>
      </c>
      <c r="Q52" s="181">
        <f>(O52*1000000000)/Surfaces!U23</f>
        <v>420.32865797808387</v>
      </c>
      <c r="R52" s="165">
        <f>((N52*$O$7)*1000000000)/Surfaces!U23</f>
        <v>72.656728596060958</v>
      </c>
      <c r="S52" s="165">
        <f>(P52*1000000000)/Surfaces!V23</f>
        <v>194.38636755244292</v>
      </c>
      <c r="T52" s="165">
        <f>((N52*$P$7)*1000000000)/Surfaces!V23</f>
        <v>33.601034052663621</v>
      </c>
      <c r="U52" s="181">
        <f t="shared" si="18"/>
        <v>311.04320690378205</v>
      </c>
      <c r="V52" s="165">
        <f t="shared" si="19"/>
        <v>109.2854510743018</v>
      </c>
      <c r="W52" s="165">
        <f t="shared" si="3"/>
        <v>50.540455563635163</v>
      </c>
      <c r="X52" s="182">
        <f t="shared" si="4"/>
        <v>143.84591198880776</v>
      </c>
      <c r="Y52" s="64">
        <f t="shared" si="20"/>
        <v>1.8214241845716967</v>
      </c>
      <c r="Z52" s="109">
        <f t="shared" si="21"/>
        <v>0.84234092606058608</v>
      </c>
      <c r="AB52">
        <v>2035</v>
      </c>
      <c r="AC52" s="120">
        <f t="shared" si="5"/>
        <v>2.9822171778658735</v>
      </c>
      <c r="AD52" s="64">
        <f>(AC52*1000000000)/(Surfaces!E23+Surfaces!I23+Surfaces!K23)</f>
        <v>6.0918724124651229</v>
      </c>
      <c r="AE52" s="64">
        <f t="shared" si="6"/>
        <v>9.4432383594064202</v>
      </c>
      <c r="AF52" s="64">
        <f t="shared" si="22"/>
        <v>1.0659979515159952</v>
      </c>
      <c r="AG52" s="109">
        <f t="shared" si="23"/>
        <v>1.7665108910836491</v>
      </c>
      <c r="AH52" s="120">
        <f t="shared" si="7"/>
        <v>1.3398367030991609</v>
      </c>
      <c r="AI52" s="64">
        <f>(AH52*1000000000)/Surfaces!N23</f>
        <v>9.4921574665917738</v>
      </c>
      <c r="AJ52" s="64">
        <f t="shared" si="24"/>
        <v>9.6041643407470421</v>
      </c>
      <c r="AK52" s="64">
        <f t="shared" si="25"/>
        <v>3.5914413199390673</v>
      </c>
      <c r="AL52" s="109">
        <f t="shared" si="26"/>
        <v>4.2252250822812556</v>
      </c>
      <c r="AN52" s="31">
        <f t="shared" si="27"/>
        <v>0.42104380475354758</v>
      </c>
      <c r="AO52" s="20">
        <f t="shared" si="28"/>
        <v>0.69772973359159296</v>
      </c>
      <c r="AP52" s="191">
        <f>(AD52-(AQ52*Surfaces!Y23)-(AR52*Surfaces!Z23))/Surfaces!X23</f>
        <v>9.4432383594064202</v>
      </c>
      <c r="AQ52" s="23">
        <f t="shared" si="8"/>
        <v>1.0659979515159952</v>
      </c>
      <c r="AR52" s="20">
        <f t="shared" si="9"/>
        <v>1.7665108910836491</v>
      </c>
      <c r="AS52" s="24">
        <f t="shared" si="10"/>
        <v>1.5501372517395093</v>
      </c>
      <c r="AT52" s="24">
        <f t="shared" si="11"/>
        <v>0.17498691360225499</v>
      </c>
      <c r="AU52" s="124">
        <f t="shared" si="12"/>
        <v>0.28997831396945112</v>
      </c>
      <c r="AW52" s="31">
        <f t="shared" ref="AW52:AX52" si="48">AVERAGE(AK52:AK71)</f>
        <v>1.4666818323244704</v>
      </c>
      <c r="AX52" s="31">
        <f t="shared" si="48"/>
        <v>1.7255080380287886</v>
      </c>
      <c r="AY52" s="191">
        <f>(AI52-(AZ52*Surfaces!AC23)-(BA52*Surfaces!AD23))/Surfaces!AB23</f>
        <v>11.921306745642788</v>
      </c>
      <c r="AZ52" s="23">
        <f t="shared" si="30"/>
        <v>3.5914413199390673</v>
      </c>
      <c r="BA52" s="23">
        <f t="shared" si="31"/>
        <v>4.2252250822812556</v>
      </c>
      <c r="BB52" s="24">
        <f t="shared" si="32"/>
        <v>1.255911186429487</v>
      </c>
      <c r="BC52" s="24">
        <f t="shared" si="33"/>
        <v>0.3783588012081936</v>
      </c>
      <c r="BD52" s="124">
        <f t="shared" si="34"/>
        <v>0.44512800142140418</v>
      </c>
    </row>
    <row r="53" spans="2:56" ht="15" x14ac:dyDescent="0.35">
      <c r="B53">
        <v>2036</v>
      </c>
      <c r="C53" s="101">
        <v>4.0102868162188017</v>
      </c>
      <c r="D53" s="87">
        <v>8.386297275374254</v>
      </c>
      <c r="E53" s="87">
        <v>7.2018689874167272</v>
      </c>
      <c r="F53" s="102">
        <v>8.1703205275726631</v>
      </c>
      <c r="G53" s="159"/>
      <c r="H53" s="103">
        <v>-0.80273167109954868</v>
      </c>
      <c r="I53" s="163">
        <f t="shared" si="2"/>
        <v>26.966041935482899</v>
      </c>
      <c r="J53" s="165">
        <f>Surfaces!$A$8</f>
        <v>8645297.8125</v>
      </c>
      <c r="K53" s="175">
        <f t="shared" si="13"/>
        <v>3.1191570863520095</v>
      </c>
      <c r="L53" s="63">
        <f t="shared" si="14"/>
        <v>4.0102868162188017</v>
      </c>
      <c r="M53" s="109">
        <f>(E53*'Global-Swiss Carbon Budgets'!$B$50)/(100%-'Global-Swiss Carbon Budgets'!$B$51)</f>
        <v>4.5915333736866115</v>
      </c>
      <c r="N53" s="64">
        <f t="shared" si="15"/>
        <v>0.81703205275726631</v>
      </c>
      <c r="O53" s="120">
        <f t="shared" si="16"/>
        <v>2.5589539356735354</v>
      </c>
      <c r="P53" s="109">
        <f t="shared" si="17"/>
        <v>2.0325794380130757</v>
      </c>
      <c r="Q53" s="181">
        <f>(O53*1000000000)/Surfaces!U24</f>
        <v>403.75786611480879</v>
      </c>
      <c r="R53" s="165">
        <f>((N53*$O$7)*1000000000)/Surfaces!U24</f>
        <v>71.845958925004524</v>
      </c>
      <c r="S53" s="165">
        <f>(P53*1000000000)/Surfaces!V24</f>
        <v>182.3676324242559</v>
      </c>
      <c r="T53" s="165">
        <f>((N53*$P$7)*1000000000)/Surfaces!V24</f>
        <v>32.451076568444471</v>
      </c>
      <c r="U53" s="181">
        <f t="shared" si="18"/>
        <v>298.7808209249585</v>
      </c>
      <c r="V53" s="165">
        <f t="shared" si="19"/>
        <v>104.97704518985029</v>
      </c>
      <c r="W53" s="165">
        <f t="shared" si="3"/>
        <v>47.415584430306538</v>
      </c>
      <c r="X53" s="182">
        <f t="shared" si="4"/>
        <v>134.95204799394938</v>
      </c>
      <c r="Y53" s="64">
        <f t="shared" si="20"/>
        <v>1.7496174198308381</v>
      </c>
      <c r="Z53" s="109">
        <f t="shared" si="21"/>
        <v>0.79025974050510894</v>
      </c>
      <c r="AB53">
        <v>2036</v>
      </c>
      <c r="AC53" s="120">
        <f t="shared" si="5"/>
        <v>2.7670979031909728</v>
      </c>
      <c r="AD53" s="64">
        <f>(AC53*1000000000)/(Surfaces!E24+Surfaces!I24+Surfaces!K24)</f>
        <v>5.5873383233383915</v>
      </c>
      <c r="AE53" s="64">
        <f t="shared" si="6"/>
        <v>8.9691005644505459</v>
      </c>
      <c r="AF53" s="64">
        <f t="shared" si="22"/>
        <v>0.97771108845258337</v>
      </c>
      <c r="AG53" s="109">
        <f t="shared" si="23"/>
        <v>1.6202069465785667</v>
      </c>
      <c r="AH53" s="120">
        <f t="shared" si="7"/>
        <v>1.2431889130278286</v>
      </c>
      <c r="AI53" s="64">
        <f>(AH53*1000000000)/Surfaces!N24</f>
        <v>8.7680806886897322</v>
      </c>
      <c r="AJ53" s="64">
        <f t="shared" si="24"/>
        <v>8.8715435014104251</v>
      </c>
      <c r="AK53" s="64">
        <f t="shared" si="25"/>
        <v>3.3174804982693598</v>
      </c>
      <c r="AL53" s="109">
        <f t="shared" si="26"/>
        <v>3.9029182332580703</v>
      </c>
      <c r="AN53" s="31">
        <f t="shared" si="27"/>
        <v>0.36774390717774785</v>
      </c>
      <c r="AO53" s="20">
        <f t="shared" si="28"/>
        <v>0.60940418903741056</v>
      </c>
      <c r="AP53" s="191">
        <f>(AD53-(AQ53*Surfaces!Y24)-(AR53*Surfaces!Z24))/Surfaces!X24</f>
        <v>8.9691005644505459</v>
      </c>
      <c r="AQ53" s="23">
        <f t="shared" si="8"/>
        <v>0.97771108845258337</v>
      </c>
      <c r="AR53" s="20">
        <f t="shared" si="9"/>
        <v>1.6202069465785667</v>
      </c>
      <c r="AS53" s="24">
        <f t="shared" si="10"/>
        <v>1.6052546034283417</v>
      </c>
      <c r="AT53" s="24">
        <f t="shared" si="11"/>
        <v>0.17498691360225499</v>
      </c>
      <c r="AU53" s="124">
        <f t="shared" si="12"/>
        <v>0.28997831396945112</v>
      </c>
      <c r="AW53" s="31">
        <f t="shared" ref="AW53:AX53" si="49">AVERAGE(AK53:AK72)</f>
        <v>1.2871097663275171</v>
      </c>
      <c r="AX53" s="31">
        <f t="shared" si="49"/>
        <v>1.5142467839147262</v>
      </c>
      <c r="AY53" s="191">
        <f>(AI53-(AZ53*Surfaces!AC24)-(BA53*Surfaces!AD24))/Surfaces!AB24</f>
        <v>11.258408693834401</v>
      </c>
      <c r="AZ53" s="23">
        <f t="shared" si="30"/>
        <v>3.3174804982693598</v>
      </c>
      <c r="BA53" s="23">
        <f t="shared" si="31"/>
        <v>3.9029182332580703</v>
      </c>
      <c r="BB53" s="24">
        <f t="shared" si="32"/>
        <v>1.2840220218727041</v>
      </c>
      <c r="BC53" s="24">
        <f t="shared" si="33"/>
        <v>0.3783588012081936</v>
      </c>
      <c r="BD53" s="124">
        <f t="shared" si="34"/>
        <v>0.44512800142140424</v>
      </c>
    </row>
    <row r="54" spans="2:56" ht="15" x14ac:dyDescent="0.35">
      <c r="B54">
        <v>2037</v>
      </c>
      <c r="C54" s="101">
        <v>3.7121598887056191</v>
      </c>
      <c r="D54" s="87">
        <v>7.8502440766369208</v>
      </c>
      <c r="E54" s="87">
        <v>6.9715713710913541</v>
      </c>
      <c r="F54" s="102">
        <v>8.1298017233554472</v>
      </c>
      <c r="G54" s="159"/>
      <c r="H54" s="103">
        <v>-0.96003406675369518</v>
      </c>
      <c r="I54" s="163">
        <f t="shared" si="2"/>
        <v>25.703742993035643</v>
      </c>
      <c r="J54" s="165">
        <f>Surfaces!$A$8</f>
        <v>8645297.8125</v>
      </c>
      <c r="K54" s="175">
        <f t="shared" si="13"/>
        <v>2.9731472009988256</v>
      </c>
      <c r="L54" s="63">
        <f t="shared" si="14"/>
        <v>3.7121598887056191</v>
      </c>
      <c r="M54" s="109">
        <f>(E54*'Global-Swiss Carbon Budgets'!$B$50)/(100%-'Global-Swiss Carbon Budgets'!$B$51)</f>
        <v>4.4447077103642192</v>
      </c>
      <c r="N54" s="64">
        <f t="shared" si="15"/>
        <v>0.81298017233554476</v>
      </c>
      <c r="O54" s="120">
        <f t="shared" si="16"/>
        <v>2.4771250392160016</v>
      </c>
      <c r="P54" s="109">
        <f t="shared" si="17"/>
        <v>1.9675826711482174</v>
      </c>
      <c r="Q54" s="181">
        <f>(O54*1000000000)/Surfaces!U25</f>
        <v>388.42608431412691</v>
      </c>
      <c r="R54" s="165">
        <f>((N54*$O$7)*1000000000)/Surfaces!U25</f>
        <v>71.046900166005088</v>
      </c>
      <c r="S54" s="165">
        <f>(P54*1000000000)/Surfaces!V25</f>
        <v>171.49209023021993</v>
      </c>
      <c r="T54" s="165">
        <f>((N54*$P$7)*1000000000)/Surfaces!V25</f>
        <v>31.367567488059262</v>
      </c>
      <c r="U54" s="181">
        <f t="shared" si="18"/>
        <v>287.43530239245393</v>
      </c>
      <c r="V54" s="165">
        <f t="shared" si="19"/>
        <v>100.990781921673</v>
      </c>
      <c r="W54" s="165">
        <f t="shared" si="3"/>
        <v>44.587943459857186</v>
      </c>
      <c r="X54" s="182">
        <f t="shared" si="4"/>
        <v>126.90414677036274</v>
      </c>
      <c r="Y54" s="64">
        <f t="shared" si="20"/>
        <v>1.68317969869455</v>
      </c>
      <c r="Z54" s="109">
        <f t="shared" si="21"/>
        <v>0.74313239099761974</v>
      </c>
      <c r="AB54">
        <v>2037</v>
      </c>
      <c r="AC54" s="120">
        <f t="shared" si="5"/>
        <v>2.5613903232068771</v>
      </c>
      <c r="AD54" s="64">
        <f>(AC54*1000000000)/(Surfaces!E25+Surfaces!I25+Surfaces!K25)</f>
        <v>5.1127189636662456</v>
      </c>
      <c r="AE54" s="64">
        <f t="shared" si="6"/>
        <v>8.5135833740363811</v>
      </c>
      <c r="AF54" s="64">
        <f t="shared" si="22"/>
        <v>0.89465891156767596</v>
      </c>
      <c r="AG54" s="109">
        <f t="shared" si="23"/>
        <v>1.4825776248835774</v>
      </c>
      <c r="AH54" s="120">
        <f t="shared" si="7"/>
        <v>1.1507695654987422</v>
      </c>
      <c r="AI54" s="64">
        <f>(AH54*1000000000)/Surfaces!N25</f>
        <v>8.0799143392524844</v>
      </c>
      <c r="AJ54" s="64">
        <f t="shared" si="24"/>
        <v>8.1752568313853029</v>
      </c>
      <c r="AK54" s="64">
        <f t="shared" si="25"/>
        <v>3.0571067032644637</v>
      </c>
      <c r="AL54" s="109">
        <f t="shared" si="26"/>
        <v>3.5965961214876043</v>
      </c>
      <c r="AN54" s="31">
        <f t="shared" si="27"/>
        <v>0.31885835275511865</v>
      </c>
      <c r="AO54" s="20">
        <f t="shared" si="28"/>
        <v>0.52839384170848236</v>
      </c>
      <c r="AP54" s="191">
        <f>(AD54-(AQ54*Surfaces!Y25)-(AR54*Surfaces!Z25))/Surfaces!X25</f>
        <v>8.5135833740363811</v>
      </c>
      <c r="AQ54" s="23">
        <f t="shared" si="8"/>
        <v>0.89465891156767596</v>
      </c>
      <c r="AR54" s="20">
        <f t="shared" si="9"/>
        <v>1.4825776248835774</v>
      </c>
      <c r="AS54" s="24">
        <f t="shared" si="10"/>
        <v>1.6651772637100772</v>
      </c>
      <c r="AT54" s="24">
        <f t="shared" si="11"/>
        <v>0.17498691360225499</v>
      </c>
      <c r="AU54" s="124">
        <f t="shared" si="12"/>
        <v>0.28997831396945112</v>
      </c>
      <c r="AW54" s="31">
        <f t="shared" ref="AW54:AX54" si="50">AVERAGE(AK54:AK73)</f>
        <v>1.121235741414049</v>
      </c>
      <c r="AX54" s="31">
        <f t="shared" si="50"/>
        <v>1.3191008722518227</v>
      </c>
      <c r="AY54" s="191">
        <f>(AI54-(AZ54*Surfaces!AC25)-(BA54*Surfaces!AD25))/Surfaces!AB25</f>
        <v>10.622252157165615</v>
      </c>
      <c r="AZ54" s="23">
        <f t="shared" si="30"/>
        <v>3.0571067032644637</v>
      </c>
      <c r="BA54" s="23">
        <f t="shared" si="31"/>
        <v>3.5965961214876043</v>
      </c>
      <c r="BB54" s="24">
        <f t="shared" si="32"/>
        <v>1.3146491053206308</v>
      </c>
      <c r="BC54" s="24">
        <f t="shared" si="33"/>
        <v>0.3783588012081936</v>
      </c>
      <c r="BD54" s="124">
        <f t="shared" si="34"/>
        <v>0.44512800142140424</v>
      </c>
    </row>
    <row r="55" spans="2:56" ht="15" x14ac:dyDescent="0.35">
      <c r="B55">
        <v>2038</v>
      </c>
      <c r="C55" s="101">
        <v>3.4381474116021273</v>
      </c>
      <c r="D55" s="87">
        <v>7.3162000241252674</v>
      </c>
      <c r="E55" s="87">
        <v>6.7249513976027746</v>
      </c>
      <c r="F55" s="102">
        <v>8.0894042854434201</v>
      </c>
      <c r="G55" s="159"/>
      <c r="H55" s="103">
        <v>-1.1771687971106104</v>
      </c>
      <c r="I55" s="163">
        <f t="shared" si="2"/>
        <v>24.391534321662981</v>
      </c>
      <c r="J55" s="165">
        <f>Surfaces!$A$8</f>
        <v>8645297.8125</v>
      </c>
      <c r="K55" s="175">
        <f t="shared" si="13"/>
        <v>2.8213642665260101</v>
      </c>
      <c r="L55" s="63">
        <f t="shared" si="14"/>
        <v>3.4381474116021273</v>
      </c>
      <c r="M55" s="109">
        <f>(E55*'Global-Swiss Carbon Budgets'!$B$50)/(100%-'Global-Swiss Carbon Budgets'!$B$51)</f>
        <v>4.2874757694792889</v>
      </c>
      <c r="N55" s="64">
        <f t="shared" si="15"/>
        <v>0.80894042854434201</v>
      </c>
      <c r="O55" s="120">
        <f t="shared" si="16"/>
        <v>2.3894965148875311</v>
      </c>
      <c r="P55" s="109">
        <f t="shared" si="17"/>
        <v>1.8979792545917575</v>
      </c>
      <c r="Q55" s="181">
        <f>(O55*1000000000)/Surfaces!U26</f>
        <v>372.37922740010077</v>
      </c>
      <c r="R55" s="165">
        <f>((N55*$O$7)*1000000000)/Surfaces!U26</f>
        <v>70.258732174860313</v>
      </c>
      <c r="S55" s="165">
        <f>(P55*1000000000)/Surfaces!V26</f>
        <v>160.83038794637162</v>
      </c>
      <c r="T55" s="165">
        <f>((N55*$P$7)*1000000000)/Surfaces!V26</f>
        <v>30.344708621896526</v>
      </c>
      <c r="U55" s="181">
        <f t="shared" si="18"/>
        <v>275.56062827607457</v>
      </c>
      <c r="V55" s="165">
        <f t="shared" si="19"/>
        <v>96.818599124026207</v>
      </c>
      <c r="W55" s="165">
        <f t="shared" si="3"/>
        <v>41.815900866056623</v>
      </c>
      <c r="X55" s="182">
        <f t="shared" si="4"/>
        <v>119.01448708031499</v>
      </c>
      <c r="Y55" s="64">
        <f t="shared" si="20"/>
        <v>1.6136433187337702</v>
      </c>
      <c r="Z55" s="109">
        <f t="shared" si="21"/>
        <v>0.69693168110094372</v>
      </c>
      <c r="AB55">
        <v>2038</v>
      </c>
      <c r="AC55" s="120">
        <f t="shared" si="5"/>
        <v>2.3723217140054675</v>
      </c>
      <c r="AD55" s="64">
        <f>(AC55*1000000000)/(Surfaces!E26+Surfaces!I26+Surfaces!K26)</f>
        <v>4.6813595169788007</v>
      </c>
      <c r="AE55" s="64">
        <f t="shared" si="6"/>
        <v>8.1013477672433396</v>
      </c>
      <c r="AF55" s="64">
        <f t="shared" si="22"/>
        <v>0.81917665333866352</v>
      </c>
      <c r="AG55" s="109">
        <f t="shared" si="23"/>
        <v>1.3574927398183567</v>
      </c>
      <c r="AH55" s="120">
        <f t="shared" si="7"/>
        <v>1.0658256975966596</v>
      </c>
      <c r="AI55" s="64">
        <f>(AH55*1000000000)/Surfaces!N26</f>
        <v>7.449931395532075</v>
      </c>
      <c r="AJ55" s="64">
        <f t="shared" si="24"/>
        <v>7.5378401276850777</v>
      </c>
      <c r="AK55" s="64">
        <f t="shared" si="25"/>
        <v>2.8187471118968008</v>
      </c>
      <c r="AL55" s="109">
        <f t="shared" si="26"/>
        <v>3.3161730728197654</v>
      </c>
      <c r="AN55" s="31">
        <f t="shared" si="27"/>
        <v>0.27412540717673484</v>
      </c>
      <c r="AO55" s="20">
        <f t="shared" si="28"/>
        <v>0.45426496046430342</v>
      </c>
      <c r="AP55" s="191">
        <f>(AD55-(AQ55*Surfaces!Y26)-(AR55*Surfaces!Z26))/Surfaces!X26</f>
        <v>8.1013477672433396</v>
      </c>
      <c r="AQ55" s="23">
        <f t="shared" si="8"/>
        <v>0.81917665333866352</v>
      </c>
      <c r="AR55" s="20">
        <f t="shared" si="9"/>
        <v>1.3574927398183567</v>
      </c>
      <c r="AS55" s="24">
        <f t="shared" si="10"/>
        <v>1.7305544976540681</v>
      </c>
      <c r="AT55" s="24">
        <f t="shared" si="11"/>
        <v>0.17498691360225499</v>
      </c>
      <c r="AU55" s="124">
        <f t="shared" si="12"/>
        <v>0.28997831396945112</v>
      </c>
      <c r="AW55" s="31">
        <f t="shared" ref="AW55:AX55" si="51">AVERAGE(AK55:AK74)</f>
        <v>0.968380406250826</v>
      </c>
      <c r="AX55" s="31">
        <f t="shared" si="51"/>
        <v>1.1392710661774423</v>
      </c>
      <c r="AY55" s="191">
        <f>(AI55-(AZ55*Surfaces!AC26)-(BA55*Surfaces!AD26))/Surfaces!AB26</f>
        <v>10.04341726388483</v>
      </c>
      <c r="AZ55" s="23">
        <f t="shared" si="30"/>
        <v>2.8187471118968008</v>
      </c>
      <c r="BA55" s="23">
        <f t="shared" si="31"/>
        <v>3.3161730728197654</v>
      </c>
      <c r="BB55" s="24">
        <f t="shared" si="32"/>
        <v>1.3481221142396209</v>
      </c>
      <c r="BC55" s="24">
        <f t="shared" si="33"/>
        <v>0.3783588012081936</v>
      </c>
      <c r="BD55" s="124">
        <f t="shared" si="34"/>
        <v>0.44512800142140424</v>
      </c>
    </row>
    <row r="56" spans="2:56" ht="15" x14ac:dyDescent="0.35">
      <c r="B56">
        <v>2039</v>
      </c>
      <c r="C56" s="101">
        <v>3.1730805274711038</v>
      </c>
      <c r="D56" s="87">
        <v>6.789036896450293</v>
      </c>
      <c r="E56" s="87">
        <v>6.4810670007075393</v>
      </c>
      <c r="F56" s="102">
        <v>8.0491594614387179</v>
      </c>
      <c r="G56" s="159"/>
      <c r="H56" s="103">
        <v>-1.6939520579252529</v>
      </c>
      <c r="I56" s="163">
        <f t="shared" si="2"/>
        <v>22.7983918281424</v>
      </c>
      <c r="J56" s="165">
        <f>Surfaces!$A$8</f>
        <v>8645297.8125</v>
      </c>
      <c r="K56" s="175">
        <f t="shared" si="13"/>
        <v>2.6370857687723412</v>
      </c>
      <c r="L56" s="63">
        <f t="shared" si="14"/>
        <v>3.1730805274711038</v>
      </c>
      <c r="M56" s="109">
        <f>(E56*'Global-Swiss Carbon Budgets'!$B$50)/(100%-'Global-Swiss Carbon Budgets'!$B$51)</f>
        <v>4.1319878885385979</v>
      </c>
      <c r="N56" s="64">
        <f t="shared" si="15"/>
        <v>0.80491594614387185</v>
      </c>
      <c r="O56" s="120">
        <f t="shared" si="16"/>
        <v>2.3028399902583199</v>
      </c>
      <c r="P56" s="109">
        <f t="shared" si="17"/>
        <v>1.8291478982802778</v>
      </c>
      <c r="Q56" s="181">
        <f>(O56*1000000000)/Surfaces!U27</f>
        <v>356.67925375034071</v>
      </c>
      <c r="R56" s="165">
        <f>((N56*$O$7)*1000000000)/Surfaces!U27</f>
        <v>69.481524812476181</v>
      </c>
      <c r="S56" s="165">
        <f>(P56*1000000000)/Surfaces!V27</f>
        <v>150.80864832141336</v>
      </c>
      <c r="T56" s="165">
        <f>((N56*$P$7)*1000000000)/Surfaces!V27</f>
        <v>29.377696432029357</v>
      </c>
      <c r="U56" s="181">
        <f t="shared" si="18"/>
        <v>263.94264777525211</v>
      </c>
      <c r="V56" s="165">
        <f t="shared" si="19"/>
        <v>92.736605975088594</v>
      </c>
      <c r="W56" s="165">
        <f t="shared" si="3"/>
        <v>39.210248563567475</v>
      </c>
      <c r="X56" s="182">
        <f t="shared" si="4"/>
        <v>111.59839975784588</v>
      </c>
      <c r="Y56" s="64">
        <f t="shared" si="20"/>
        <v>1.5456100995848099</v>
      </c>
      <c r="Z56" s="109">
        <f t="shared" si="21"/>
        <v>0.65350414272612456</v>
      </c>
      <c r="AB56">
        <v>2039</v>
      </c>
      <c r="AC56" s="120">
        <f t="shared" si="5"/>
        <v>2.1894255639550613</v>
      </c>
      <c r="AD56" s="64">
        <f>(AC56*1000000000)/(Surfaces!E27+Surfaces!I27+Surfaces!K27)</f>
        <v>4.271467813651574</v>
      </c>
      <c r="AE56" s="64">
        <f t="shared" si="6"/>
        <v>7.6978616229919838</v>
      </c>
      <c r="AF56" s="64">
        <f t="shared" si="22"/>
        <v>0.74745096926226096</v>
      </c>
      <c r="AG56" s="109">
        <f t="shared" si="23"/>
        <v>1.238633034777461</v>
      </c>
      <c r="AH56" s="120">
        <f t="shared" si="7"/>
        <v>0.98365496351604231</v>
      </c>
      <c r="AI56" s="64">
        <f>(AH56*1000000000)/Surfaces!N27</f>
        <v>6.8446835219494684</v>
      </c>
      <c r="AJ56" s="64">
        <f t="shared" si="24"/>
        <v>6.9254503664285982</v>
      </c>
      <c r="AK56" s="64">
        <f t="shared" si="25"/>
        <v>2.5897462520142773</v>
      </c>
      <c r="AL56" s="109">
        <f t="shared" si="26"/>
        <v>3.0467602964873852</v>
      </c>
      <c r="AN56" s="31">
        <f t="shared" si="27"/>
        <v>0.23316657450980166</v>
      </c>
      <c r="AO56" s="20">
        <f t="shared" si="28"/>
        <v>0.38639032347338559</v>
      </c>
      <c r="AP56" s="191">
        <f>(AD56-(AQ56*Surfaces!Y27)-(AR56*Surfaces!Z27))/Surfaces!X27</f>
        <v>7.6978616229919838</v>
      </c>
      <c r="AQ56" s="23">
        <f t="shared" si="8"/>
        <v>0.74745096926226096</v>
      </c>
      <c r="AR56" s="20">
        <f t="shared" si="9"/>
        <v>1.238633034777461</v>
      </c>
      <c r="AS56" s="24">
        <f t="shared" si="10"/>
        <v>1.8021584052183854</v>
      </c>
      <c r="AT56" s="24">
        <f t="shared" si="11"/>
        <v>0.17498691360225499</v>
      </c>
      <c r="AU56" s="124">
        <f t="shared" si="12"/>
        <v>0.28997831396945112</v>
      </c>
      <c r="AW56" s="31">
        <f t="shared" ref="AW56:AX56" si="52">AVERAGE(AK56:AK75)</f>
        <v>0.827443050655986</v>
      </c>
      <c r="AX56" s="31">
        <f t="shared" si="52"/>
        <v>0.97346241253645405</v>
      </c>
      <c r="AY56" s="191">
        <f>(AI56-(AZ56*Surfaces!AC27)-(BA56*Surfaces!AD27))/Surfaces!AB27</f>
        <v>9.4787366034108729</v>
      </c>
      <c r="AZ56" s="23">
        <f t="shared" si="30"/>
        <v>2.5897462520142773</v>
      </c>
      <c r="BA56" s="23">
        <f t="shared" si="31"/>
        <v>3.0467602964873852</v>
      </c>
      <c r="BB56" s="24">
        <f t="shared" si="32"/>
        <v>1.3848319755054486</v>
      </c>
      <c r="BC56" s="24">
        <f t="shared" si="33"/>
        <v>0.3783588012081936</v>
      </c>
      <c r="BD56" s="124">
        <f t="shared" si="34"/>
        <v>0.44512800142140424</v>
      </c>
    </row>
    <row r="57" spans="2:56" ht="15" x14ac:dyDescent="0.35">
      <c r="B57">
        <v>2040</v>
      </c>
      <c r="C57" s="101">
        <v>2.9209191465107174</v>
      </c>
      <c r="D57" s="87">
        <v>6.2709129501867338</v>
      </c>
      <c r="E57" s="87">
        <v>6.2344669284528837</v>
      </c>
      <c r="F57" s="102">
        <v>8.0090943607334459</v>
      </c>
      <c r="G57" s="159"/>
      <c r="H57" s="103">
        <v>-1.690448871227062</v>
      </c>
      <c r="I57" s="163">
        <f t="shared" si="2"/>
        <v>21.744944514656719</v>
      </c>
      <c r="J57" s="165">
        <f>Surfaces!$A$8</f>
        <v>8645297.8125</v>
      </c>
      <c r="K57" s="175">
        <f t="shared" si="13"/>
        <v>2.5152337127376105</v>
      </c>
      <c r="L57" s="63">
        <f t="shared" si="14"/>
        <v>2.9209191465107174</v>
      </c>
      <c r="M57" s="109">
        <f>(E57*'Global-Swiss Carbon Budgets'!$B$50)/(100%-'Global-Swiss Carbon Budgets'!$B$51)</f>
        <v>3.9747686356350651</v>
      </c>
      <c r="N57" s="64">
        <f t="shared" si="15"/>
        <v>0.80090943607334464</v>
      </c>
      <c r="O57" s="120">
        <f t="shared" si="16"/>
        <v>2.215218537197178</v>
      </c>
      <c r="P57" s="109">
        <f t="shared" si="17"/>
        <v>1.7595500984378871</v>
      </c>
      <c r="Q57" s="181">
        <f>(O57*1000000000)/Surfaces!U28</f>
        <v>341.02165563351411</v>
      </c>
      <c r="R57" s="165">
        <f>((N57*$O$7)*1000000000)/Surfaces!U28</f>
        <v>68.71531073621783</v>
      </c>
      <c r="S57" s="165">
        <f>(P57*1000000000)/Surfaces!V28</f>
        <v>141.25284026343655</v>
      </c>
      <c r="T57" s="165">
        <f>((N57*$P$7)*1000000000)/Surfaces!V28</f>
        <v>28.462218309990217</v>
      </c>
      <c r="U57" s="181">
        <f t="shared" si="18"/>
        <v>252.35602516880044</v>
      </c>
      <c r="V57" s="165">
        <f t="shared" si="19"/>
        <v>88.665630464713672</v>
      </c>
      <c r="W57" s="165">
        <f t="shared" si="3"/>
        <v>36.725738468493503</v>
      </c>
      <c r="X57" s="182">
        <f t="shared" si="4"/>
        <v>104.52710179494305</v>
      </c>
      <c r="Y57" s="64">
        <f t="shared" si="20"/>
        <v>1.4777605077452278</v>
      </c>
      <c r="Z57" s="109">
        <f t="shared" si="21"/>
        <v>0.61209564114155834</v>
      </c>
      <c r="AB57">
        <v>2040</v>
      </c>
      <c r="AC57" s="120">
        <f t="shared" si="5"/>
        <v>2.0154342110923946</v>
      </c>
      <c r="AD57" s="64">
        <f>(AC57*1000000000)/(Surfaces!E28+Surfaces!I28+Surfaces!K28)</f>
        <v>3.8876768531767927</v>
      </c>
      <c r="AE57" s="64">
        <f t="shared" si="6"/>
        <v>7.3123873462339404</v>
      </c>
      <c r="AF57" s="64">
        <f t="shared" si="22"/>
        <v>0.68029257362033402</v>
      </c>
      <c r="AG57" s="109">
        <f t="shared" si="23"/>
        <v>1.1273419791422676</v>
      </c>
      <c r="AH57" s="120">
        <f t="shared" si="7"/>
        <v>0.90548493541832253</v>
      </c>
      <c r="AI57" s="64">
        <f>(AH57*1000000000)/Surfaces!N28</f>
        <v>6.2723920486183564</v>
      </c>
      <c r="AJ57" s="64">
        <f t="shared" si="24"/>
        <v>6.3464058889191284</v>
      </c>
      <c r="AK57" s="64">
        <f t="shared" si="25"/>
        <v>2.3732147362230469</v>
      </c>
      <c r="AL57" s="109">
        <f t="shared" si="26"/>
        <v>2.7920173367329966</v>
      </c>
      <c r="AN57" s="31">
        <f t="shared" si="27"/>
        <v>0.19579402604668861</v>
      </c>
      <c r="AO57" s="20">
        <f t="shared" si="28"/>
        <v>0.32445867173451254</v>
      </c>
      <c r="AP57" s="191">
        <f>(AD57-(AQ57*Surfaces!Y28)-(AR57*Surfaces!Z28))/Surfaces!X28</f>
        <v>7.3123873462339404</v>
      </c>
      <c r="AQ57" s="23">
        <f t="shared" si="8"/>
        <v>0.68029257362033402</v>
      </c>
      <c r="AR57" s="20">
        <f t="shared" si="9"/>
        <v>1.1273419791422676</v>
      </c>
      <c r="AS57" s="24">
        <f t="shared" si="10"/>
        <v>1.8809143924240168</v>
      </c>
      <c r="AT57" s="24">
        <f t="shared" si="11"/>
        <v>0.17498691360225499</v>
      </c>
      <c r="AU57" s="124">
        <f t="shared" si="12"/>
        <v>0.28997831396945112</v>
      </c>
      <c r="AW57" s="31">
        <f t="shared" ref="AW57:AX57" si="53">AVERAGE(AK57:AK76)</f>
        <v>0.697955738055272</v>
      </c>
      <c r="AX57" s="31">
        <f t="shared" si="53"/>
        <v>0.82112439771208479</v>
      </c>
      <c r="AY57" s="191">
        <f>(AI57-(AZ57*Surfaces!AC28)-(BA57*Surfaces!AD28))/Surfaces!AB28</f>
        <v>8.9396999444671597</v>
      </c>
      <c r="AZ57" s="23">
        <f t="shared" si="30"/>
        <v>2.3732147362230469</v>
      </c>
      <c r="BA57" s="23">
        <f t="shared" si="31"/>
        <v>2.7920173367329966</v>
      </c>
      <c r="BB57" s="24">
        <f t="shared" si="32"/>
        <v>1.4252457236687464</v>
      </c>
      <c r="BC57" s="24">
        <f t="shared" si="33"/>
        <v>0.3783588012081936</v>
      </c>
      <c r="BD57" s="124">
        <f t="shared" si="34"/>
        <v>0.44512800142140424</v>
      </c>
    </row>
    <row r="58" spans="2:56" ht="15" x14ac:dyDescent="0.35">
      <c r="B58">
        <v>2041</v>
      </c>
      <c r="C58" s="101">
        <v>2.6506651891774902</v>
      </c>
      <c r="D58" s="87">
        <v>5.7026955160100545</v>
      </c>
      <c r="E58" s="87">
        <v>5.9851803250524309</v>
      </c>
      <c r="F58" s="102">
        <v>7.9692366916327959</v>
      </c>
      <c r="G58" s="94">
        <v>-0.31832701387902151</v>
      </c>
      <c r="H58" s="103">
        <v>-1.7909355689339197</v>
      </c>
      <c r="I58" s="163">
        <f t="shared" si="2"/>
        <v>20.198515139059829</v>
      </c>
      <c r="J58" s="165">
        <f>Surfaces!$A$8</f>
        <v>8645297.8125</v>
      </c>
      <c r="K58" s="175">
        <f t="shared" si="13"/>
        <v>2.3363585126998574</v>
      </c>
      <c r="L58" s="63">
        <f t="shared" si="14"/>
        <v>2.6506651891774902</v>
      </c>
      <c r="M58" s="109">
        <f>(E58*'Global-Swiss Carbon Budgets'!$B$50)/(100%-'Global-Swiss Carbon Budgets'!$B$51)</f>
        <v>3.8158365915884374</v>
      </c>
      <c r="N58" s="64">
        <f t="shared" si="15"/>
        <v>0.79692366916327961</v>
      </c>
      <c r="O58" s="120">
        <f t="shared" si="16"/>
        <v>2.1266425111688161</v>
      </c>
      <c r="P58" s="109">
        <f t="shared" si="17"/>
        <v>1.6891940804196213</v>
      </c>
      <c r="Q58" s="181">
        <f>(O58*1000000000)/Surfaces!U29</f>
        <v>325.40724928893849</v>
      </c>
      <c r="R58" s="165">
        <f>((N58*$O$7)*1000000000)/Surfaces!U29</f>
        <v>67.960126921399549</v>
      </c>
      <c r="S58" s="165">
        <f>(P58*1000000000)/Surfaces!V29</f>
        <v>132.12776626510063</v>
      </c>
      <c r="T58" s="165">
        <f>((N58*$P$7)*1000000000)/Surfaces!V29</f>
        <v>27.5944060399348</v>
      </c>
      <c r="U58" s="181">
        <f t="shared" si="18"/>
        <v>240.80136447381449</v>
      </c>
      <c r="V58" s="165">
        <f t="shared" si="19"/>
        <v>84.605884815124014</v>
      </c>
      <c r="W58" s="165">
        <f t="shared" si="3"/>
        <v>34.353219228926164</v>
      </c>
      <c r="X58" s="182">
        <f t="shared" si="4"/>
        <v>97.774547036174468</v>
      </c>
      <c r="Y58" s="64">
        <f t="shared" si="20"/>
        <v>1.4100980802520668</v>
      </c>
      <c r="Z58" s="109">
        <f t="shared" si="21"/>
        <v>0.5725536538154361</v>
      </c>
      <c r="AB58">
        <v>2041</v>
      </c>
      <c r="AC58" s="120">
        <f t="shared" si="5"/>
        <v>1.828958980532468</v>
      </c>
      <c r="AD58" s="64">
        <f>(AC58*1000000000)/(Surfaces!E29+Surfaces!I29+Surfaces!K29)</f>
        <v>3.4883966881025437</v>
      </c>
      <c r="AE58" s="64">
        <f t="shared" si="6"/>
        <v>6.8649595227312767</v>
      </c>
      <c r="AF58" s="64">
        <f t="shared" si="22"/>
        <v>0.61042376987139224</v>
      </c>
      <c r="AG58" s="109">
        <f t="shared" si="23"/>
        <v>1.0115593900725928</v>
      </c>
      <c r="AH58" s="120">
        <f t="shared" si="7"/>
        <v>0.82170620864502208</v>
      </c>
      <c r="AI58" s="64">
        <f>(AH58*1000000000)/Surfaces!N29</f>
        <v>5.666395461669663</v>
      </c>
      <c r="AJ58" s="64">
        <f t="shared" si="24"/>
        <v>5.7332585795249029</v>
      </c>
      <c r="AK58" s="64">
        <f t="shared" si="25"/>
        <v>2.1439305940488822</v>
      </c>
      <c r="AL58" s="109">
        <f t="shared" si="26"/>
        <v>2.5222712871163324</v>
      </c>
      <c r="AN58" s="31">
        <f t="shared" si="27"/>
        <v>0.1617793973656719</v>
      </c>
      <c r="AO58" s="20">
        <f t="shared" si="28"/>
        <v>0.2680915727773992</v>
      </c>
      <c r="AP58" s="191">
        <f>(AD58-(AQ58*Surfaces!Y29)-(AR58*Surfaces!Z29))/Surfaces!X29</f>
        <v>6.8649595227312767</v>
      </c>
      <c r="AQ58" s="23">
        <f t="shared" si="8"/>
        <v>0.61042376987139224</v>
      </c>
      <c r="AR58" s="20">
        <f t="shared" si="9"/>
        <v>1.0115593900725928</v>
      </c>
      <c r="AS58" s="24">
        <f t="shared" si="10"/>
        <v>1.967941188037694</v>
      </c>
      <c r="AT58" s="24">
        <f t="shared" si="11"/>
        <v>0.17498691360225499</v>
      </c>
      <c r="AU58" s="124">
        <f t="shared" si="12"/>
        <v>0.28997831396945112</v>
      </c>
      <c r="AW58" s="31">
        <f t="shared" ref="AW58:AX58" si="54">AVERAGE(AK58:AK77)</f>
        <v>0.5792950012441197</v>
      </c>
      <c r="AX58" s="31">
        <f t="shared" si="54"/>
        <v>0.68152353087543505</v>
      </c>
      <c r="AY58" s="191">
        <f>(AI58-(AZ58*Surfaces!AC29)-(BA58*Surfaces!AD29))/Surfaces!AB29</f>
        <v>8.3291814997278859</v>
      </c>
      <c r="AZ58" s="23">
        <f t="shared" si="30"/>
        <v>2.1439305940488822</v>
      </c>
      <c r="BA58" s="23">
        <f t="shared" si="31"/>
        <v>2.5222712871163324</v>
      </c>
      <c r="BB58" s="24">
        <f t="shared" si="32"/>
        <v>1.4699259089964054</v>
      </c>
      <c r="BC58" s="24">
        <f t="shared" si="33"/>
        <v>0.37835880120819354</v>
      </c>
      <c r="BD58" s="124">
        <f t="shared" si="34"/>
        <v>0.44512800142140424</v>
      </c>
    </row>
    <row r="59" spans="2:56" ht="15" x14ac:dyDescent="0.35">
      <c r="B59">
        <v>2042</v>
      </c>
      <c r="C59" s="101">
        <v>2.4162264930550492</v>
      </c>
      <c r="D59" s="87">
        <v>5.1592445565913936</v>
      </c>
      <c r="E59" s="87">
        <v>5.7712086748546341</v>
      </c>
      <c r="F59" s="102">
        <v>7.9295842813652682</v>
      </c>
      <c r="G59" s="94">
        <v>-0.4396442158120889</v>
      </c>
      <c r="H59" s="103">
        <v>-2.9972014866588004</v>
      </c>
      <c r="I59" s="163">
        <f t="shared" si="2"/>
        <v>17.839418303395455</v>
      </c>
      <c r="J59" s="165">
        <f>Surfaces!$A$8</f>
        <v>8645297.8125</v>
      </c>
      <c r="K59" s="175">
        <f t="shared" si="13"/>
        <v>2.0634822177672034</v>
      </c>
      <c r="L59" s="63">
        <f t="shared" si="14"/>
        <v>2.4162264930550492</v>
      </c>
      <c r="M59" s="109">
        <f>(E59*'Global-Swiss Carbon Budgets'!$B$50)/(100%-'Global-Swiss Carbon Budgets'!$B$51)</f>
        <v>3.679419506714698</v>
      </c>
      <c r="N59" s="64">
        <f t="shared" si="15"/>
        <v>0.79295842813652684</v>
      </c>
      <c r="O59" s="120">
        <f t="shared" si="16"/>
        <v>2.0506145249123464</v>
      </c>
      <c r="P59" s="109">
        <f t="shared" si="17"/>
        <v>1.6288049818023511</v>
      </c>
      <c r="Q59" s="181">
        <f>(O59*1000000000)/Surfaces!U30</f>
        <v>311.88894098165088</v>
      </c>
      <c r="R59" s="165">
        <f>((N59*$O$7)*1000000000)/Surfaces!U30</f>
        <v>67.215756165515344</v>
      </c>
      <c r="S59" s="165">
        <f>(P59*1000000000)/Surfaces!V30</f>
        <v>124.21906236890923</v>
      </c>
      <c r="T59" s="165">
        <f>((N59*$P$7)*1000000000)/Surfaces!V30</f>
        <v>26.770677347577912</v>
      </c>
      <c r="U59" s="181">
        <f t="shared" si="18"/>
        <v>230.79781632642164</v>
      </c>
      <c r="V59" s="165">
        <f t="shared" si="19"/>
        <v>81.091124655229237</v>
      </c>
      <c r="W59" s="165">
        <f t="shared" si="3"/>
        <v>32.296956215916403</v>
      </c>
      <c r="X59" s="182">
        <f t="shared" si="4"/>
        <v>91.922106152992839</v>
      </c>
      <c r="Y59" s="64">
        <f t="shared" si="20"/>
        <v>1.3515187442538206</v>
      </c>
      <c r="Z59" s="109">
        <f t="shared" si="21"/>
        <v>0.53828260359860669</v>
      </c>
      <c r="AB59">
        <v>2042</v>
      </c>
      <c r="AC59" s="120">
        <f t="shared" si="5"/>
        <v>1.6671962802079838</v>
      </c>
      <c r="AD59" s="64">
        <f>(AC59*1000000000)/(Surfaces!E30+Surfaces!I30+Surfaces!K30)</f>
        <v>3.1443765145328295</v>
      </c>
      <c r="AE59" s="64">
        <f t="shared" si="6"/>
        <v>6.4918926013084715</v>
      </c>
      <c r="AF59" s="64">
        <f t="shared" si="22"/>
        <v>0.5502247414815159</v>
      </c>
      <c r="AG59" s="109">
        <f t="shared" si="23"/>
        <v>0.91180100016936916</v>
      </c>
      <c r="AH59" s="120">
        <f t="shared" si="7"/>
        <v>0.74903021284706539</v>
      </c>
      <c r="AI59" s="64">
        <f>(AH59*1000000000)/Surfaces!N30</f>
        <v>5.1419167369596579</v>
      </c>
      <c r="AJ59" s="64">
        <f t="shared" si="24"/>
        <v>5.2025910381288627</v>
      </c>
      <c r="AK59" s="64">
        <f t="shared" si="25"/>
        <v>1.9454894525084028</v>
      </c>
      <c r="AL59" s="109">
        <f t="shared" si="26"/>
        <v>2.2888111205981208</v>
      </c>
      <c r="AN59" s="31">
        <f t="shared" si="27"/>
        <v>0.13125820887210229</v>
      </c>
      <c r="AO59" s="20">
        <f t="shared" si="28"/>
        <v>0.21751360327376953</v>
      </c>
      <c r="AP59" s="191">
        <f>(AD59-(AQ59*Surfaces!Y30)-(AR59*Surfaces!Z30))/Surfaces!X30</f>
        <v>6.4918926013084715</v>
      </c>
      <c r="AQ59" s="23">
        <f t="shared" si="8"/>
        <v>0.5502247414815159</v>
      </c>
      <c r="AR59" s="20">
        <f t="shared" si="9"/>
        <v>0.91180100016936916</v>
      </c>
      <c r="AS59" s="24">
        <f t="shared" si="10"/>
        <v>2.0646040864711757</v>
      </c>
      <c r="AT59" s="24">
        <f t="shared" si="11"/>
        <v>0.17498691360225499</v>
      </c>
      <c r="AU59" s="124">
        <f t="shared" si="12"/>
        <v>0.28997831396945112</v>
      </c>
      <c r="AW59" s="31">
        <f t="shared" ref="AW59:AX59" si="55">AVERAGE(AK59:AK78)</f>
        <v>0.47209847154167556</v>
      </c>
      <c r="AX59" s="31">
        <f t="shared" si="55"/>
        <v>0.55540996651961838</v>
      </c>
      <c r="AY59" s="191">
        <f>(AI59-(AZ59*Surfaces!AC30)-(BA59*Surfaces!AD30))/Surfaces!AB30</f>
        <v>7.8134318061001888</v>
      </c>
      <c r="AZ59" s="23">
        <f t="shared" si="30"/>
        <v>1.9454894525084028</v>
      </c>
      <c r="BA59" s="23">
        <f t="shared" si="31"/>
        <v>2.2888111205981208</v>
      </c>
      <c r="BB59" s="24">
        <f t="shared" si="32"/>
        <v>1.5195562677897736</v>
      </c>
      <c r="BC59" s="24">
        <f t="shared" si="33"/>
        <v>0.3783588012081936</v>
      </c>
      <c r="BD59" s="124">
        <f t="shared" si="34"/>
        <v>0.44512800142140424</v>
      </c>
    </row>
    <row r="60" spans="2:56" ht="15" x14ac:dyDescent="0.35">
      <c r="B60">
        <v>2043</v>
      </c>
      <c r="C60" s="101">
        <v>2.1337293856664377</v>
      </c>
      <c r="D60" s="87">
        <v>4.6400769042560528</v>
      </c>
      <c r="E60" s="87">
        <v>5.5635094983538824</v>
      </c>
      <c r="F60" s="102">
        <v>7.8901348081341807</v>
      </c>
      <c r="G60" s="94">
        <v>-0.64057787712155057</v>
      </c>
      <c r="H60" s="103">
        <v>-3.0459184021249515</v>
      </c>
      <c r="I60" s="163">
        <f t="shared" si="2"/>
        <v>16.540954317164051</v>
      </c>
      <c r="J60" s="165">
        <f>Surfaces!$A$8</f>
        <v>8645297.8125</v>
      </c>
      <c r="K60" s="175">
        <f t="shared" si="13"/>
        <v>1.9132891284841496</v>
      </c>
      <c r="L60" s="63">
        <f t="shared" si="14"/>
        <v>2.1337293856664377</v>
      </c>
      <c r="M60" s="109">
        <f>(E60*'Global-Swiss Carbon Budgets'!$B$50)/(100%-'Global-Swiss Carbon Budgets'!$B$51)</f>
        <v>3.5470014215958656</v>
      </c>
      <c r="N60" s="64">
        <f t="shared" si="15"/>
        <v>0.78901348081341816</v>
      </c>
      <c r="O60" s="120">
        <f t="shared" si="16"/>
        <v>1.9768152616834005</v>
      </c>
      <c r="P60" s="109">
        <f t="shared" si="17"/>
        <v>1.5701861599124649</v>
      </c>
      <c r="Q60" s="181">
        <f>(O60*1000000000)/Surfaces!U31</f>
        <v>298.869032967669</v>
      </c>
      <c r="R60" s="165">
        <f>((N60*$O$7)*1000000000)/Surfaces!U31</f>
        <v>66.481985198377629</v>
      </c>
      <c r="S60" s="165">
        <f>(P60*1000000000)/Surfaces!V31</f>
        <v>116.82786427554173</v>
      </c>
      <c r="T60" s="165">
        <f>((N60*$P$7)*1000000000)/Surfaces!V31</f>
        <v>25.987798957963133</v>
      </c>
      <c r="U60" s="181">
        <f t="shared" si="18"/>
        <v>221.16308439607505</v>
      </c>
      <c r="V60" s="165">
        <f t="shared" si="19"/>
        <v>77.705948571593936</v>
      </c>
      <c r="W60" s="165">
        <f t="shared" si="3"/>
        <v>30.37524471164085</v>
      </c>
      <c r="X60" s="182">
        <f t="shared" si="4"/>
        <v>86.452619563900882</v>
      </c>
      <c r="Y60" s="64">
        <f t="shared" si="20"/>
        <v>1.295099142859899</v>
      </c>
      <c r="Z60" s="109">
        <f t="shared" si="21"/>
        <v>0.5062540785273475</v>
      </c>
      <c r="AB60">
        <v>2043</v>
      </c>
      <c r="AC60" s="120">
        <f t="shared" si="5"/>
        <v>1.4722732761098418</v>
      </c>
      <c r="AD60" s="64">
        <f>(AC60*1000000000)/(Surfaces!E31+Surfaces!I31+Surfaces!K31)</f>
        <v>2.7459172972379782</v>
      </c>
      <c r="AE60" s="64">
        <f t="shared" si="6"/>
        <v>5.9657437128347652</v>
      </c>
      <c r="AF60" s="64">
        <f t="shared" si="22"/>
        <v>0.48049959285071964</v>
      </c>
      <c r="AG60" s="109">
        <f t="shared" si="23"/>
        <v>0.79625646815262108</v>
      </c>
      <c r="AH60" s="120">
        <f t="shared" si="7"/>
        <v>0.66145610955659584</v>
      </c>
      <c r="AI60" s="64">
        <f>(AH60*1000000000)/Surfaces!N31</f>
        <v>4.5202166734683864</v>
      </c>
      <c r="AJ60" s="64">
        <f t="shared" si="24"/>
        <v>4.5735549521349235</v>
      </c>
      <c r="AK60" s="64">
        <f t="shared" si="25"/>
        <v>1.7102637617747873</v>
      </c>
      <c r="AL60" s="109">
        <f t="shared" si="26"/>
        <v>2.0120750138526908</v>
      </c>
      <c r="AN60" s="31">
        <f t="shared" si="27"/>
        <v>0.1037469717980265</v>
      </c>
      <c r="AO60" s="20">
        <f t="shared" si="28"/>
        <v>0.17192355326530104</v>
      </c>
      <c r="AP60" s="191">
        <f>(AD60-(AQ60*Surfaces!Y31)-(AR60*Surfaces!Z31))/Surfaces!X31</f>
        <v>5.9657437128347652</v>
      </c>
      <c r="AQ60" s="23">
        <f t="shared" si="8"/>
        <v>0.48049959285071964</v>
      </c>
      <c r="AR60" s="20">
        <f t="shared" si="9"/>
        <v>0.79625646815262108</v>
      </c>
      <c r="AS60" s="24">
        <f t="shared" si="10"/>
        <v>2.1725868141897418</v>
      </c>
      <c r="AT60" s="24">
        <f t="shared" si="11"/>
        <v>0.17498691360225499</v>
      </c>
      <c r="AU60" s="124">
        <f t="shared" si="12"/>
        <v>0.28997831396945112</v>
      </c>
      <c r="AW60" s="31">
        <f t="shared" ref="AW60:AX60" si="56">AVERAGE(AK60:AK79)</f>
        <v>0.3748239989162554</v>
      </c>
      <c r="AX60" s="31">
        <f t="shared" si="56"/>
        <v>0.44096941048971239</v>
      </c>
      <c r="AY60" s="191">
        <f>(AI60-(AZ60*Surfaces!AC31)-(BA60*Surfaces!AD31))/Surfaces!AB31</f>
        <v>7.1192334355668336</v>
      </c>
      <c r="AZ60" s="23">
        <f t="shared" si="30"/>
        <v>1.7102637617747873</v>
      </c>
      <c r="BA60" s="23">
        <f t="shared" si="31"/>
        <v>2.0120750138526908</v>
      </c>
      <c r="BB60" s="24">
        <f t="shared" si="32"/>
        <v>1.5749761460227099</v>
      </c>
      <c r="BC60" s="24">
        <f t="shared" si="33"/>
        <v>0.3783588012081936</v>
      </c>
      <c r="BD60" s="124">
        <f t="shared" si="34"/>
        <v>0.44512800142140418</v>
      </c>
    </row>
    <row r="61" spans="2:56" ht="15" x14ac:dyDescent="0.35">
      <c r="B61">
        <v>2044</v>
      </c>
      <c r="C61" s="101">
        <v>1.8621027111866555</v>
      </c>
      <c r="D61" s="87">
        <v>4.1449682858148487</v>
      </c>
      <c r="E61" s="87">
        <v>5.3849021889346078</v>
      </c>
      <c r="F61" s="102">
        <v>7.8508770768461105</v>
      </c>
      <c r="G61" s="94">
        <v>-0.88112926603228781</v>
      </c>
      <c r="H61" s="103">
        <v>-3.9976715418858024</v>
      </c>
      <c r="I61" s="163">
        <f t="shared" si="2"/>
        <v>14.364049454864134</v>
      </c>
      <c r="J61" s="165">
        <f>Surfaces!$A$8</f>
        <v>8645297.8125</v>
      </c>
      <c r="K61" s="175">
        <f t="shared" si="13"/>
        <v>1.6614869454347247</v>
      </c>
      <c r="L61" s="63">
        <f t="shared" si="14"/>
        <v>1.8621027111866555</v>
      </c>
      <c r="M61" s="109">
        <f>(E61*'Global-Swiss Carbon Budgets'!$B$50)/(100%-'Global-Swiss Carbon Budgets'!$B$51)</f>
        <v>3.4331307828192044</v>
      </c>
      <c r="N61" s="64">
        <f t="shared" si="15"/>
        <v>0.78508770768461111</v>
      </c>
      <c r="O61" s="120">
        <f t="shared" si="16"/>
        <v>1.9133528634952248</v>
      </c>
      <c r="P61" s="109">
        <f t="shared" si="17"/>
        <v>1.5197779193239793</v>
      </c>
      <c r="Q61" s="181">
        <f>(O61*1000000000)/Surfaces!U32</f>
        <v>287.55722002298893</v>
      </c>
      <c r="R61" s="165">
        <f>((N61*$O$7)*1000000000)/Surfaces!U32</f>
        <v>65.758531491369808</v>
      </c>
      <c r="S61" s="165">
        <f>(P61*1000000000)/Surfaces!V32</f>
        <v>110.3849814853051</v>
      </c>
      <c r="T61" s="165">
        <f>((N61*$P$7)*1000000000)/Surfaces!V32</f>
        <v>25.242816996893364</v>
      </c>
      <c r="U61" s="181">
        <f t="shared" si="18"/>
        <v>212.79234281701181</v>
      </c>
      <c r="V61" s="165">
        <f t="shared" si="19"/>
        <v>74.764877205977129</v>
      </c>
      <c r="W61" s="165">
        <f t="shared" si="3"/>
        <v>28.700095186179329</v>
      </c>
      <c r="X61" s="182">
        <f t="shared" si="4"/>
        <v>81.684886299125779</v>
      </c>
      <c r="Y61" s="64">
        <f t="shared" si="20"/>
        <v>1.2460812867662854</v>
      </c>
      <c r="Z61" s="109">
        <f t="shared" si="21"/>
        <v>0.47833491976965548</v>
      </c>
      <c r="AB61">
        <v>2044</v>
      </c>
      <c r="AC61" s="120">
        <f t="shared" si="5"/>
        <v>1.2848508707187922</v>
      </c>
      <c r="AD61" s="64">
        <f>(AC61*1000000000)/(Surfaces!E32+Surfaces!I32+Surfaces!K32)</f>
        <v>2.3698890911912689</v>
      </c>
      <c r="AE61" s="64">
        <f t="shared" si="6"/>
        <v>5.4365020893604692</v>
      </c>
      <c r="AF61" s="64">
        <f t="shared" si="22"/>
        <v>0.41469957764721316</v>
      </c>
      <c r="AG61" s="109">
        <f t="shared" si="23"/>
        <v>0.68721644295823892</v>
      </c>
      <c r="AH61" s="120">
        <f t="shared" si="7"/>
        <v>0.57725184046786326</v>
      </c>
      <c r="AI61" s="64">
        <f>(AH61*1000000000)/Surfaces!N32</f>
        <v>3.926930975129828</v>
      </c>
      <c r="AJ61" s="64">
        <f t="shared" si="24"/>
        <v>3.9732685190544674</v>
      </c>
      <c r="AK61" s="64">
        <f t="shared" si="25"/>
        <v>1.4857888961774444</v>
      </c>
      <c r="AL61" s="109">
        <f t="shared" si="26"/>
        <v>1.7479869366793463</v>
      </c>
      <c r="AN61" s="31">
        <f t="shared" si="27"/>
        <v>7.9721992155490529E-2</v>
      </c>
      <c r="AO61" s="20">
        <f t="shared" si="28"/>
        <v>0.13211072985767</v>
      </c>
      <c r="AP61" s="191">
        <f>(AD61-(AQ61*Surfaces!Y32)-(AR61*Surfaces!Z32))/Surfaces!X32</f>
        <v>5.4365020893604692</v>
      </c>
      <c r="AQ61" s="23">
        <f t="shared" si="8"/>
        <v>0.41469957764721316</v>
      </c>
      <c r="AR61" s="20">
        <f t="shared" si="9"/>
        <v>0.68721644295823892</v>
      </c>
      <c r="AS61" s="24">
        <f t="shared" si="10"/>
        <v>2.2939900899023549</v>
      </c>
      <c r="AT61" s="24">
        <f t="shared" si="11"/>
        <v>0.17498691360225499</v>
      </c>
      <c r="AU61" s="124">
        <f t="shared" si="12"/>
        <v>0.28997831396945112</v>
      </c>
      <c r="AW61" s="31">
        <f t="shared" ref="AW61:AX61" si="57">AVERAGE(AK61:AK80)</f>
        <v>0.28931081082751609</v>
      </c>
      <c r="AX61" s="31">
        <f t="shared" si="57"/>
        <v>0.34036565979707772</v>
      </c>
      <c r="AY61" s="191">
        <f>(AI61-(AZ61*Surfaces!AC32)-(BA61*Surfaces!AD32))/Surfaces!AB32</f>
        <v>6.4292788649635577</v>
      </c>
      <c r="AZ61" s="23">
        <f t="shared" si="30"/>
        <v>1.4857888961774444</v>
      </c>
      <c r="BA61" s="23">
        <f t="shared" si="31"/>
        <v>1.7479869366793463</v>
      </c>
      <c r="BB61" s="24">
        <f t="shared" si="32"/>
        <v>1.6372273680596079</v>
      </c>
      <c r="BC61" s="24">
        <f t="shared" si="33"/>
        <v>0.3783588012081936</v>
      </c>
      <c r="BD61" s="124">
        <f t="shared" si="34"/>
        <v>0.44512800142140424</v>
      </c>
    </row>
    <row r="62" spans="2:56" ht="15" x14ac:dyDescent="0.35">
      <c r="B62">
        <v>2045</v>
      </c>
      <c r="C62" s="101">
        <v>1.6021815327334266</v>
      </c>
      <c r="D62" s="87">
        <v>3.2026345918797356</v>
      </c>
      <c r="E62" s="87">
        <v>5.1678885794969718</v>
      </c>
      <c r="F62" s="102">
        <v>7.8118077250814482</v>
      </c>
      <c r="G62" s="94">
        <v>-1.1656210414801247</v>
      </c>
      <c r="H62" s="103">
        <v>-4.7762628676116528</v>
      </c>
      <c r="I62" s="163">
        <f t="shared" si="2"/>
        <v>11.842628520099804</v>
      </c>
      <c r="J62" s="165">
        <f>Surfaces!$A$8</f>
        <v>8645297.8125</v>
      </c>
      <c r="K62" s="175">
        <f t="shared" si="13"/>
        <v>1.3698346519626972</v>
      </c>
      <c r="L62" s="63">
        <f t="shared" si="14"/>
        <v>1.6021815327334266</v>
      </c>
      <c r="M62" s="109">
        <f>(E62*'Global-Swiss Carbon Budgets'!$B$50)/(100%-'Global-Swiss Carbon Budgets'!$B$51)</f>
        <v>3.2947743045191862</v>
      </c>
      <c r="N62" s="64">
        <f t="shared" si="15"/>
        <v>0.78118077250814488</v>
      </c>
      <c r="O62" s="120">
        <f t="shared" si="16"/>
        <v>1.836244014259639</v>
      </c>
      <c r="P62" s="109">
        <f t="shared" si="17"/>
        <v>1.4585302902595469</v>
      </c>
      <c r="Q62" s="181">
        <f>(O62*1000000000)/Surfaces!U33</f>
        <v>274.3400884244802</v>
      </c>
      <c r="R62" s="165">
        <f>((N62*$O$7)*1000000000)/Surfaces!U33</f>
        <v>65.045184403507378</v>
      </c>
      <c r="S62" s="165">
        <f>(P62*1000000000)/Surfaces!V33</f>
        <v>103.47278690012789</v>
      </c>
      <c r="T62" s="165">
        <f>((N62*$P$7)*1000000000)/Surfaces!V33</f>
        <v>24.533076967773788</v>
      </c>
      <c r="U62" s="181">
        <f t="shared" si="18"/>
        <v>203.01166543411534</v>
      </c>
      <c r="V62" s="165">
        <f t="shared" si="19"/>
        <v>71.328422990364857</v>
      </c>
      <c r="W62" s="165">
        <f t="shared" si="3"/>
        <v>26.902924594033252</v>
      </c>
      <c r="X62" s="182">
        <f t="shared" si="4"/>
        <v>76.569862306094635</v>
      </c>
      <c r="Y62" s="64">
        <f t="shared" si="20"/>
        <v>1.1888070498394143</v>
      </c>
      <c r="Z62" s="109">
        <f t="shared" si="21"/>
        <v>0.44838207656722084</v>
      </c>
      <c r="AB62">
        <v>2045</v>
      </c>
      <c r="AC62" s="120">
        <f t="shared" si="5"/>
        <v>1.1055052575860642</v>
      </c>
      <c r="AD62" s="64">
        <f>(AC62*1000000000)/(Surfaces!E33+Surfaces!I33+Surfaces!K33)</f>
        <v>2.0166810266571531</v>
      </c>
      <c r="AE62" s="64">
        <f t="shared" si="6"/>
        <v>4.9034978213213032</v>
      </c>
      <c r="AF62" s="64">
        <f t="shared" si="22"/>
        <v>0.35289278857496215</v>
      </c>
      <c r="AG62" s="109">
        <f t="shared" si="23"/>
        <v>0.584793763924223</v>
      </c>
      <c r="AH62" s="120">
        <f t="shared" si="7"/>
        <v>0.49667627514736234</v>
      </c>
      <c r="AI62" s="64">
        <f>(AH62*1000000000)/Surfaces!N33</f>
        <v>3.3634762038339043</v>
      </c>
      <c r="AJ62" s="64">
        <f t="shared" si="24"/>
        <v>3.4031650161205733</v>
      </c>
      <c r="AK62" s="64">
        <f t="shared" si="25"/>
        <v>1.2726008243748819</v>
      </c>
      <c r="AL62" s="109">
        <f t="shared" si="26"/>
        <v>1.4971774404410374</v>
      </c>
      <c r="AN62" s="31">
        <f t="shared" si="27"/>
        <v>5.8987013273129885E-2</v>
      </c>
      <c r="AO62" s="20">
        <f t="shared" si="28"/>
        <v>9.7749907709758083E-2</v>
      </c>
      <c r="AP62" s="191">
        <f>(AD62-(AQ62*Surfaces!Y33)-(AR62*Surfaces!Z33))/Surfaces!X33</f>
        <v>4.9034978213213032</v>
      </c>
      <c r="AQ62" s="23">
        <f t="shared" si="8"/>
        <v>0.35289278857496215</v>
      </c>
      <c r="AR62" s="20">
        <f t="shared" si="9"/>
        <v>0.584793763924223</v>
      </c>
      <c r="AS62" s="24">
        <f t="shared" si="10"/>
        <v>2.4314692093123584</v>
      </c>
      <c r="AT62" s="24">
        <f t="shared" si="11"/>
        <v>0.17498691360225499</v>
      </c>
      <c r="AU62" s="124">
        <f t="shared" si="12"/>
        <v>0.28997831396945112</v>
      </c>
      <c r="AW62" s="31">
        <f t="shared" ref="AW62:AX62" si="58">AVERAGE(AK62:AK81)</f>
        <v>0.21502136601864388</v>
      </c>
      <c r="AX62" s="31">
        <f t="shared" si="58"/>
        <v>0.2529663129631104</v>
      </c>
      <c r="AY62" s="191">
        <f>(AI62-(AZ62*Surfaces!AC33)-(BA62*Surfaces!AD33))/Surfaces!AB33</f>
        <v>5.7435363284098848</v>
      </c>
      <c r="AZ62" s="23">
        <f t="shared" si="30"/>
        <v>1.2726008243748819</v>
      </c>
      <c r="BA62" s="23">
        <f t="shared" si="31"/>
        <v>1.4971774404410374</v>
      </c>
      <c r="BB62" s="24">
        <f t="shared" si="32"/>
        <v>1.7076191357807249</v>
      </c>
      <c r="BC62" s="24">
        <f t="shared" si="33"/>
        <v>0.3783588012081936</v>
      </c>
      <c r="BD62" s="124">
        <f t="shared" si="34"/>
        <v>0.44512800142140418</v>
      </c>
    </row>
    <row r="63" spans="2:56" ht="15" x14ac:dyDescent="0.35">
      <c r="B63">
        <v>2046</v>
      </c>
      <c r="C63" s="101">
        <v>1.2640145248824457</v>
      </c>
      <c r="D63" s="87">
        <v>2.3608381393531821</v>
      </c>
      <c r="E63" s="87">
        <v>4.4991050909737318</v>
      </c>
      <c r="F63" s="102">
        <v>7.7729193411314839</v>
      </c>
      <c r="G63" s="94">
        <v>-1.4998490543714387</v>
      </c>
      <c r="H63" s="103">
        <v>-5.1014936056855547</v>
      </c>
      <c r="I63" s="163">
        <f t="shared" si="2"/>
        <v>9.2955344362838517</v>
      </c>
      <c r="J63" s="165">
        <f>Surfaces!$A$8</f>
        <v>8645297.8125</v>
      </c>
      <c r="K63" s="175">
        <f t="shared" si="13"/>
        <v>1.0752127500852189</v>
      </c>
      <c r="L63" s="63">
        <f t="shared" si="14"/>
        <v>1.2640145248824457</v>
      </c>
      <c r="M63" s="109">
        <f>(E63*'Global-Swiss Carbon Budgets'!$B$50)/(100%-'Global-Swiss Carbon Budgets'!$B$51)</f>
        <v>2.8683930814380267</v>
      </c>
      <c r="N63" s="64">
        <f t="shared" si="15"/>
        <v>0.77729193411314845</v>
      </c>
      <c r="O63" s="120">
        <f t="shared" si="16"/>
        <v>1.5986131793943845</v>
      </c>
      <c r="P63" s="109">
        <f t="shared" si="17"/>
        <v>1.2697799020436422</v>
      </c>
      <c r="Q63" s="181">
        <f>(O63*1000000000)/Surfaces!U34</f>
        <v>237.43627401863071</v>
      </c>
      <c r="R63" s="165">
        <f>((N63*$O$7)*1000000000)/Surfaces!U34</f>
        <v>64.34170471783311</v>
      </c>
      <c r="S63" s="165">
        <f>(P63*1000000000)/Surfaces!V34</f>
        <v>88.034909368289178</v>
      </c>
      <c r="T63" s="165">
        <f>((N63*$P$7)*1000000000)/Surfaces!V34</f>
        <v>23.856153264059415</v>
      </c>
      <c r="U63" s="181">
        <f t="shared" si="18"/>
        <v>175.70284277378673</v>
      </c>
      <c r="V63" s="165">
        <f t="shared" si="19"/>
        <v>61.733431244843985</v>
      </c>
      <c r="W63" s="165">
        <f t="shared" si="3"/>
        <v>22.889076435755186</v>
      </c>
      <c r="X63" s="182">
        <f t="shared" si="4"/>
        <v>65.145832932533992</v>
      </c>
      <c r="Y63" s="64">
        <f t="shared" si="20"/>
        <v>1.0288905207473997</v>
      </c>
      <c r="Z63" s="109">
        <f t="shared" si="21"/>
        <v>0.38148460726258643</v>
      </c>
      <c r="AB63">
        <v>2046</v>
      </c>
      <c r="AC63" s="120">
        <f t="shared" si="5"/>
        <v>0.8721700221688875</v>
      </c>
      <c r="AD63" s="64">
        <f>(AC63*1000000000)/(Surfaces!E34+Surfaces!I34+Surfaces!K34)</f>
        <v>1.5736322585848581</v>
      </c>
      <c r="AE63" s="64">
        <f t="shared" si="6"/>
        <v>4.0732368760848159</v>
      </c>
      <c r="AF63" s="64">
        <f t="shared" si="22"/>
        <v>0.27536505207470996</v>
      </c>
      <c r="AG63" s="109">
        <f t="shared" si="23"/>
        <v>0.45631922915237649</v>
      </c>
      <c r="AH63" s="120">
        <f t="shared" si="7"/>
        <v>0.39184450271355825</v>
      </c>
      <c r="AI63" s="64">
        <f>(AH63*1000000000)/Surfaces!N34</f>
        <v>2.6415148970684577</v>
      </c>
      <c r="AJ63" s="64">
        <f t="shared" si="24"/>
        <v>2.6726846103498203</v>
      </c>
      <c r="AK63" s="64">
        <f t="shared" si="25"/>
        <v>0.99944040982840654</v>
      </c>
      <c r="AL63" s="109">
        <f t="shared" si="26"/>
        <v>1.175812246856949</v>
      </c>
      <c r="AN63" s="31">
        <f t="shared" si="27"/>
        <v>4.1342373844381775E-2</v>
      </c>
      <c r="AO63" s="20">
        <f t="shared" si="28"/>
        <v>6.8510219513546924E-2</v>
      </c>
      <c r="AP63" s="191">
        <f>(AD63-(AQ63*Surfaces!Y34)-(AR63*Surfaces!Z34))/Surfaces!X34</f>
        <v>4.0732368760848159</v>
      </c>
      <c r="AQ63" s="23">
        <f t="shared" si="8"/>
        <v>0.27536505207470996</v>
      </c>
      <c r="AR63" s="20">
        <f t="shared" si="9"/>
        <v>0.45631922915237649</v>
      </c>
      <c r="AS63" s="24">
        <f t="shared" si="10"/>
        <v>2.5884299548789191</v>
      </c>
      <c r="AT63" s="24">
        <f t="shared" si="11"/>
        <v>0.17498691360225499</v>
      </c>
      <c r="AU63" s="124">
        <f t="shared" si="12"/>
        <v>0.28997831396945112</v>
      </c>
      <c r="AW63" s="31">
        <f t="shared" ref="AW63:AX63" si="59">AVERAGE(AK63:AK82)</f>
        <v>0.15139132479989975</v>
      </c>
      <c r="AX63" s="31">
        <f t="shared" si="59"/>
        <v>0.17810744094105854</v>
      </c>
      <c r="AY63" s="191">
        <f>(AI63-(AZ63*Surfaces!AC34)-(BA63*Surfaces!AD34))/Surfaces!AB34</f>
        <v>4.7225521185820734</v>
      </c>
      <c r="AZ63" s="23">
        <f t="shared" si="30"/>
        <v>0.99944040982840654</v>
      </c>
      <c r="BA63" s="23">
        <f t="shared" si="31"/>
        <v>1.175812246856949</v>
      </c>
      <c r="BB63" s="24">
        <f t="shared" si="32"/>
        <v>1.7878196045091936</v>
      </c>
      <c r="BC63" s="24">
        <f t="shared" si="33"/>
        <v>0.3783588012081936</v>
      </c>
      <c r="BD63" s="124">
        <f t="shared" si="34"/>
        <v>0.44512800142140424</v>
      </c>
    </row>
    <row r="64" spans="2:56" ht="15" x14ac:dyDescent="0.35">
      <c r="B64">
        <v>2047</v>
      </c>
      <c r="C64" s="101">
        <v>0.97498457515947989</v>
      </c>
      <c r="D64" s="87">
        <v>1.630057378853105</v>
      </c>
      <c r="E64" s="87">
        <v>4.2834098023758642</v>
      </c>
      <c r="F64" s="102">
        <v>7.7342093716978804</v>
      </c>
      <c r="G64" s="94">
        <v>-2.0527828991623536</v>
      </c>
      <c r="H64" s="103">
        <v>-5.0926550804488215</v>
      </c>
      <c r="I64" s="163">
        <f t="shared" si="2"/>
        <v>7.4772231484751526</v>
      </c>
      <c r="J64" s="165">
        <f>Surfaces!$A$8</f>
        <v>8645297.8125</v>
      </c>
      <c r="K64" s="175">
        <f t="shared" si="13"/>
        <v>0.86488901951579267</v>
      </c>
      <c r="L64" s="63">
        <f t="shared" si="14"/>
        <v>0.97498457515947989</v>
      </c>
      <c r="M64" s="109">
        <f>(E64*'Global-Swiss Carbon Budgets'!$B$50)/(100%-'Global-Swiss Carbon Budgets'!$B$51)</f>
        <v>2.7308770952579846</v>
      </c>
      <c r="N64" s="64">
        <f t="shared" si="15"/>
        <v>0.7734209371697881</v>
      </c>
      <c r="O64" s="120">
        <f t="shared" si="16"/>
        <v>1.5219727533288536</v>
      </c>
      <c r="P64" s="109">
        <f t="shared" si="17"/>
        <v>1.208904341929131</v>
      </c>
      <c r="Q64" s="181">
        <f>(O64*1000000000)/Surfaces!U35</f>
        <v>224.73478617593196</v>
      </c>
      <c r="R64" s="165">
        <f>((N64*$O$7)*1000000000)/Surfaces!U35</f>
        <v>63.647898779721928</v>
      </c>
      <c r="S64" s="165">
        <f>(P64*1000000000)/Surfaces!V35</f>
        <v>81.951814312885304</v>
      </c>
      <c r="T64" s="165">
        <f>((N64*$P$7)*1000000000)/Surfaces!V35</f>
        <v>23.209850468443886</v>
      </c>
      <c r="U64" s="181">
        <f t="shared" si="18"/>
        <v>166.30374177018965</v>
      </c>
      <c r="V64" s="165">
        <f t="shared" si="19"/>
        <v>58.431044405742313</v>
      </c>
      <c r="W64" s="165">
        <f t="shared" si="3"/>
        <v>21.307471721350179</v>
      </c>
      <c r="X64" s="182">
        <f t="shared" si="4"/>
        <v>60.644342591535121</v>
      </c>
      <c r="Y64" s="64">
        <f t="shared" si="20"/>
        <v>0.97385074009570516</v>
      </c>
      <c r="Z64" s="109">
        <f t="shared" si="21"/>
        <v>0.35512452868916966</v>
      </c>
      <c r="AB64">
        <v>2047</v>
      </c>
      <c r="AC64" s="120">
        <f t="shared" si="5"/>
        <v>0.67273935686004105</v>
      </c>
      <c r="AD64" s="64">
        <f>(AC64*1000000000)/(Surfaces!E35+Surfaces!I35+Surfaces!K35)</f>
        <v>1.2006017933401161</v>
      </c>
      <c r="AE64" s="64">
        <f t="shared" si="6"/>
        <v>3.3248431980508282</v>
      </c>
      <c r="AF64" s="64">
        <f t="shared" si="22"/>
        <v>0.21008960228191928</v>
      </c>
      <c r="AG64" s="109">
        <f t="shared" si="23"/>
        <v>0.34814848378146623</v>
      </c>
      <c r="AH64" s="120">
        <f t="shared" si="7"/>
        <v>0.30224521829943884</v>
      </c>
      <c r="AI64" s="64">
        <f>(AH64*1000000000)/Surfaces!N35</f>
        <v>2.0282455993802171</v>
      </c>
      <c r="AJ64" s="64">
        <f t="shared" si="24"/>
        <v>2.0521787726767329</v>
      </c>
      <c r="AK64" s="64">
        <f t="shared" si="25"/>
        <v>0.76740457353729308</v>
      </c>
      <c r="AL64" s="109">
        <f t="shared" si="26"/>
        <v>0.90282891004387422</v>
      </c>
      <c r="AN64" s="31">
        <f t="shared" si="27"/>
        <v>2.7574121240646267E-2</v>
      </c>
      <c r="AO64" s="20">
        <f t="shared" si="28"/>
        <v>4.5694258055928097E-2</v>
      </c>
      <c r="AP64" s="191">
        <f>(AD64-(AQ64*Surfaces!Y35)-(AR64*Surfaces!Z35))/Surfaces!X35</f>
        <v>3.3248431980508277</v>
      </c>
      <c r="AQ64" s="23">
        <f t="shared" si="8"/>
        <v>0.21008960228191928</v>
      </c>
      <c r="AR64" s="20">
        <f t="shared" si="9"/>
        <v>0.34814848378146623</v>
      </c>
      <c r="AS64" s="24">
        <f t="shared" si="10"/>
        <v>2.7693138695062234</v>
      </c>
      <c r="AT64" s="24">
        <f t="shared" si="11"/>
        <v>0.17498691360225499</v>
      </c>
      <c r="AU64" s="124">
        <f t="shared" si="12"/>
        <v>0.28997831396945112</v>
      </c>
      <c r="AW64" s="31">
        <f t="shared" ref="AW64:AX64" si="60">AVERAGE(AK64:AK83)</f>
        <v>0.10141930430847942</v>
      </c>
      <c r="AX64" s="31">
        <f t="shared" si="60"/>
        <v>0.11931682859821111</v>
      </c>
      <c r="AY64" s="191">
        <f>(AI64-(AZ64*Surfaces!AC35)-(BA64*Surfaces!AD35))/Surfaces!AB35</f>
        <v>3.8130771228776474</v>
      </c>
      <c r="AZ64" s="23">
        <f t="shared" si="30"/>
        <v>0.76740457353729308</v>
      </c>
      <c r="BA64" s="23">
        <f t="shared" si="31"/>
        <v>0.90282891004387422</v>
      </c>
      <c r="BB64" s="24">
        <f t="shared" si="32"/>
        <v>1.8799878693402967</v>
      </c>
      <c r="BC64" s="24">
        <f t="shared" si="33"/>
        <v>0.3783588012081936</v>
      </c>
      <c r="BD64" s="124">
        <f t="shared" si="34"/>
        <v>0.44512800142140424</v>
      </c>
    </row>
    <row r="65" spans="2:56" ht="15" x14ac:dyDescent="0.35">
      <c r="B65">
        <v>2048</v>
      </c>
      <c r="C65" s="101">
        <v>0.72747279345665516</v>
      </c>
      <c r="D65" s="87">
        <v>1.0058761146999879</v>
      </c>
      <c r="E65" s="87">
        <v>4.0851841940408011</v>
      </c>
      <c r="F65" s="102">
        <v>7.6956689392790185</v>
      </c>
      <c r="G65" s="94">
        <v>-2.7422775901023781</v>
      </c>
      <c r="H65" s="103">
        <v>-5.3034875138790749</v>
      </c>
      <c r="I65" s="163">
        <f t="shared" si="2"/>
        <v>5.4684369374950101</v>
      </c>
      <c r="J65" s="165">
        <f>Surfaces!$A$8</f>
        <v>8645297.8125</v>
      </c>
      <c r="K65" s="175">
        <f t="shared" si="13"/>
        <v>0.63253308978996037</v>
      </c>
      <c r="L65" s="63">
        <f t="shared" si="14"/>
        <v>0.72747279345665516</v>
      </c>
      <c r="M65" s="109">
        <f>(E65*'Global-Swiss Carbon Budgets'!$B$50)/(100%-'Global-Swiss Carbon Budgets'!$B$51)</f>
        <v>2.6044988595833249</v>
      </c>
      <c r="N65" s="64">
        <f t="shared" si="15"/>
        <v>0.7695668939279019</v>
      </c>
      <c r="O65" s="120">
        <f t="shared" si="16"/>
        <v>1.4515396197233172</v>
      </c>
      <c r="P65" s="109">
        <f t="shared" si="17"/>
        <v>1.1529592398600075</v>
      </c>
      <c r="Q65" s="181">
        <f>(O65*1000000000)/Surfaces!U36</f>
        <v>213.09184702666488</v>
      </c>
      <c r="R65" s="165">
        <f>((N65*$O$7)*1000000000)/Surfaces!U36</f>
        <v>62.963525683365226</v>
      </c>
      <c r="S65" s="165">
        <f>(P65*1000000000)/Surfaces!V36</f>
        <v>76.460172161471348</v>
      </c>
      <c r="T65" s="165">
        <f>((N65*$P$7)*1000000000)/Surfaces!V36</f>
        <v>22.592145503534493</v>
      </c>
      <c r="U65" s="181">
        <f t="shared" si="18"/>
        <v>157.68796679973201</v>
      </c>
      <c r="V65" s="165">
        <f t="shared" si="19"/>
        <v>55.40388022693287</v>
      </c>
      <c r="W65" s="165">
        <f t="shared" si="3"/>
        <v>19.879644761982551</v>
      </c>
      <c r="X65" s="182">
        <f t="shared" si="4"/>
        <v>56.580527399488794</v>
      </c>
      <c r="Y65" s="64">
        <f t="shared" si="20"/>
        <v>0.92339800378221448</v>
      </c>
      <c r="Z65" s="109">
        <f t="shared" si="21"/>
        <v>0.33132741269970917</v>
      </c>
      <c r="AB65">
        <v>2048</v>
      </c>
      <c r="AC65" s="120">
        <f t="shared" si="5"/>
        <v>0.50195622748509205</v>
      </c>
      <c r="AD65" s="64">
        <f>(AC65*1000000000)/(Surfaces!E36+Surfaces!I36+Surfaces!K36)</f>
        <v>0.88611929156378233</v>
      </c>
      <c r="AE65" s="64">
        <f t="shared" si="6"/>
        <v>2.6406570783567727</v>
      </c>
      <c r="AF65" s="64">
        <f t="shared" si="22"/>
        <v>0.15505927991416299</v>
      </c>
      <c r="AG65" s="109">
        <f t="shared" si="23"/>
        <v>0.25695537814347008</v>
      </c>
      <c r="AH65" s="120">
        <f t="shared" si="7"/>
        <v>0.22551656597156314</v>
      </c>
      <c r="AI65" s="64">
        <f>(AH65*1000000000)/Surfaces!N36</f>
        <v>1.5064643622279845</v>
      </c>
      <c r="AJ65" s="64">
        <f t="shared" si="24"/>
        <v>1.5242405490257001</v>
      </c>
      <c r="AK65" s="64">
        <f t="shared" si="25"/>
        <v>0.56998405015544618</v>
      </c>
      <c r="AL65" s="109">
        <f t="shared" si="26"/>
        <v>0.67056947077111317</v>
      </c>
      <c r="AN65" s="31">
        <f t="shared" si="27"/>
        <v>1.7069641126550305E-2</v>
      </c>
      <c r="AO65" s="20">
        <f t="shared" si="28"/>
        <v>2.8286833866854787E-2</v>
      </c>
      <c r="AP65" s="191">
        <f>(AD65-(AQ65*Surfaces!Y36)-(AR65*Surfaces!Z36))/Surfaces!X36</f>
        <v>2.6406570783567727</v>
      </c>
      <c r="AQ65" s="23">
        <f t="shared" si="8"/>
        <v>0.15505927991416299</v>
      </c>
      <c r="AR65" s="20">
        <f t="shared" si="9"/>
        <v>0.25695537814347008</v>
      </c>
      <c r="AS65" s="24">
        <f t="shared" si="10"/>
        <v>2.9800243640973703</v>
      </c>
      <c r="AT65" s="24">
        <f t="shared" si="11"/>
        <v>0.17498691360225499</v>
      </c>
      <c r="AU65" s="124">
        <f t="shared" si="12"/>
        <v>0.28997831396945112</v>
      </c>
      <c r="AW65" s="31">
        <f t="shared" ref="AW65:AX65" si="61">AVERAGE(AK65:AK84)</f>
        <v>6.3049075631614784E-2</v>
      </c>
      <c r="AX65" s="31">
        <f t="shared" si="61"/>
        <v>7.4175383096017386E-2</v>
      </c>
      <c r="AY65" s="191">
        <f>(AI65-(AZ65*Surfaces!AC36)-(BA65*Surfaces!AD36))/Surfaces!AB36</f>
        <v>2.9932977120264259</v>
      </c>
      <c r="AZ65" s="23">
        <f t="shared" si="30"/>
        <v>0.56998405015544618</v>
      </c>
      <c r="BA65" s="23">
        <f t="shared" si="31"/>
        <v>0.67056947077111317</v>
      </c>
      <c r="BB65" s="24">
        <f t="shared" si="32"/>
        <v>1.9869688172373956</v>
      </c>
      <c r="BC65" s="24">
        <f t="shared" si="33"/>
        <v>0.3783588012081936</v>
      </c>
      <c r="BD65" s="124">
        <f t="shared" si="34"/>
        <v>0.4451280014214043</v>
      </c>
    </row>
    <row r="66" spans="2:56" ht="15" x14ac:dyDescent="0.35">
      <c r="B66">
        <v>2049</v>
      </c>
      <c r="C66" s="101">
        <v>0.52282558979181104</v>
      </c>
      <c r="D66" s="87">
        <v>0.47471421898450411</v>
      </c>
      <c r="E66" s="87">
        <v>3.8986854779441953</v>
      </c>
      <c r="F66" s="102">
        <v>7.6572897666784554</v>
      </c>
      <c r="G66" s="94">
        <v>-3.3521738009986004</v>
      </c>
      <c r="H66" s="103">
        <v>-6.082456662333489</v>
      </c>
      <c r="I66" s="163">
        <f t="shared" si="2"/>
        <v>3.1188845900668767</v>
      </c>
      <c r="J66" s="165">
        <f>Surfaces!$A$8</f>
        <v>8645297.8125</v>
      </c>
      <c r="K66" s="175">
        <f t="shared" si="13"/>
        <v>0.36076080404741717</v>
      </c>
      <c r="L66" s="63">
        <f t="shared" si="14"/>
        <v>0.52282558979181104</v>
      </c>
      <c r="M66" s="109">
        <f>(E66*'Global-Swiss Carbon Budgets'!$B$50)/(100%-'Global-Swiss Carbon Budgets'!$B$51)</f>
        <v>2.485597074421245</v>
      </c>
      <c r="N66" s="64">
        <f t="shared" si="15"/>
        <v>0.76572897666784556</v>
      </c>
      <c r="O66" s="120">
        <f t="shared" si="16"/>
        <v>1.3852732624225501</v>
      </c>
      <c r="P66" s="109">
        <f t="shared" si="17"/>
        <v>1.1003238119986947</v>
      </c>
      <c r="Q66" s="181">
        <f>(O66*1000000000)/Surfaces!U37</f>
        <v>202.19132040164638</v>
      </c>
      <c r="R66" s="165">
        <f>((N66*$O$7)*1000000000)/Surfaces!U37</f>
        <v>62.288354961281428</v>
      </c>
      <c r="S66" s="165">
        <f>(P66*1000000000)/Surfaces!V37</f>
        <v>71.417032866200771</v>
      </c>
      <c r="T66" s="165">
        <f>((N66*$P$7)*1000000000)/Surfaces!V37</f>
        <v>22.001189193555479</v>
      </c>
      <c r="U66" s="181">
        <f t="shared" si="18"/>
        <v>149.62157709721831</v>
      </c>
      <c r="V66" s="165">
        <f t="shared" si="19"/>
        <v>52.569743304428059</v>
      </c>
      <c r="W66" s="165">
        <f t="shared" si="3"/>
        <v>18.5684285452122</v>
      </c>
      <c r="X66" s="182">
        <f t="shared" si="4"/>
        <v>52.848604320988571</v>
      </c>
      <c r="Y66" s="64">
        <f t="shared" si="20"/>
        <v>0.87616238840713434</v>
      </c>
      <c r="Z66" s="109">
        <f t="shared" si="21"/>
        <v>0.30947380908687</v>
      </c>
      <c r="AB66">
        <v>2049</v>
      </c>
      <c r="AC66" s="120">
        <f t="shared" si="5"/>
        <v>0.36074965695634958</v>
      </c>
      <c r="AD66" s="64">
        <f>(AC66*1000000000)/(Surfaces!E37+Surfaces!I37+Surfaces!K37)</f>
        <v>0.62998524158657521</v>
      </c>
      <c r="AE66" s="64">
        <f t="shared" si="6"/>
        <v>2.0339590401983805</v>
      </c>
      <c r="AF66" s="64">
        <f t="shared" si="22"/>
        <v>0.11023917304020578</v>
      </c>
      <c r="AG66" s="109">
        <f t="shared" si="23"/>
        <v>0.18268205818091243</v>
      </c>
      <c r="AH66" s="120">
        <f t="shared" si="7"/>
        <v>0.16207593283546146</v>
      </c>
      <c r="AI66" s="64">
        <f>(AH66*1000000000)/Surfaces!N37</f>
        <v>1.0777445546227673</v>
      </c>
      <c r="AJ66" s="64">
        <f t="shared" si="24"/>
        <v>1.0904618740652672</v>
      </c>
      <c r="AK66" s="64">
        <f t="shared" si="25"/>
        <v>0.40777413769572873</v>
      </c>
      <c r="AL66" s="109">
        <f t="shared" si="26"/>
        <v>0.47973427964203386</v>
      </c>
      <c r="AN66" s="31">
        <f t="shared" si="27"/>
        <v>9.3166771308421555E-3</v>
      </c>
      <c r="AO66" s="20">
        <f t="shared" si="28"/>
        <v>1.5439064959681286E-2</v>
      </c>
      <c r="AP66" s="191">
        <f>(AD66-(AQ66*Surfaces!Y37)-(AR66*Surfaces!Z37))/Surfaces!X37</f>
        <v>2.0339590401983805</v>
      </c>
      <c r="AQ66" s="23">
        <f t="shared" si="8"/>
        <v>0.11023917304020578</v>
      </c>
      <c r="AR66" s="20">
        <f t="shared" si="9"/>
        <v>0.18268205818091243</v>
      </c>
      <c r="AS66" s="24">
        <f t="shared" si="10"/>
        <v>3.2285820459476038</v>
      </c>
      <c r="AT66" s="24">
        <f t="shared" si="11"/>
        <v>0.17498691360225499</v>
      </c>
      <c r="AU66" s="124">
        <f t="shared" si="12"/>
        <v>0.28997831396945112</v>
      </c>
      <c r="AW66" s="31">
        <f t="shared" ref="AW66:AX66" si="62">AVERAGE(AK66:AK85)</f>
        <v>3.4549873123842473E-2</v>
      </c>
      <c r="AX66" s="31">
        <f t="shared" si="62"/>
        <v>4.0646909557461738E-2</v>
      </c>
      <c r="AY66" s="191">
        <f>(AI66-(AZ66*Surfaces!AC37)-(BA66*Surfaces!AD37))/Surfaces!AB37</f>
        <v>2.2768310652323165</v>
      </c>
      <c r="AZ66" s="23">
        <f t="shared" si="30"/>
        <v>0.40777413769572873</v>
      </c>
      <c r="BA66" s="23">
        <f t="shared" si="31"/>
        <v>0.47973427964203386</v>
      </c>
      <c r="BB66" s="24">
        <f t="shared" si="32"/>
        <v>2.1125887906056309</v>
      </c>
      <c r="BC66" s="24">
        <f t="shared" si="33"/>
        <v>0.3783588012081936</v>
      </c>
      <c r="BD66" s="124">
        <f t="shared" si="34"/>
        <v>0.44512800142140424</v>
      </c>
    </row>
    <row r="67" spans="2:56" ht="15.6" thickBot="1" x14ac:dyDescent="0.4">
      <c r="B67">
        <v>2050</v>
      </c>
      <c r="C67" s="101">
        <v>0.36479730392402265</v>
      </c>
      <c r="D67" s="87">
        <v>2.6855579594919368E-2</v>
      </c>
      <c r="E67" s="87">
        <v>3.7223893476473737</v>
      </c>
      <c r="F67" s="102">
        <v>7.6190657385992733</v>
      </c>
      <c r="G67" s="96">
        <v>-4.7377767183828299</v>
      </c>
      <c r="H67" s="104">
        <v>-7.0157158003162579</v>
      </c>
      <c r="I67" s="164">
        <f>SUM(C67:F67)+SUM(G67:H67)</f>
        <v>-2.0384548933497726E-2</v>
      </c>
      <c r="J67" s="166">
        <f>Surfaces!$A$8</f>
        <v>8645297.8125</v>
      </c>
      <c r="K67" s="176">
        <f t="shared" si="13"/>
        <v>-2.3578770073165393E-3</v>
      </c>
      <c r="L67" s="177">
        <f t="shared" si="14"/>
        <v>0.36479730392402265</v>
      </c>
      <c r="M67" s="111">
        <f>(E67*'Global-Swiss Carbon Budgets'!$B$50)/(100%-'Global-Swiss Carbon Budgets'!$B$51)</f>
        <v>2.3731999220537161</v>
      </c>
      <c r="N67" s="64">
        <f t="shared" si="15"/>
        <v>0.76190657385992733</v>
      </c>
      <c r="O67" s="180">
        <f t="shared" si="16"/>
        <v>1.3226320678582923</v>
      </c>
      <c r="P67" s="111">
        <f t="shared" si="17"/>
        <v>1.0505678541954235</v>
      </c>
      <c r="Q67" s="181">
        <f>(O67*1000000000)/Surfaces!U38</f>
        <v>191.9418406608311</v>
      </c>
      <c r="R67" s="165">
        <f>((N67*$O$7)*1000000000)/Surfaces!U38</f>
        <v>61.622178915170139</v>
      </c>
      <c r="S67" s="165">
        <f>(P67*1000000000)/Surfaces!V38</f>
        <v>66.767024117413229</v>
      </c>
      <c r="T67" s="165">
        <f>((N67*$P$7)*1000000000)/Surfaces!V38</f>
        <v>21.435292542947437</v>
      </c>
      <c r="U67" s="181">
        <f t="shared" si="18"/>
        <v>142.03696208901502</v>
      </c>
      <c r="V67" s="165">
        <f t="shared" si="19"/>
        <v>49.904878571816091</v>
      </c>
      <c r="W67" s="165">
        <f t="shared" si="3"/>
        <v>17.35942627052744</v>
      </c>
      <c r="X67" s="182">
        <f t="shared" si="4"/>
        <v>49.407597846885785</v>
      </c>
      <c r="Y67" s="110">
        <f t="shared" si="20"/>
        <v>0.83174797619693486</v>
      </c>
      <c r="Z67" s="111">
        <f t="shared" si="21"/>
        <v>0.28932377117545732</v>
      </c>
      <c r="AB67">
        <v>2050</v>
      </c>
      <c r="AC67" s="180">
        <f t="shared" si="5"/>
        <v>0.25171013970757561</v>
      </c>
      <c r="AD67" s="64">
        <f>(AC67*1000000000)/(Surfaces!E38+Surfaces!I38+Surfaces!K38)</f>
        <v>0.43485748739817048</v>
      </c>
      <c r="AE67" s="64">
        <f t="shared" si="6"/>
        <v>1.5333802498574935</v>
      </c>
      <c r="AF67" s="110">
        <f t="shared" si="22"/>
        <v>7.6094369576637344E-2</v>
      </c>
      <c r="AG67" s="111">
        <f t="shared" si="23"/>
        <v>0.1260992410127133</v>
      </c>
      <c r="AH67" s="180">
        <f t="shared" si="7"/>
        <v>0.11308716421644704</v>
      </c>
      <c r="AI67" s="110">
        <f>(AH67*1000000000)/Surfaces!N38</f>
        <v>0.74855751703599416</v>
      </c>
      <c r="AJ67" s="64">
        <f t="shared" si="24"/>
        <v>0.75739044968631342</v>
      </c>
      <c r="AK67" s="110">
        <f t="shared" si="25"/>
        <v>0.28322332478112072</v>
      </c>
      <c r="AL67" s="111">
        <f t="shared" si="26"/>
        <v>0.33320391150720086</v>
      </c>
      <c r="AN67" s="224">
        <f t="shared" si="27"/>
        <v>3.8047184788318673E-3</v>
      </c>
      <c r="AO67" s="225">
        <f t="shared" si="28"/>
        <v>6.3049620506356648E-3</v>
      </c>
      <c r="AP67" s="226">
        <f>(AD67-(AQ67*Surfaces!Y38)-(AR67*Surfaces!Z38))/Surfaces!X38</f>
        <v>1.5333802498574935</v>
      </c>
      <c r="AQ67" s="227">
        <f t="shared" si="8"/>
        <v>7.6094369576637344E-2</v>
      </c>
      <c r="AR67" s="225">
        <f t="shared" si="9"/>
        <v>0.1260992410127133</v>
      </c>
      <c r="AS67" s="228">
        <f t="shared" si="10"/>
        <v>3.5261672945589133</v>
      </c>
      <c r="AT67" s="228">
        <f t="shared" si="11"/>
        <v>0.17498691360225499</v>
      </c>
      <c r="AU67" s="229">
        <f t="shared" si="12"/>
        <v>0.28997831396945112</v>
      </c>
      <c r="AW67" s="31">
        <f t="shared" ref="AW67:AX67" si="63">AVERAGE(AK67:AK86)</f>
        <v>1.4161166239056036E-2</v>
      </c>
      <c r="AX67" s="31">
        <f t="shared" si="63"/>
        <v>1.6660195575360044E-2</v>
      </c>
      <c r="AY67" s="191">
        <f>(AI67-(AZ67*Surfaces!AC38)-(BA67*Surfaces!AD38))/Surfaces!AB38</f>
        <v>1.6933259230233928</v>
      </c>
      <c r="AZ67" s="23">
        <f t="shared" si="30"/>
        <v>0.28322332478112072</v>
      </c>
      <c r="BA67" s="23">
        <f t="shared" si="31"/>
        <v>0.33320391150720086</v>
      </c>
      <c r="BB67" s="24">
        <f t="shared" si="32"/>
        <v>2.2621186541928342</v>
      </c>
      <c r="BC67" s="24">
        <f t="shared" si="33"/>
        <v>0.3783588012081936</v>
      </c>
      <c r="BD67" s="124">
        <f t="shared" si="34"/>
        <v>0.44512800142140424</v>
      </c>
    </row>
    <row r="68" spans="2:56" ht="15" thickBot="1" x14ac:dyDescent="0.35">
      <c r="B68">
        <v>2051</v>
      </c>
      <c r="C68" s="257">
        <v>0</v>
      </c>
      <c r="D68" s="258">
        <v>0</v>
      </c>
      <c r="E68" s="258">
        <f>E67+(0-$E$36)/60</f>
        <v>3.5378535732114988</v>
      </c>
      <c r="F68" s="260">
        <f>F67+(0-$E$36)/60</f>
        <v>7.4345299641633984</v>
      </c>
      <c r="G68" s="17"/>
      <c r="H68" s="18"/>
      <c r="I68" s="17">
        <v>0</v>
      </c>
      <c r="J68" s="22"/>
      <c r="K68" s="18"/>
      <c r="L68" s="63">
        <f t="shared" si="14"/>
        <v>0</v>
      </c>
      <c r="M68" s="111">
        <f>(E68*'Global-Swiss Carbon Budgets'!$B$50)/(100%-'Global-Swiss Carbon Budgets'!$B$51)</f>
        <v>2.2555496053870492</v>
      </c>
      <c r="N68" s="64">
        <f t="shared" si="15"/>
        <v>0.74345299641633988</v>
      </c>
      <c r="O68" s="180">
        <f t="shared" si="16"/>
        <v>1.2570631791308915</v>
      </c>
      <c r="P68" s="111">
        <f t="shared" si="17"/>
        <v>0.99848642625615758</v>
      </c>
      <c r="Q68" s="181">
        <f>(O68*1000000000)/Surfaces!U39</f>
        <v>181.38673833218164</v>
      </c>
      <c r="R68" s="165">
        <f>((N68*$O$7)*1000000000)/Surfaces!U39</f>
        <v>59.786986640050642</v>
      </c>
      <c r="S68" s="165">
        <f>(P68*1000000000)/Surfaces!V39</f>
        <v>62.162036556710142</v>
      </c>
      <c r="T68" s="165">
        <f>((N68*$P$7)*1000000000)/Surfaces!V39</f>
        <v>20.489264448474792</v>
      </c>
      <c r="U68" s="181">
        <f t="shared" si="18"/>
        <v>134.22618636581441</v>
      </c>
      <c r="V68" s="165">
        <f t="shared" si="19"/>
        <v>47.16055196636723</v>
      </c>
      <c r="W68" s="165">
        <f t="shared" si="3"/>
        <v>16.162129504744637</v>
      </c>
      <c r="X68" s="182">
        <f t="shared" si="4"/>
        <v>45.999907051965508</v>
      </c>
      <c r="Y68" s="110">
        <f t="shared" si="20"/>
        <v>0.7860091994394538</v>
      </c>
      <c r="Z68" s="111">
        <f t="shared" si="21"/>
        <v>0.26936882507907728</v>
      </c>
      <c r="AC68" s="120">
        <f t="shared" si="5"/>
        <v>0</v>
      </c>
      <c r="AF68">
        <v>0</v>
      </c>
      <c r="AG68">
        <v>0</v>
      </c>
      <c r="AH68" s="120">
        <f t="shared" si="7"/>
        <v>0</v>
      </c>
      <c r="AK68">
        <v>0</v>
      </c>
      <c r="AL68">
        <v>0</v>
      </c>
      <c r="AQ68" s="23"/>
      <c r="AV68" s="36"/>
      <c r="AW68" s="36"/>
      <c r="AX68" s="36"/>
    </row>
    <row r="69" spans="2:56" ht="15" thickBot="1" x14ac:dyDescent="0.35">
      <c r="B69">
        <v>2052</v>
      </c>
      <c r="C69" s="256">
        <v>0</v>
      </c>
      <c r="D69" s="11">
        <v>0</v>
      </c>
      <c r="E69" s="11">
        <f t="shared" ref="E69:E87" si="64">E68+(0-$E$36)/60</f>
        <v>3.353317798775624</v>
      </c>
      <c r="F69" s="261">
        <f t="shared" ref="F69:F108" si="65">F68+(0-$E$36)/60</f>
        <v>7.2499941897275235</v>
      </c>
      <c r="G69" s="2"/>
      <c r="H69" s="5"/>
      <c r="I69" s="2">
        <v>0</v>
      </c>
      <c r="K69" s="5"/>
      <c r="L69" s="63">
        <f t="shared" si="14"/>
        <v>0</v>
      </c>
      <c r="M69" s="111">
        <f>(E69*'Global-Swiss Carbon Budgets'!$B$50)/(100%-'Global-Swiss Carbon Budgets'!$B$51)</f>
        <v>2.1378992887203827</v>
      </c>
      <c r="N69" s="64">
        <f t="shared" si="15"/>
        <v>0.72499941897275244</v>
      </c>
      <c r="O69" s="180">
        <f t="shared" si="16"/>
        <v>1.1914942904034909</v>
      </c>
      <c r="P69" s="111">
        <f t="shared" si="17"/>
        <v>0.94640499831689173</v>
      </c>
      <c r="Q69" s="181">
        <f>(O69*1000000000)/Surfaces!U40</f>
        <v>170.9512640567998</v>
      </c>
      <c r="R69" s="165">
        <f>((N69*$O$7)*1000000000)/Surfaces!U40</f>
        <v>57.972593829721589</v>
      </c>
      <c r="S69" s="165">
        <f>(P69*1000000000)/Surfaces!V40</f>
        <v>57.741248498435183</v>
      </c>
      <c r="T69" s="165">
        <f>((N69*$P$7)*1000000000)/Surfaces!V40</f>
        <v>19.581077477781054</v>
      </c>
      <c r="U69" s="181">
        <f t="shared" si="18"/>
        <v>126.50393540203186</v>
      </c>
      <c r="V69" s="165">
        <f t="shared" si="19"/>
        <v>44.447328654767951</v>
      </c>
      <c r="W69" s="165">
        <f t="shared" ref="W69:W100" si="66">S69*$W$3</f>
        <v>15.012724609593148</v>
      </c>
      <c r="X69" s="182">
        <f t="shared" ref="X69:X100" si="67">S69*$X$3</f>
        <v>42.728523888842034</v>
      </c>
      <c r="Y69" s="110">
        <f t="shared" si="20"/>
        <v>0.74078881091279913</v>
      </c>
      <c r="Z69" s="111">
        <f t="shared" si="21"/>
        <v>0.25021207682655244</v>
      </c>
      <c r="AF69">
        <v>0</v>
      </c>
      <c r="AG69">
        <v>0</v>
      </c>
      <c r="AK69">
        <v>0</v>
      </c>
      <c r="AL69">
        <v>0</v>
      </c>
    </row>
    <row r="70" spans="2:56" ht="15" thickBot="1" x14ac:dyDescent="0.35">
      <c r="B70">
        <v>2053</v>
      </c>
      <c r="C70" s="256">
        <v>0</v>
      </c>
      <c r="D70" s="11">
        <v>0</v>
      </c>
      <c r="E70" s="11">
        <f t="shared" si="64"/>
        <v>3.1687820243397491</v>
      </c>
      <c r="F70" s="261">
        <f t="shared" si="65"/>
        <v>7.0654584152916486</v>
      </c>
      <c r="G70" s="2"/>
      <c r="H70" s="5"/>
      <c r="I70" s="2">
        <v>0</v>
      </c>
      <c r="K70" s="5"/>
      <c r="L70" s="63">
        <f t="shared" si="14"/>
        <v>0</v>
      </c>
      <c r="M70" s="111">
        <f>(E70*'Global-Swiss Carbon Budgets'!$B$50)/(100%-'Global-Swiss Carbon Budgets'!$B$51)</f>
        <v>2.0202489720537158</v>
      </c>
      <c r="N70" s="64">
        <f t="shared" si="15"/>
        <v>0.70654584152916489</v>
      </c>
      <c r="O70" s="180">
        <f t="shared" si="16"/>
        <v>1.12592540167609</v>
      </c>
      <c r="P70" s="111">
        <f t="shared" si="17"/>
        <v>0.89432357037762578</v>
      </c>
      <c r="Q70" s="181">
        <f>(O70*1000000000)/Surfaces!U41</f>
        <v>160.6333955571684</v>
      </c>
      <c r="R70" s="165">
        <f>((N70*$O$7)*1000000000)/Surfaces!U41</f>
        <v>56.178648875267967</v>
      </c>
      <c r="S70" s="165">
        <f>(P70*1000000000)/Surfaces!V41</f>
        <v>53.493824677739624</v>
      </c>
      <c r="T70" s="165">
        <f>((N70*$P$7)*1000000000)/Surfaces!V41</f>
        <v>18.708505682408639</v>
      </c>
      <c r="U70" s="181">
        <f t="shared" si="18"/>
        <v>118.86871271230461</v>
      </c>
      <c r="V70" s="165">
        <f t="shared" si="19"/>
        <v>41.764682844863785</v>
      </c>
      <c r="W70" s="165">
        <f t="shared" si="66"/>
        <v>13.908394416212303</v>
      </c>
      <c r="X70" s="182">
        <f t="shared" si="67"/>
        <v>39.585430261527321</v>
      </c>
      <c r="Y70" s="110">
        <f t="shared" ref="Y70:Y101" si="68">V70/$Y$3</f>
        <v>0.69607804741439638</v>
      </c>
      <c r="Z70" s="111">
        <f t="shared" si="21"/>
        <v>0.23180657360353837</v>
      </c>
      <c r="AF70">
        <v>0</v>
      </c>
      <c r="AG70">
        <v>0</v>
      </c>
      <c r="AK70">
        <v>0</v>
      </c>
      <c r="AL70">
        <v>0</v>
      </c>
    </row>
    <row r="71" spans="2:56" ht="15" thickBot="1" x14ac:dyDescent="0.35">
      <c r="B71">
        <v>2054</v>
      </c>
      <c r="C71" s="256">
        <v>0</v>
      </c>
      <c r="D71" s="11">
        <v>0</v>
      </c>
      <c r="E71" s="11">
        <f t="shared" si="64"/>
        <v>2.9842462499038742</v>
      </c>
      <c r="F71" s="261">
        <f t="shared" si="65"/>
        <v>6.8809226408557738</v>
      </c>
      <c r="G71" s="2"/>
      <c r="H71" s="5"/>
      <c r="I71" s="2">
        <v>0</v>
      </c>
      <c r="K71" s="5"/>
      <c r="L71" s="63">
        <f t="shared" si="14"/>
        <v>0</v>
      </c>
      <c r="M71" s="111">
        <f>(E71*'Global-Swiss Carbon Budgets'!$B$50)/(100%-'Global-Swiss Carbon Budgets'!$B$51)</f>
        <v>1.9025986553870489</v>
      </c>
      <c r="N71" s="64">
        <f t="shared" si="15"/>
        <v>0.68809226408557744</v>
      </c>
      <c r="O71" s="180">
        <f t="shared" si="16"/>
        <v>1.0603565129486889</v>
      </c>
      <c r="P71" s="111">
        <f t="shared" si="17"/>
        <v>0.84224214243835971</v>
      </c>
      <c r="Q71" s="181">
        <f>(O71*1000000000)/Surfaces!U42</f>
        <v>150.43115588171531</v>
      </c>
      <c r="R71" s="165">
        <f>((N71*$O$7)*1000000000)/Surfaces!U42</f>
        <v>54.404808048496491</v>
      </c>
      <c r="S71" s="165">
        <f>(P71*1000000000)/Surfaces!V42</f>
        <v>49.409763311686191</v>
      </c>
      <c r="T71" s="165">
        <f>((N71*$P$7)*1000000000)/Surfaces!V42</f>
        <v>17.869494340704389</v>
      </c>
      <c r="U71" s="181">
        <f t="shared" si="18"/>
        <v>111.31905535246933</v>
      </c>
      <c r="V71" s="165">
        <f t="shared" si="19"/>
        <v>39.112100529245986</v>
      </c>
      <c r="W71" s="165">
        <f t="shared" si="66"/>
        <v>12.84653846103841</v>
      </c>
      <c r="X71" s="182">
        <f t="shared" si="67"/>
        <v>36.563224850647778</v>
      </c>
      <c r="Y71" s="110">
        <f t="shared" si="68"/>
        <v>0.65186834215409972</v>
      </c>
      <c r="Z71" s="111">
        <f t="shared" si="21"/>
        <v>0.21410897435064016</v>
      </c>
      <c r="AF71">
        <v>0</v>
      </c>
      <c r="AG71">
        <v>0</v>
      </c>
      <c r="AK71">
        <v>0</v>
      </c>
      <c r="AL71">
        <v>0</v>
      </c>
    </row>
    <row r="72" spans="2:56" ht="15" thickBot="1" x14ac:dyDescent="0.35">
      <c r="B72" s="10">
        <v>2055</v>
      </c>
      <c r="C72" s="256">
        <v>0</v>
      </c>
      <c r="D72" s="11">
        <v>0</v>
      </c>
      <c r="E72" s="11">
        <f t="shared" si="64"/>
        <v>2.7997104754679993</v>
      </c>
      <c r="F72" s="261">
        <f t="shared" si="65"/>
        <v>6.6963868664198989</v>
      </c>
      <c r="G72" s="2"/>
      <c r="H72" s="5"/>
      <c r="I72" s="2">
        <v>0</v>
      </c>
      <c r="K72" s="5"/>
      <c r="L72" s="63">
        <f t="shared" si="14"/>
        <v>0</v>
      </c>
      <c r="M72" s="111">
        <f>(E72*'Global-Swiss Carbon Budgets'!$B$50)/(100%-'Global-Swiss Carbon Budgets'!$B$51)</f>
        <v>1.7849483387203824</v>
      </c>
      <c r="N72" s="64">
        <f t="shared" si="15"/>
        <v>0.66963868664198989</v>
      </c>
      <c r="O72" s="180">
        <f t="shared" si="16"/>
        <v>0.99478762422128841</v>
      </c>
      <c r="P72" s="111">
        <f t="shared" si="17"/>
        <v>0.79016071449909397</v>
      </c>
      <c r="Q72" s="181">
        <f>(O72*1000000000)/Surfaces!U43</f>
        <v>140.34261214200899</v>
      </c>
      <c r="R72" s="165">
        <f>((N72*$O$7)*1000000000)/Surfaces!U43</f>
        <v>52.650735282374548</v>
      </c>
      <c r="S72" s="165">
        <f>(P72*1000000000)/Surfaces!V43</f>
        <v>45.479817468880086</v>
      </c>
      <c r="T72" s="165">
        <f>((N72*$P$7)*1000000000)/Surfaces!V43</f>
        <v>17.062143804347475</v>
      </c>
      <c r="U72" s="181">
        <f t="shared" si="18"/>
        <v>103.85353298508664</v>
      </c>
      <c r="V72" s="165">
        <f t="shared" si="19"/>
        <v>36.489079156922337</v>
      </c>
      <c r="W72" s="165">
        <f t="shared" si="66"/>
        <v>11.824752541908822</v>
      </c>
      <c r="X72" s="182">
        <f t="shared" si="67"/>
        <v>33.655064926971264</v>
      </c>
      <c r="Y72" s="110">
        <f t="shared" si="68"/>
        <v>0.60815131928203892</v>
      </c>
      <c r="Z72" s="111">
        <f t="shared" si="21"/>
        <v>0.1970792090318137</v>
      </c>
      <c r="AF72">
        <v>0</v>
      </c>
      <c r="AG72">
        <v>0</v>
      </c>
      <c r="AK72">
        <v>0</v>
      </c>
      <c r="AL72">
        <v>0</v>
      </c>
    </row>
    <row r="73" spans="2:56" ht="15" thickBot="1" x14ac:dyDescent="0.35">
      <c r="B73">
        <v>2056</v>
      </c>
      <c r="C73" s="256">
        <v>0</v>
      </c>
      <c r="D73" s="11">
        <v>0</v>
      </c>
      <c r="E73" s="11">
        <f t="shared" si="64"/>
        <v>2.6151747010321245</v>
      </c>
      <c r="F73" s="261">
        <f t="shared" si="65"/>
        <v>6.511851091984024</v>
      </c>
      <c r="G73" s="2"/>
      <c r="H73" s="5"/>
      <c r="I73" s="2">
        <v>0</v>
      </c>
      <c r="K73" s="5"/>
      <c r="L73" s="63">
        <f t="shared" si="14"/>
        <v>0</v>
      </c>
      <c r="M73" s="111">
        <f>(E73*'Global-Swiss Carbon Budgets'!$B$50)/(100%-'Global-Swiss Carbon Budgets'!$B$51)</f>
        <v>1.6672980220537157</v>
      </c>
      <c r="N73" s="64">
        <f t="shared" si="15"/>
        <v>0.65118510919840245</v>
      </c>
      <c r="O73" s="180">
        <f t="shared" si="16"/>
        <v>0.92921873549388756</v>
      </c>
      <c r="P73" s="111">
        <f t="shared" si="17"/>
        <v>0.73807928655982802</v>
      </c>
      <c r="Q73" s="181">
        <f>(O73*1000000000)/Surfaces!U44</f>
        <v>130.36587429193779</v>
      </c>
      <c r="R73" s="165">
        <f>((N73*$O$7)*1000000000)/Surfaces!U44</f>
        <v>50.916101958768905</v>
      </c>
      <c r="S73" s="165">
        <f>(P73*1000000000)/Surfaces!V44</f>
        <v>41.695425175807522</v>
      </c>
      <c r="T73" s="165">
        <f>((N73*$P$7)*1000000000)/Surfaces!V44</f>
        <v>16.28469513970748</v>
      </c>
      <c r="U73" s="181">
        <f t="shared" si="18"/>
        <v>96.470746976033965</v>
      </c>
      <c r="V73" s="165">
        <f t="shared" si="19"/>
        <v>33.895127315903828</v>
      </c>
      <c r="W73" s="165">
        <f t="shared" si="66"/>
        <v>10.840810545709957</v>
      </c>
      <c r="X73" s="182">
        <f t="shared" si="67"/>
        <v>30.854614630097565</v>
      </c>
      <c r="Y73" s="110">
        <f t="shared" si="68"/>
        <v>0.56491878859839717</v>
      </c>
      <c r="Z73" s="111">
        <f t="shared" si="21"/>
        <v>0.18068017576183262</v>
      </c>
      <c r="AF73">
        <v>0</v>
      </c>
      <c r="AG73">
        <v>0</v>
      </c>
      <c r="AK73">
        <v>0</v>
      </c>
      <c r="AL73">
        <v>0</v>
      </c>
    </row>
    <row r="74" spans="2:56" ht="15" thickBot="1" x14ac:dyDescent="0.35">
      <c r="B74">
        <v>2057</v>
      </c>
      <c r="C74" s="256">
        <v>0</v>
      </c>
      <c r="D74" s="11">
        <v>0</v>
      </c>
      <c r="E74" s="11">
        <f t="shared" si="64"/>
        <v>2.4306389265962496</v>
      </c>
      <c r="F74" s="261">
        <f t="shared" si="65"/>
        <v>6.3273153175481491</v>
      </c>
      <c r="G74" s="2"/>
      <c r="H74" s="5"/>
      <c r="I74" s="2">
        <v>0</v>
      </c>
      <c r="K74" s="5"/>
      <c r="L74" s="63">
        <f t="shared" si="14"/>
        <v>0</v>
      </c>
      <c r="M74" s="111">
        <f>(E74*'Global-Swiss Carbon Budgets'!$B$50)/(100%-'Global-Swiss Carbon Budgets'!$B$51)</f>
        <v>1.549647705387049</v>
      </c>
      <c r="N74" s="64">
        <f t="shared" si="15"/>
        <v>0.632731531754815</v>
      </c>
      <c r="O74" s="180">
        <f t="shared" si="16"/>
        <v>0.86364984676648682</v>
      </c>
      <c r="P74" s="111">
        <f t="shared" si="17"/>
        <v>0.68599785862056206</v>
      </c>
      <c r="Q74" s="181">
        <f>(O74*1000000000)/Surfaces!U45</f>
        <v>120.49909394725576</v>
      </c>
      <c r="R74" s="165">
        <f>((N74*$O$7)*1000000000)/Surfaces!U45</f>
        <v>49.200586703202625</v>
      </c>
      <c r="S74" s="165">
        <f>(P74*1000000000)/Surfaces!V45</f>
        <v>38.048647147937594</v>
      </c>
      <c r="T74" s="165">
        <f>((N74*$P$7)*1000000000)/Surfaces!V45</f>
        <v>15.535517335599851</v>
      </c>
      <c r="U74" s="181">
        <f t="shared" si="18"/>
        <v>89.169329520969256</v>
      </c>
      <c r="V74" s="165">
        <f t="shared" si="19"/>
        <v>31.329764426286498</v>
      </c>
      <c r="W74" s="165">
        <f t="shared" si="66"/>
        <v>9.8926482584637743</v>
      </c>
      <c r="X74" s="182">
        <f t="shared" si="67"/>
        <v>28.155998889473818</v>
      </c>
      <c r="Y74" s="110">
        <f t="shared" si="68"/>
        <v>0.52216274043810829</v>
      </c>
      <c r="Z74" s="111">
        <f t="shared" si="21"/>
        <v>0.16487747097439623</v>
      </c>
      <c r="AF74">
        <v>0</v>
      </c>
      <c r="AG74">
        <v>0</v>
      </c>
      <c r="AK74">
        <v>0</v>
      </c>
      <c r="AL74">
        <v>0</v>
      </c>
    </row>
    <row r="75" spans="2:56" ht="15" thickBot="1" x14ac:dyDescent="0.35">
      <c r="B75">
        <v>2058</v>
      </c>
      <c r="C75" s="256">
        <v>0</v>
      </c>
      <c r="D75" s="11">
        <v>0</v>
      </c>
      <c r="E75" s="11">
        <f t="shared" si="64"/>
        <v>2.2461031521603747</v>
      </c>
      <c r="F75" s="261">
        <f t="shared" si="65"/>
        <v>6.1427795431122743</v>
      </c>
      <c r="G75" s="2"/>
      <c r="H75" s="5"/>
      <c r="I75" s="2">
        <v>0</v>
      </c>
      <c r="K75" s="5"/>
      <c r="L75" s="63">
        <f t="shared" si="14"/>
        <v>0</v>
      </c>
      <c r="M75" s="111">
        <f>(E75*'Global-Swiss Carbon Budgets'!$B$50)/(100%-'Global-Swiss Carbon Budgets'!$B$51)</f>
        <v>1.4319973887203823</v>
      </c>
      <c r="N75" s="64">
        <f t="shared" si="15"/>
        <v>0.61427795431122745</v>
      </c>
      <c r="O75" s="180">
        <f t="shared" si="16"/>
        <v>0.79808095803908607</v>
      </c>
      <c r="P75" s="111">
        <f t="shared" si="17"/>
        <v>0.63391643068129611</v>
      </c>
      <c r="Q75" s="181">
        <f>(O75*1000000000)/Surfaces!U46</f>
        <v>110.74046324394473</v>
      </c>
      <c r="R75" s="165">
        <f>((N75*$O$7)*1000000000)/Surfaces!U46</f>
        <v>47.503875186361086</v>
      </c>
      <c r="S75" s="165">
        <f>(P75*1000000000)/Surfaces!V46</f>
        <v>34.532111192491598</v>
      </c>
      <c r="T75" s="165">
        <f>((N75*$P$7)*1000000000)/Surfaces!V46</f>
        <v>14.813095881638922</v>
      </c>
      <c r="U75" s="181">
        <f t="shared" si="18"/>
        <v>81.947942800519101</v>
      </c>
      <c r="V75" s="165">
        <f t="shared" si="19"/>
        <v>28.79252044342563</v>
      </c>
      <c r="W75" s="165">
        <f t="shared" si="66"/>
        <v>8.9783489100478153</v>
      </c>
      <c r="X75" s="182">
        <f t="shared" si="67"/>
        <v>25.553762282443781</v>
      </c>
      <c r="Y75" s="110">
        <f t="shared" si="68"/>
        <v>0.47987534072376048</v>
      </c>
      <c r="Z75" s="111">
        <f t="shared" si="21"/>
        <v>0.14963914850079693</v>
      </c>
      <c r="AF75">
        <v>0</v>
      </c>
      <c r="AG75">
        <v>0</v>
      </c>
      <c r="AK75">
        <v>0</v>
      </c>
      <c r="AL75">
        <v>0</v>
      </c>
    </row>
    <row r="76" spans="2:56" ht="15" thickBot="1" x14ac:dyDescent="0.35">
      <c r="B76">
        <v>2059</v>
      </c>
      <c r="C76" s="256">
        <v>0</v>
      </c>
      <c r="D76" s="11">
        <v>0</v>
      </c>
      <c r="E76" s="11">
        <f t="shared" si="64"/>
        <v>2.0615673777244998</v>
      </c>
      <c r="F76" s="261">
        <f t="shared" si="65"/>
        <v>5.9582437686763994</v>
      </c>
      <c r="G76" s="2"/>
      <c r="H76" s="5"/>
      <c r="I76" s="2">
        <v>0</v>
      </c>
      <c r="K76" s="5"/>
      <c r="L76" s="63">
        <f t="shared" si="14"/>
        <v>0</v>
      </c>
      <c r="M76" s="111">
        <f>(E76*'Global-Swiss Carbon Budgets'!$B$50)/(100%-'Global-Swiss Carbon Budgets'!$B$51)</f>
        <v>1.3143470720537158</v>
      </c>
      <c r="N76" s="64">
        <f t="shared" si="15"/>
        <v>0.59582437686764</v>
      </c>
      <c r="O76" s="180">
        <f t="shared" si="16"/>
        <v>0.73251206931168544</v>
      </c>
      <c r="P76" s="111">
        <f t="shared" si="17"/>
        <v>0.58183500274203037</v>
      </c>
      <c r="Q76" s="181">
        <f>(O76*1000000000)/Surfaces!U47</f>
        <v>101.0882137339122</v>
      </c>
      <c r="R76" s="165">
        <f>((N76*$O$7)*1000000000)/Surfaces!U47</f>
        <v>45.825659932089444</v>
      </c>
      <c r="S76" s="165">
        <f>(P76*1000000000)/Surfaces!V47</f>
        <v>31.138962463552492</v>
      </c>
      <c r="T76" s="165">
        <f>((N76*$P$7)*1000000000)/Surfaces!V47</f>
        <v>14.116022548869607</v>
      </c>
      <c r="U76" s="181">
        <f t="shared" si="18"/>
        <v>74.805278163095025</v>
      </c>
      <c r="V76" s="165">
        <f t="shared" si="19"/>
        <v>26.282935570817173</v>
      </c>
      <c r="W76" s="165">
        <f t="shared" si="66"/>
        <v>8.0961302405236477</v>
      </c>
      <c r="X76" s="182">
        <f t="shared" si="67"/>
        <v>23.042832223028842</v>
      </c>
      <c r="Y76" s="110">
        <f t="shared" si="68"/>
        <v>0.43804892618028624</v>
      </c>
      <c r="Z76" s="111">
        <f t="shared" si="21"/>
        <v>0.13493550400872747</v>
      </c>
      <c r="AF76">
        <v>0</v>
      </c>
      <c r="AG76">
        <v>0</v>
      </c>
      <c r="AK76">
        <v>0</v>
      </c>
      <c r="AL76">
        <v>0</v>
      </c>
    </row>
    <row r="77" spans="2:56" ht="15" thickBot="1" x14ac:dyDescent="0.35">
      <c r="B77" s="10">
        <v>2060</v>
      </c>
      <c r="C77" s="256">
        <v>0</v>
      </c>
      <c r="D77" s="11">
        <v>0</v>
      </c>
      <c r="E77" s="11">
        <f t="shared" si="64"/>
        <v>1.877031603288625</v>
      </c>
      <c r="F77" s="261">
        <f t="shared" si="65"/>
        <v>5.7737079942405245</v>
      </c>
      <c r="G77" s="2"/>
      <c r="H77" s="5"/>
      <c r="I77" s="2">
        <v>0</v>
      </c>
      <c r="K77" s="5"/>
      <c r="L77" s="63">
        <f t="shared" si="14"/>
        <v>0</v>
      </c>
      <c r="M77" s="111">
        <f>(E77*'Global-Swiss Carbon Budgets'!$B$50)/(100%-'Global-Swiss Carbon Budgets'!$B$51)</f>
        <v>1.1966967553870489</v>
      </c>
      <c r="N77" s="64">
        <f t="shared" si="15"/>
        <v>0.57737079942405245</v>
      </c>
      <c r="O77" s="180">
        <f t="shared" si="16"/>
        <v>0.66694318058428448</v>
      </c>
      <c r="P77" s="111">
        <f t="shared" si="17"/>
        <v>0.5297535748027643</v>
      </c>
      <c r="Q77" s="181">
        <f>(O77*1000000000)/Surfaces!U48</f>
        <v>91.540615316608381</v>
      </c>
      <c r="R77" s="165">
        <f>((N77*$O$7)*1000000000)/Surfaces!U48</f>
        <v>44.165640131635172</v>
      </c>
      <c r="S77" s="165">
        <f>(P77*1000000000)/Surfaces!V48</f>
        <v>27.862818863197468</v>
      </c>
      <c r="T77" s="165">
        <f>((N77*$P$7)*1000000000)/Surfaces!V48</f>
        <v>13.442986227575087</v>
      </c>
      <c r="U77" s="181">
        <f t="shared" si="18"/>
        <v>67.740055334290204</v>
      </c>
      <c r="V77" s="165">
        <f t="shared" si="19"/>
        <v>23.80055998231818</v>
      </c>
      <c r="W77" s="165">
        <f t="shared" si="66"/>
        <v>7.2443329044313423</v>
      </c>
      <c r="X77" s="182">
        <f t="shared" si="67"/>
        <v>20.618485958766126</v>
      </c>
      <c r="Y77" s="110">
        <f t="shared" si="68"/>
        <v>0.39667599970530298</v>
      </c>
      <c r="Z77" s="111">
        <f t="shared" si="21"/>
        <v>0.12073888174052237</v>
      </c>
      <c r="AF77">
        <v>0</v>
      </c>
      <c r="AG77">
        <v>0</v>
      </c>
      <c r="AK77">
        <v>0</v>
      </c>
      <c r="AL77">
        <v>0</v>
      </c>
    </row>
    <row r="78" spans="2:56" ht="15" thickBot="1" x14ac:dyDescent="0.35">
      <c r="B78">
        <v>2061</v>
      </c>
      <c r="C78" s="256">
        <v>0</v>
      </c>
      <c r="D78" s="11">
        <v>0</v>
      </c>
      <c r="E78" s="11">
        <f t="shared" si="64"/>
        <v>1.6924958288527501</v>
      </c>
      <c r="F78" s="261">
        <f t="shared" si="65"/>
        <v>5.5891722198046496</v>
      </c>
      <c r="G78" s="2"/>
      <c r="H78" s="5"/>
      <c r="I78" s="2">
        <v>0</v>
      </c>
      <c r="K78" s="5"/>
      <c r="L78" s="63">
        <f t="shared" si="14"/>
        <v>0</v>
      </c>
      <c r="M78" s="111">
        <f>(E78*'Global-Swiss Carbon Budgets'!$B$50)/(100%-'Global-Swiss Carbon Budgets'!$B$51)</f>
        <v>1.0790464387203822</v>
      </c>
      <c r="N78" s="64">
        <f t="shared" si="15"/>
        <v>0.55891722198046501</v>
      </c>
      <c r="O78" s="180">
        <f t="shared" si="16"/>
        <v>0.60137429185688374</v>
      </c>
      <c r="P78" s="111">
        <f t="shared" si="17"/>
        <v>0.4776721468634984</v>
      </c>
      <c r="Q78" s="181">
        <f>(O78*1000000000)/Surfaces!U49</f>
        <v>82.095975205206656</v>
      </c>
      <c r="R78" s="165">
        <f>((N78*$O$7)*1000000000)/Surfaces!U49</f>
        <v>42.523521463900195</v>
      </c>
      <c r="S78" s="165">
        <f>(P78*1000000000)/Surfaces!V49</f>
        <v>67.647697489238965</v>
      </c>
      <c r="T78" s="165">
        <f>((N78*$P$7)*1000000000)/Surfaces!V49</f>
        <v>35.039699680486173</v>
      </c>
      <c r="U78" s="181">
        <f t="shared" si="18"/>
        <v>60.751021651852923</v>
      </c>
      <c r="V78" s="165">
        <f t="shared" si="19"/>
        <v>21.344953553353733</v>
      </c>
      <c r="W78" s="165">
        <f t="shared" si="66"/>
        <v>17.588401347202133</v>
      </c>
      <c r="X78" s="182">
        <f t="shared" si="67"/>
        <v>50.059296142036835</v>
      </c>
      <c r="Y78" s="110">
        <f t="shared" si="68"/>
        <v>0.35574922588922886</v>
      </c>
      <c r="Z78" s="111">
        <f t="shared" si="21"/>
        <v>0.2931400224533689</v>
      </c>
      <c r="AF78">
        <v>0</v>
      </c>
      <c r="AG78">
        <v>0</v>
      </c>
      <c r="AK78">
        <v>0</v>
      </c>
      <c r="AL78">
        <v>0</v>
      </c>
    </row>
    <row r="79" spans="2:56" ht="15" thickBot="1" x14ac:dyDescent="0.35">
      <c r="B79">
        <v>2062</v>
      </c>
      <c r="C79" s="256">
        <v>0</v>
      </c>
      <c r="D79" s="11">
        <v>0</v>
      </c>
      <c r="E79" s="11">
        <f t="shared" si="64"/>
        <v>1.5079600544168752</v>
      </c>
      <c r="F79" s="261">
        <f t="shared" si="65"/>
        <v>5.4046364453687747</v>
      </c>
      <c r="G79" s="2"/>
      <c r="H79" s="5"/>
      <c r="I79" s="2">
        <v>0</v>
      </c>
      <c r="K79" s="5"/>
      <c r="L79" s="63">
        <f t="shared" si="14"/>
        <v>0</v>
      </c>
      <c r="M79" s="111">
        <f>(E79*'Global-Swiss Carbon Budgets'!$B$50)/(100%-'Global-Swiss Carbon Budgets'!$B$51)</f>
        <v>0.96139612205371561</v>
      </c>
      <c r="N79" s="64">
        <f t="shared" si="15"/>
        <v>0.54046364453687745</v>
      </c>
      <c r="O79" s="180">
        <f t="shared" si="16"/>
        <v>0.53580540312948299</v>
      </c>
      <c r="P79" s="111">
        <f t="shared" si="17"/>
        <v>0.4255907189242325</v>
      </c>
      <c r="Q79" s="181">
        <f>(O79*1000000000)/Surfaces!U50</f>
        <v>72.752636926049504</v>
      </c>
      <c r="R79" s="165">
        <f>((N79*$O$7)*1000000000)/Surfaces!U50</f>
        <v>40.89901592147676</v>
      </c>
      <c r="S79" s="165">
        <f>(P79*1000000000)/Surfaces!V50</f>
        <v>86.272967856629734</v>
      </c>
      <c r="T79" s="165">
        <f>((N79*$P$7)*1000000000)/Surfaces!V50</f>
        <v>48.499678294106751</v>
      </c>
      <c r="U79" s="181">
        <f t="shared" si="18"/>
        <v>53.83695132527663</v>
      </c>
      <c r="V79" s="165">
        <f t="shared" si="19"/>
        <v>18.915685600772871</v>
      </c>
      <c r="W79" s="165">
        <f t="shared" si="66"/>
        <v>22.43097164272373</v>
      </c>
      <c r="X79" s="182">
        <f t="shared" si="67"/>
        <v>63.841996213906</v>
      </c>
      <c r="Y79" s="110">
        <f t="shared" si="68"/>
        <v>0.31526142667954787</v>
      </c>
      <c r="Z79" s="111">
        <f t="shared" si="21"/>
        <v>0.37384952737872884</v>
      </c>
      <c r="AF79">
        <v>0</v>
      </c>
      <c r="AG79">
        <v>0</v>
      </c>
      <c r="AK79">
        <v>0</v>
      </c>
      <c r="AL79">
        <v>0</v>
      </c>
    </row>
    <row r="80" spans="2:56" ht="15" thickBot="1" x14ac:dyDescent="0.35">
      <c r="B80">
        <v>2063</v>
      </c>
      <c r="C80" s="256">
        <v>0</v>
      </c>
      <c r="D80" s="11">
        <v>0</v>
      </c>
      <c r="E80" s="11">
        <f t="shared" si="64"/>
        <v>1.3234242799810003</v>
      </c>
      <c r="F80" s="261">
        <f t="shared" si="65"/>
        <v>5.2201006709328999</v>
      </c>
      <c r="G80" s="2"/>
      <c r="H80" s="5"/>
      <c r="I80" s="2">
        <v>0</v>
      </c>
      <c r="K80" s="5"/>
      <c r="L80" s="63">
        <f t="shared" si="14"/>
        <v>0</v>
      </c>
      <c r="M80" s="111">
        <f>(E80*'Global-Swiss Carbon Budgets'!$B$50)/(100%-'Global-Swiss Carbon Budgets'!$B$51)</f>
        <v>0.84374580538704902</v>
      </c>
      <c r="N80" s="64">
        <f t="shared" si="15"/>
        <v>0.52201006709329001</v>
      </c>
      <c r="O80" s="180">
        <f t="shared" si="16"/>
        <v>0.47023651440208231</v>
      </c>
      <c r="P80" s="111">
        <f t="shared" si="17"/>
        <v>0.37350929098496666</v>
      </c>
      <c r="Q80" s="181">
        <f>(O80*1000000000)/Surfaces!U51</f>
        <v>63.508979350118423</v>
      </c>
      <c r="R80" s="165">
        <f>((N80*$O$7)*1000000000)/Surfaces!U51</f>
        <v>39.291841642251271</v>
      </c>
      <c r="S80" s="165">
        <f>(P80*1000000000)/Surfaces!V51</f>
        <v>74.47412588277389</v>
      </c>
      <c r="T80" s="165">
        <f>((N80*$P$7)*1000000000)/Surfaces!V51</f>
        <v>46.075776851948127</v>
      </c>
      <c r="U80" s="181">
        <f t="shared" si="18"/>
        <v>46.996644719087634</v>
      </c>
      <c r="V80" s="165">
        <f t="shared" si="19"/>
        <v>16.512334631030789</v>
      </c>
      <c r="W80" s="165">
        <f t="shared" si="66"/>
        <v>19.363272729521213</v>
      </c>
      <c r="X80" s="182">
        <f t="shared" si="67"/>
        <v>55.110853153252677</v>
      </c>
      <c r="Y80" s="110">
        <f t="shared" si="68"/>
        <v>0.27520557718384647</v>
      </c>
      <c r="Z80" s="111">
        <f t="shared" si="21"/>
        <v>0.32272121215868688</v>
      </c>
      <c r="AF80">
        <v>0</v>
      </c>
      <c r="AG80">
        <v>0</v>
      </c>
      <c r="AK80">
        <v>0</v>
      </c>
      <c r="AL80">
        <v>0</v>
      </c>
    </row>
    <row r="81" spans="2:38" ht="15" thickBot="1" x14ac:dyDescent="0.35">
      <c r="B81">
        <v>2064</v>
      </c>
      <c r="C81" s="256">
        <v>0</v>
      </c>
      <c r="D81" s="11">
        <v>0</v>
      </c>
      <c r="E81" s="11">
        <f t="shared" si="64"/>
        <v>1.1388885055451254</v>
      </c>
      <c r="F81" s="261">
        <f t="shared" si="65"/>
        <v>5.035564896497025</v>
      </c>
      <c r="G81" s="2"/>
      <c r="H81" s="5"/>
      <c r="I81" s="2">
        <v>0</v>
      </c>
      <c r="K81" s="5"/>
      <c r="L81" s="63">
        <f t="shared" si="14"/>
        <v>0</v>
      </c>
      <c r="M81" s="111">
        <f>(E81*'Global-Swiss Carbon Budgets'!$B$50)/(100%-'Global-Swiss Carbon Budgets'!$B$51)</f>
        <v>0.72609548872038221</v>
      </c>
      <c r="N81" s="64">
        <f t="shared" si="15"/>
        <v>0.50355648964970257</v>
      </c>
      <c r="O81" s="180">
        <f t="shared" si="16"/>
        <v>0.40466762567468151</v>
      </c>
      <c r="P81" s="111">
        <f t="shared" si="17"/>
        <v>0.32142786304570065</v>
      </c>
      <c r="Q81" s="181">
        <f>(O81*1000000000)/Surfaces!U52</f>
        <v>54.363415755337755</v>
      </c>
      <c r="R81" s="165">
        <f>((N81*$O$7)*1000000000)/Surfaces!U52</f>
        <v>37.701722746369086</v>
      </c>
      <c r="S81" s="165">
        <f>(P81*1000000000)/Surfaces!V52</f>
        <v>63.055891714526275</v>
      </c>
      <c r="T81" s="165">
        <f>((N81*$P$7)*1000000000)/Surfaces!V52</f>
        <v>43.730065778891401</v>
      </c>
      <c r="U81" s="181">
        <f t="shared" si="18"/>
        <v>40.228927658949935</v>
      </c>
      <c r="V81" s="165">
        <f t="shared" si="19"/>
        <v>14.134488096387816</v>
      </c>
      <c r="W81" s="165">
        <f t="shared" si="66"/>
        <v>16.394531845776832</v>
      </c>
      <c r="X81" s="182">
        <f t="shared" si="67"/>
        <v>46.661359868749443</v>
      </c>
      <c r="Y81" s="110">
        <f t="shared" si="68"/>
        <v>0.2355748016064636</v>
      </c>
      <c r="Z81" s="111">
        <f t="shared" si="21"/>
        <v>0.27324219742961386</v>
      </c>
      <c r="AF81">
        <v>0</v>
      </c>
      <c r="AG81">
        <v>0</v>
      </c>
      <c r="AK81">
        <v>0</v>
      </c>
      <c r="AL81">
        <v>0</v>
      </c>
    </row>
    <row r="82" spans="2:38" ht="15" thickBot="1" x14ac:dyDescent="0.35">
      <c r="B82" s="10">
        <v>2065</v>
      </c>
      <c r="C82" s="256">
        <v>0</v>
      </c>
      <c r="D82" s="11">
        <v>0</v>
      </c>
      <c r="E82" s="11">
        <f t="shared" si="64"/>
        <v>0.95435273110925056</v>
      </c>
      <c r="F82" s="261">
        <f t="shared" si="65"/>
        <v>4.8510291220611501</v>
      </c>
      <c r="G82" s="2"/>
      <c r="H82" s="5"/>
      <c r="I82" s="2">
        <v>0</v>
      </c>
      <c r="K82" s="5"/>
      <c r="L82" s="63">
        <f t="shared" si="14"/>
        <v>0</v>
      </c>
      <c r="M82" s="111">
        <f>(E82*'Global-Swiss Carbon Budgets'!$B$50)/(100%-'Global-Swiss Carbon Budgets'!$B$51)</f>
        <v>0.60844517205371562</v>
      </c>
      <c r="N82" s="64">
        <f t="shared" si="15"/>
        <v>0.48510291220611501</v>
      </c>
      <c r="O82" s="180">
        <f t="shared" si="16"/>
        <v>0.33909873694728077</v>
      </c>
      <c r="P82" s="111">
        <f t="shared" si="17"/>
        <v>0.2693464351064348</v>
      </c>
      <c r="Q82" s="181">
        <f>(O82*1000000000)/Surfaces!U53</f>
        <v>45.31439291857388</v>
      </c>
      <c r="R82" s="165">
        <f>((N82*$O$7)*1000000000)/Surfaces!U53</f>
        <v>36.128389178362468</v>
      </c>
      <c r="S82" s="165">
        <f>(P82*1000000000)/Surfaces!V53</f>
        <v>52.000141170667497</v>
      </c>
      <c r="T82" s="165">
        <f>((N82*$P$7)*1000000000)/Surfaces!V53</f>
        <v>41.458821724026947</v>
      </c>
      <c r="U82" s="181">
        <f t="shared" si="18"/>
        <v>33.532650759744669</v>
      </c>
      <c r="V82" s="165">
        <f t="shared" si="19"/>
        <v>11.781742158829209</v>
      </c>
      <c r="W82" s="165">
        <f t="shared" si="66"/>
        <v>13.520036704373549</v>
      </c>
      <c r="X82" s="182">
        <f t="shared" si="67"/>
        <v>38.480104466293945</v>
      </c>
      <c r="Y82" s="110">
        <f t="shared" si="68"/>
        <v>0.19636236931382015</v>
      </c>
      <c r="Z82" s="111">
        <f t="shared" si="21"/>
        <v>0.22533394507289248</v>
      </c>
      <c r="AF82">
        <v>0</v>
      </c>
      <c r="AG82">
        <v>0</v>
      </c>
      <c r="AK82">
        <v>0</v>
      </c>
      <c r="AL82">
        <v>0</v>
      </c>
    </row>
    <row r="83" spans="2:38" ht="15" thickBot="1" x14ac:dyDescent="0.35">
      <c r="B83">
        <v>2066</v>
      </c>
      <c r="C83" s="256">
        <v>0</v>
      </c>
      <c r="D83" s="11">
        <v>0</v>
      </c>
      <c r="E83" s="11">
        <f t="shared" si="64"/>
        <v>0.76981695667337569</v>
      </c>
      <c r="F83" s="261">
        <f t="shared" si="65"/>
        <v>4.6664933476252752</v>
      </c>
      <c r="G83" s="2"/>
      <c r="H83" s="5"/>
      <c r="I83" s="2">
        <v>0</v>
      </c>
      <c r="K83" s="5"/>
      <c r="L83" s="63">
        <f t="shared" si="14"/>
        <v>0</v>
      </c>
      <c r="M83" s="111">
        <f>(E83*'Global-Swiss Carbon Budgets'!$B$50)/(100%-'Global-Swiss Carbon Budgets'!$B$51)</f>
        <v>0.49079485538704887</v>
      </c>
      <c r="N83" s="64">
        <f t="shared" si="15"/>
        <v>0.46664933476252757</v>
      </c>
      <c r="O83" s="180">
        <f t="shared" si="16"/>
        <v>0.27352984821987997</v>
      </c>
      <c r="P83" s="111">
        <f t="shared" si="17"/>
        <v>0.21726500716716884</v>
      </c>
      <c r="Q83" s="181">
        <f>(O83*1000000000)/Surfaces!U54</f>
        <v>36.360390236237748</v>
      </c>
      <c r="R83" s="165">
        <f>((N83*$O$7)*1000000000)/Surfaces!U54</f>
        <v>34.571576554251692</v>
      </c>
      <c r="S83" s="165">
        <f>(P83*1000000000)/Surfaces!V54</f>
        <v>41.289882831304276</v>
      </c>
      <c r="T83" s="165">
        <f>((N83*$P$7)*1000000000)/Surfaces!V54</f>
        <v>39.258554045877013</v>
      </c>
      <c r="U83" s="181">
        <f t="shared" si="18"/>
        <v>26.906688774815933</v>
      </c>
      <c r="V83" s="165">
        <f t="shared" si="19"/>
        <v>9.4537014614218151</v>
      </c>
      <c r="W83" s="165">
        <f t="shared" si="66"/>
        <v>10.735369536139112</v>
      </c>
      <c r="X83" s="182">
        <f t="shared" si="67"/>
        <v>30.554513295165165</v>
      </c>
      <c r="Y83" s="110">
        <f t="shared" si="68"/>
        <v>0.15756169102369691</v>
      </c>
      <c r="Z83" s="111">
        <f t="shared" si="21"/>
        <v>0.17892282560231854</v>
      </c>
      <c r="AF83">
        <v>0</v>
      </c>
      <c r="AG83">
        <v>0</v>
      </c>
      <c r="AK83">
        <v>0</v>
      </c>
      <c r="AL83">
        <v>0</v>
      </c>
    </row>
    <row r="84" spans="2:38" ht="15" thickBot="1" x14ac:dyDescent="0.35">
      <c r="B84">
        <v>2067</v>
      </c>
      <c r="C84" s="256">
        <v>0</v>
      </c>
      <c r="D84" s="11">
        <v>0</v>
      </c>
      <c r="E84" s="11">
        <f t="shared" si="64"/>
        <v>0.58528118223750081</v>
      </c>
      <c r="F84" s="261">
        <f t="shared" si="65"/>
        <v>4.4819575731894004</v>
      </c>
      <c r="G84" s="2"/>
      <c r="H84" s="5"/>
      <c r="I84" s="2">
        <v>0</v>
      </c>
      <c r="K84" s="5"/>
      <c r="L84" s="63">
        <f t="shared" si="14"/>
        <v>0</v>
      </c>
      <c r="M84" s="111">
        <f>(E84*'Global-Swiss Carbon Budgets'!$B$50)/(100%-'Global-Swiss Carbon Budgets'!$B$51)</f>
        <v>0.37314453872038217</v>
      </c>
      <c r="N84" s="64">
        <f t="shared" si="15"/>
        <v>0.44819575731894007</v>
      </c>
      <c r="O84" s="180">
        <f t="shared" si="16"/>
        <v>0.20796095949247922</v>
      </c>
      <c r="P84" s="111">
        <f t="shared" si="17"/>
        <v>0.16518357922790292</v>
      </c>
      <c r="Q84" s="181">
        <f>(O84*1000000000)/Surfaces!U55</f>
        <v>27.49991887244548</v>
      </c>
      <c r="R84" s="165">
        <f>((N84*$O$7)*1000000000)/Surfaces!U55</f>
        <v>33.031026013437597</v>
      </c>
      <c r="S84" s="165">
        <f>(P84*1000000000)/Surfaces!V55</f>
        <v>30.909170902383018</v>
      </c>
      <c r="T84" s="165">
        <f>((N84*$P$7)*1000000000)/Surfaces!V55</f>
        <v>37.125986911670147</v>
      </c>
      <c r="U84" s="181">
        <f t="shared" si="18"/>
        <v>20.349939965609654</v>
      </c>
      <c r="V84" s="165">
        <f t="shared" si="19"/>
        <v>7.149978906835825</v>
      </c>
      <c r="W84" s="165">
        <f t="shared" si="66"/>
        <v>8.0363844346195847</v>
      </c>
      <c r="X84" s="182">
        <f t="shared" si="67"/>
        <v>22.872786467763433</v>
      </c>
      <c r="Y84" s="110">
        <f t="shared" si="68"/>
        <v>0.11916631511393042</v>
      </c>
      <c r="Z84" s="111">
        <f t="shared" si="21"/>
        <v>0.13393974057699307</v>
      </c>
      <c r="AF84">
        <v>0</v>
      </c>
      <c r="AG84">
        <v>0</v>
      </c>
      <c r="AK84">
        <v>0</v>
      </c>
      <c r="AL84">
        <v>0</v>
      </c>
    </row>
    <row r="85" spans="2:38" ht="15" thickBot="1" x14ac:dyDescent="0.35">
      <c r="B85">
        <v>2068</v>
      </c>
      <c r="C85" s="256">
        <v>0</v>
      </c>
      <c r="D85" s="11">
        <v>0</v>
      </c>
      <c r="E85" s="11">
        <f t="shared" si="64"/>
        <v>0.40074540780162599</v>
      </c>
      <c r="F85" s="261">
        <f t="shared" si="65"/>
        <v>4.2974217987535255</v>
      </c>
      <c r="G85" s="2"/>
      <c r="H85" s="5"/>
      <c r="I85" s="2">
        <v>0</v>
      </c>
      <c r="K85" s="5"/>
      <c r="L85" s="63">
        <f t="shared" si="14"/>
        <v>0</v>
      </c>
      <c r="M85" s="111">
        <f>(E85*'Global-Swiss Carbon Budgets'!$B$50)/(100%-'Global-Swiss Carbon Budgets'!$B$51)</f>
        <v>0.25549422205371553</v>
      </c>
      <c r="N85" s="64">
        <f t="shared" si="15"/>
        <v>0.42974217987535257</v>
      </c>
      <c r="O85" s="180">
        <f t="shared" si="16"/>
        <v>0.14239207076507848</v>
      </c>
      <c r="P85" s="111">
        <f t="shared" si="17"/>
        <v>0.11310215128863703</v>
      </c>
      <c r="Q85" s="181">
        <f>(O85*1000000000)/Surfaces!U56</f>
        <v>18.731520933734558</v>
      </c>
      <c r="R85" s="165">
        <f>((N85*$O$7)*1000000000)/Surfaces!U56</f>
        <v>31.506484075211297</v>
      </c>
      <c r="S85" s="165">
        <f>(P85*1000000000)/Surfaces!V56</f>
        <v>20.843026001610891</v>
      </c>
      <c r="T85" s="165">
        <f>((N85*$P$7)*1000000000)/Surfaces!V56</f>
        <v>35.058043023954404</v>
      </c>
      <c r="U85" s="181">
        <f t="shared" si="18"/>
        <v>13.861325490963573</v>
      </c>
      <c r="V85" s="165">
        <f t="shared" si="19"/>
        <v>4.870195442770985</v>
      </c>
      <c r="W85" s="165">
        <f t="shared" si="66"/>
        <v>5.4191867604188317</v>
      </c>
      <c r="X85" s="182">
        <f t="shared" si="67"/>
        <v>15.423839241192059</v>
      </c>
      <c r="Y85" s="110">
        <f t="shared" si="68"/>
        <v>8.116992404618309E-2</v>
      </c>
      <c r="Z85" s="111">
        <f t="shared" si="21"/>
        <v>9.0319779340313863E-2</v>
      </c>
      <c r="AF85">
        <v>0</v>
      </c>
      <c r="AG85">
        <v>0</v>
      </c>
      <c r="AK85">
        <v>0</v>
      </c>
      <c r="AL85">
        <v>0</v>
      </c>
    </row>
    <row r="86" spans="2:38" ht="15" thickBot="1" x14ac:dyDescent="0.35">
      <c r="B86">
        <v>2069</v>
      </c>
      <c r="C86" s="256">
        <v>0</v>
      </c>
      <c r="D86" s="11">
        <v>0</v>
      </c>
      <c r="E86" s="11">
        <f t="shared" si="64"/>
        <v>0.21620963336575116</v>
      </c>
      <c r="F86" s="261">
        <f t="shared" si="65"/>
        <v>4.1128860243176506</v>
      </c>
      <c r="G86" s="2"/>
      <c r="H86" s="5"/>
      <c r="I86" s="2">
        <v>0</v>
      </c>
      <c r="K86" s="5"/>
      <c r="L86" s="63">
        <f t="shared" si="14"/>
        <v>0</v>
      </c>
      <c r="M86" s="111">
        <f>(E86*'Global-Swiss Carbon Budgets'!$B$50)/(100%-'Global-Swiss Carbon Budgets'!$B$51)</f>
        <v>0.13784390538704888</v>
      </c>
      <c r="N86" s="64">
        <f t="shared" si="15"/>
        <v>0.41128860243176507</v>
      </c>
      <c r="O86" s="180">
        <f t="shared" si="16"/>
        <v>7.682318203767774E-2</v>
      </c>
      <c r="P86" s="111">
        <f t="shared" si="17"/>
        <v>6.1020723349371128E-2</v>
      </c>
      <c r="Q86" s="181">
        <f>(O86*1000000000)/Surfaces!U57</f>
        <v>10.05376866937481</v>
      </c>
      <c r="R86" s="165">
        <f>((N86*$O$7)*1000000000)/Surfaces!U57</f>
        <v>29.997702499714116</v>
      </c>
      <c r="S86" s="165">
        <f>(P86*1000000000)/Surfaces!V57</f>
        <v>11.077363038175244</v>
      </c>
      <c r="T86" s="165">
        <f>((N86*$P$7)*1000000000)/Surfaces!V57</f>
        <v>33.051828804528675</v>
      </c>
      <c r="U86" s="181">
        <f t="shared" si="18"/>
        <v>7.4397888153373586</v>
      </c>
      <c r="V86" s="165">
        <f t="shared" si="19"/>
        <v>2.6139798540374506</v>
      </c>
      <c r="W86" s="165">
        <f t="shared" si="66"/>
        <v>2.8801143899255637</v>
      </c>
      <c r="X86" s="182">
        <f t="shared" si="67"/>
        <v>8.1972486482496816</v>
      </c>
      <c r="Y86" s="110">
        <f t="shared" si="68"/>
        <v>4.356633090062418E-2</v>
      </c>
      <c r="Z86" s="111">
        <f t="shared" si="21"/>
        <v>4.8001906498759392E-2</v>
      </c>
      <c r="AF86">
        <v>0</v>
      </c>
      <c r="AG86">
        <v>0</v>
      </c>
      <c r="AK86">
        <v>0</v>
      </c>
      <c r="AL86">
        <v>0</v>
      </c>
    </row>
    <row r="87" spans="2:38" ht="15" thickBot="1" x14ac:dyDescent="0.35">
      <c r="B87" s="10">
        <v>2070</v>
      </c>
      <c r="C87" s="256">
        <v>0</v>
      </c>
      <c r="D87" s="11">
        <v>0</v>
      </c>
      <c r="E87" s="11">
        <f t="shared" si="64"/>
        <v>3.1673858929876342E-2</v>
      </c>
      <c r="F87" s="261">
        <f t="shared" si="65"/>
        <v>3.9283502498817757</v>
      </c>
      <c r="G87" s="2"/>
      <c r="H87" s="5"/>
      <c r="I87" s="2">
        <v>0</v>
      </c>
      <c r="K87" s="5"/>
      <c r="L87" s="63">
        <f t="shared" si="14"/>
        <v>0</v>
      </c>
      <c r="M87" s="111">
        <f>(E87*'Global-Swiss Carbon Budgets'!$B$50)/(100%-'Global-Swiss Carbon Budgets'!$B$51)</f>
        <v>2.0193588720382218E-2</v>
      </c>
      <c r="N87" s="64">
        <f t="shared" si="15"/>
        <v>0.39283502498817757</v>
      </c>
      <c r="O87" s="180">
        <f t="shared" si="16"/>
        <v>1.1254293310276994E-2</v>
      </c>
      <c r="P87" s="111">
        <f t="shared" si="17"/>
        <v>8.9392954101052222E-3</v>
      </c>
      <c r="Q87" s="181">
        <f>(O87*1000000000)/Surfaces!U58</f>
        <v>1.4652636963528312</v>
      </c>
      <c r="R87" s="165">
        <f>((N87*$O$7)*1000000000)/Surfaces!U58</f>
        <v>28.504438153187216</v>
      </c>
      <c r="S87" s="165">
        <f>(P87*1000000000)/Surfaces!V58</f>
        <v>1.5989254560171178</v>
      </c>
      <c r="T87" s="165">
        <f>((N87*$P$7)*1000000000)/Surfaces!V58</f>
        <v>31.104620885674297</v>
      </c>
      <c r="U87" s="181">
        <f t="shared" si="18"/>
        <v>1.084295135301095</v>
      </c>
      <c r="V87" s="165">
        <f t="shared" si="19"/>
        <v>0.3809685610517361</v>
      </c>
      <c r="W87" s="165">
        <f t="shared" si="66"/>
        <v>0.41572061856445064</v>
      </c>
      <c r="X87" s="182">
        <f t="shared" si="67"/>
        <v>1.1832048374526671</v>
      </c>
      <c r="Y87" s="110">
        <f t="shared" si="68"/>
        <v>6.3494760175289346E-3</v>
      </c>
      <c r="Z87" s="111">
        <f t="shared" si="21"/>
        <v>6.9286769760741771E-3</v>
      </c>
      <c r="AF87">
        <v>0</v>
      </c>
      <c r="AG87">
        <v>0</v>
      </c>
      <c r="AK87">
        <v>0</v>
      </c>
      <c r="AL87">
        <v>0</v>
      </c>
    </row>
    <row r="88" spans="2:38" ht="15" thickBot="1" x14ac:dyDescent="0.35">
      <c r="B88">
        <v>2071</v>
      </c>
      <c r="C88" s="256">
        <v>0</v>
      </c>
      <c r="D88" s="11">
        <v>0</v>
      </c>
      <c r="E88" s="11">
        <v>0</v>
      </c>
      <c r="F88" s="261">
        <f t="shared" si="65"/>
        <v>3.7438144754459008</v>
      </c>
      <c r="G88" s="2"/>
      <c r="H88" s="5"/>
      <c r="I88" s="2">
        <v>0</v>
      </c>
      <c r="K88" s="5"/>
      <c r="L88" s="63">
        <f t="shared" si="14"/>
        <v>0</v>
      </c>
      <c r="M88" s="111">
        <f>(E88*'Global-Swiss Carbon Budgets'!$B$50)/(100%-'Global-Swiss Carbon Budgets'!$B$51)</f>
        <v>0</v>
      </c>
      <c r="N88" s="64">
        <f t="shared" si="15"/>
        <v>0.37438144754459013</v>
      </c>
      <c r="O88" s="180">
        <f t="shared" si="16"/>
        <v>0</v>
      </c>
      <c r="P88" s="111">
        <f t="shared" si="17"/>
        <v>0</v>
      </c>
      <c r="Q88" s="181">
        <f>(O88*1000000000)/Surfaces!U59</f>
        <v>0</v>
      </c>
      <c r="R88" s="165">
        <f>((N88*$O$7)*1000000000)/Surfaces!U59</f>
        <v>27.026452877357723</v>
      </c>
      <c r="S88" s="165">
        <f>(P88*1000000000)/Surfaces!V59</f>
        <v>0</v>
      </c>
      <c r="T88" s="165">
        <f>((N88*$P$7)*1000000000)/Surfaces!V59</f>
        <v>29.213853776062081</v>
      </c>
      <c r="U88" s="181">
        <f t="shared" si="18"/>
        <v>0</v>
      </c>
      <c r="V88" s="165">
        <f t="shared" si="19"/>
        <v>0</v>
      </c>
      <c r="W88" s="165">
        <f t="shared" si="66"/>
        <v>0</v>
      </c>
      <c r="X88" s="182">
        <f t="shared" si="67"/>
        <v>0</v>
      </c>
      <c r="Y88" s="110">
        <f t="shared" si="68"/>
        <v>0</v>
      </c>
      <c r="Z88" s="111">
        <f t="shared" si="21"/>
        <v>0</v>
      </c>
      <c r="AF88">
        <v>0</v>
      </c>
      <c r="AG88">
        <v>0</v>
      </c>
      <c r="AK88">
        <v>0</v>
      </c>
      <c r="AL88">
        <v>0</v>
      </c>
    </row>
    <row r="89" spans="2:38" ht="15" thickBot="1" x14ac:dyDescent="0.35">
      <c r="B89">
        <v>2072</v>
      </c>
      <c r="C89" s="256">
        <v>0</v>
      </c>
      <c r="D89" s="11">
        <v>0</v>
      </c>
      <c r="E89" s="11">
        <v>0</v>
      </c>
      <c r="F89" s="261">
        <f t="shared" si="65"/>
        <v>3.559278701010026</v>
      </c>
      <c r="G89" s="2"/>
      <c r="H89" s="5"/>
      <c r="I89" s="2">
        <v>0</v>
      </c>
      <c r="K89" s="5"/>
      <c r="L89" s="63">
        <f t="shared" si="14"/>
        <v>0</v>
      </c>
      <c r="M89" s="111">
        <f>(E89*'Global-Swiss Carbon Budgets'!$B$50)/(100%-'Global-Swiss Carbon Budgets'!$B$51)</f>
        <v>0</v>
      </c>
      <c r="N89" s="64">
        <f t="shared" si="15"/>
        <v>0.35592787010100263</v>
      </c>
      <c r="O89" s="180">
        <f t="shared" si="16"/>
        <v>0</v>
      </c>
      <c r="P89" s="111">
        <f t="shared" si="17"/>
        <v>0</v>
      </c>
      <c r="Q89" s="181">
        <f>(O89*1000000000)/Surfaces!U60</f>
        <v>0</v>
      </c>
      <c r="R89" s="165">
        <f>((N89*$O$7)*1000000000)/Surfaces!U60</f>
        <v>25.563513362813719</v>
      </c>
      <c r="S89" s="165">
        <f>(P89*1000000000)/Surfaces!V60</f>
        <v>0</v>
      </c>
      <c r="T89" s="165">
        <f>((N89*$P$7)*1000000000)/Surfaces!V60</f>
        <v>27.377108583867347</v>
      </c>
      <c r="U89" s="181">
        <f t="shared" si="18"/>
        <v>0</v>
      </c>
      <c r="V89" s="165">
        <f t="shared" si="19"/>
        <v>0</v>
      </c>
      <c r="W89" s="165">
        <f t="shared" si="66"/>
        <v>0</v>
      </c>
      <c r="X89" s="182">
        <f t="shared" si="67"/>
        <v>0</v>
      </c>
      <c r="Y89" s="110">
        <f t="shared" si="68"/>
        <v>0</v>
      </c>
      <c r="Z89" s="111">
        <f t="shared" si="21"/>
        <v>0</v>
      </c>
      <c r="AF89">
        <v>0</v>
      </c>
      <c r="AG89">
        <v>0</v>
      </c>
      <c r="AK89">
        <v>0</v>
      </c>
      <c r="AL89">
        <v>0</v>
      </c>
    </row>
    <row r="90" spans="2:38" ht="15" thickBot="1" x14ac:dyDescent="0.35">
      <c r="B90">
        <v>2073</v>
      </c>
      <c r="C90" s="256">
        <v>0</v>
      </c>
      <c r="D90" s="11">
        <v>0</v>
      </c>
      <c r="E90" s="11">
        <v>0</v>
      </c>
      <c r="F90" s="261">
        <f t="shared" si="65"/>
        <v>3.3747429265741511</v>
      </c>
      <c r="G90" s="2"/>
      <c r="H90" s="5"/>
      <c r="I90" s="2">
        <v>0</v>
      </c>
      <c r="K90" s="5"/>
      <c r="L90" s="63">
        <f t="shared" si="14"/>
        <v>0</v>
      </c>
      <c r="M90" s="111">
        <f>(E90*'Global-Swiss Carbon Budgets'!$B$50)/(100%-'Global-Swiss Carbon Budgets'!$B$51)</f>
        <v>0</v>
      </c>
      <c r="N90" s="64">
        <f t="shared" si="15"/>
        <v>0.33747429265741513</v>
      </c>
      <c r="O90" s="180">
        <f t="shared" si="16"/>
        <v>0</v>
      </c>
      <c r="P90" s="111">
        <f t="shared" si="17"/>
        <v>0</v>
      </c>
      <c r="Q90" s="181">
        <f>(O90*1000000000)/Surfaces!U61</f>
        <v>0</v>
      </c>
      <c r="R90" s="165">
        <f>((N90*$O$7)*1000000000)/Surfaces!U61</f>
        <v>24.115391026226636</v>
      </c>
      <c r="S90" s="165">
        <f>(P90*1000000000)/Surfaces!V61</f>
        <v>0</v>
      </c>
      <c r="T90" s="165">
        <f>((N90*$P$7)*1000000000)/Surfaces!V61</f>
        <v>25.5921026928612</v>
      </c>
      <c r="U90" s="181">
        <f t="shared" si="18"/>
        <v>0</v>
      </c>
      <c r="V90" s="165">
        <f t="shared" si="19"/>
        <v>0</v>
      </c>
      <c r="W90" s="165">
        <f t="shared" si="66"/>
        <v>0</v>
      </c>
      <c r="X90" s="182">
        <f t="shared" si="67"/>
        <v>0</v>
      </c>
      <c r="Y90" s="110">
        <f t="shared" si="68"/>
        <v>0</v>
      </c>
      <c r="Z90" s="111">
        <f t="shared" si="21"/>
        <v>0</v>
      </c>
      <c r="AF90">
        <v>0</v>
      </c>
      <c r="AG90">
        <v>0</v>
      </c>
      <c r="AK90">
        <v>0</v>
      </c>
      <c r="AL90">
        <v>0</v>
      </c>
    </row>
    <row r="91" spans="2:38" ht="15" thickBot="1" x14ac:dyDescent="0.35">
      <c r="B91">
        <v>2074</v>
      </c>
      <c r="C91" s="256">
        <v>0</v>
      </c>
      <c r="D91" s="11">
        <v>0</v>
      </c>
      <c r="E91" s="11">
        <v>0</v>
      </c>
      <c r="F91" s="261">
        <f t="shared" si="65"/>
        <v>3.1902071521382762</v>
      </c>
      <c r="G91" s="2"/>
      <c r="H91" s="5"/>
      <c r="I91" s="2">
        <v>0</v>
      </c>
      <c r="K91" s="5"/>
      <c r="L91" s="63">
        <f t="shared" si="14"/>
        <v>0</v>
      </c>
      <c r="M91" s="111">
        <f>(E91*'Global-Swiss Carbon Budgets'!$B$50)/(100%-'Global-Swiss Carbon Budgets'!$B$51)</f>
        <v>0</v>
      </c>
      <c r="N91" s="64">
        <f t="shared" si="15"/>
        <v>0.31902071521382763</v>
      </c>
      <c r="O91" s="180">
        <f t="shared" si="16"/>
        <v>0</v>
      </c>
      <c r="P91" s="111">
        <f t="shared" si="17"/>
        <v>0</v>
      </c>
      <c r="Q91" s="181">
        <f>(O91*1000000000)/Surfaces!U62</f>
        <v>0</v>
      </c>
      <c r="R91" s="165">
        <f>((N91*$O$7)*1000000000)/Surfaces!U62</f>
        <v>22.681861891285617</v>
      </c>
      <c r="S91" s="165">
        <f>(P91*1000000000)/Surfaces!V62</f>
        <v>0</v>
      </c>
      <c r="T91" s="165">
        <f>((N91*$P$7)*1000000000)/Surfaces!V62</f>
        <v>23.856680298827442</v>
      </c>
      <c r="U91" s="181">
        <f t="shared" si="18"/>
        <v>0</v>
      </c>
      <c r="V91" s="165">
        <f t="shared" si="19"/>
        <v>0</v>
      </c>
      <c r="W91" s="165">
        <f t="shared" si="66"/>
        <v>0</v>
      </c>
      <c r="X91" s="182">
        <f t="shared" si="67"/>
        <v>0</v>
      </c>
      <c r="Y91" s="110">
        <f t="shared" si="68"/>
        <v>0</v>
      </c>
      <c r="Z91" s="111">
        <f t="shared" si="21"/>
        <v>0</v>
      </c>
      <c r="AF91">
        <v>0</v>
      </c>
      <c r="AG91">
        <v>0</v>
      </c>
      <c r="AK91">
        <v>0</v>
      </c>
      <c r="AL91">
        <v>0</v>
      </c>
    </row>
    <row r="92" spans="2:38" ht="15" thickBot="1" x14ac:dyDescent="0.35">
      <c r="B92" s="10">
        <v>2075</v>
      </c>
      <c r="C92" s="256">
        <v>0</v>
      </c>
      <c r="D92" s="11">
        <v>0</v>
      </c>
      <c r="E92" s="11">
        <v>0</v>
      </c>
      <c r="F92" s="261">
        <f t="shared" si="65"/>
        <v>3.0056713777024013</v>
      </c>
      <c r="G92" s="2"/>
      <c r="H92" s="5"/>
      <c r="I92" s="2">
        <v>0</v>
      </c>
      <c r="K92" s="5"/>
      <c r="L92" s="63">
        <f t="shared" si="14"/>
        <v>0</v>
      </c>
      <c r="M92" s="111">
        <f>(E92*'Global-Swiss Carbon Budgets'!$B$50)/(100%-'Global-Swiss Carbon Budgets'!$B$51)</f>
        <v>0</v>
      </c>
      <c r="N92" s="64">
        <f t="shared" si="15"/>
        <v>0.30056713777024013</v>
      </c>
      <c r="O92" s="180">
        <f t="shared" si="16"/>
        <v>0</v>
      </c>
      <c r="P92" s="111">
        <f t="shared" si="17"/>
        <v>0</v>
      </c>
      <c r="Q92" s="181">
        <f>(O92*1000000000)/Surfaces!U63</f>
        <v>0</v>
      </c>
      <c r="R92" s="165">
        <f>((N92*$O$7)*1000000000)/Surfaces!U63</f>
        <v>21.262706473213317</v>
      </c>
      <c r="S92" s="165">
        <f>(P92*1000000000)/Surfaces!V63</f>
        <v>0</v>
      </c>
      <c r="T92" s="165">
        <f>((N92*$P$7)*1000000000)/Surfaces!V63</f>
        <v>22.168803723808317</v>
      </c>
      <c r="U92" s="181">
        <f t="shared" si="18"/>
        <v>0</v>
      </c>
      <c r="V92" s="165">
        <f t="shared" si="19"/>
        <v>0</v>
      </c>
      <c r="W92" s="165">
        <f t="shared" si="66"/>
        <v>0</v>
      </c>
      <c r="X92" s="182">
        <f t="shared" si="67"/>
        <v>0</v>
      </c>
      <c r="Y92" s="110">
        <f t="shared" si="68"/>
        <v>0</v>
      </c>
      <c r="Z92" s="111">
        <f t="shared" si="21"/>
        <v>0</v>
      </c>
      <c r="AF92">
        <v>0</v>
      </c>
      <c r="AG92">
        <v>0</v>
      </c>
      <c r="AK92">
        <v>0</v>
      </c>
      <c r="AL92">
        <v>0</v>
      </c>
    </row>
    <row r="93" spans="2:38" ht="15" thickBot="1" x14ac:dyDescent="0.35">
      <c r="B93">
        <v>2076</v>
      </c>
      <c r="C93" s="256">
        <v>0</v>
      </c>
      <c r="D93" s="11">
        <v>0</v>
      </c>
      <c r="E93" s="11">
        <v>0</v>
      </c>
      <c r="F93" s="261">
        <f t="shared" si="65"/>
        <v>2.8211356032665265</v>
      </c>
      <c r="G93" s="2"/>
      <c r="H93" s="5"/>
      <c r="I93" s="2">
        <v>0</v>
      </c>
      <c r="K93" s="5"/>
      <c r="L93" s="63">
        <f t="shared" si="14"/>
        <v>0</v>
      </c>
      <c r="M93" s="111">
        <f>(E93*'Global-Swiss Carbon Budgets'!$B$50)/(100%-'Global-Swiss Carbon Budgets'!$B$51)</f>
        <v>0</v>
      </c>
      <c r="N93" s="64">
        <f t="shared" si="15"/>
        <v>0.28211356032665263</v>
      </c>
      <c r="O93" s="180">
        <f t="shared" si="16"/>
        <v>0</v>
      </c>
      <c r="P93" s="111">
        <f t="shared" si="17"/>
        <v>0</v>
      </c>
      <c r="Q93" s="181">
        <f>(O93*1000000000)/Surfaces!U64</f>
        <v>0</v>
      </c>
      <c r="R93" s="165">
        <f>((N93*$O$7)*1000000000)/Surfaces!U64</f>
        <v>19.85770966673822</v>
      </c>
      <c r="S93" s="165">
        <f>(P93*1000000000)/Surfaces!V64</f>
        <v>0</v>
      </c>
      <c r="T93" s="165">
        <f>((N93*$P$7)*1000000000)/Surfaces!V64</f>
        <v>20.526545434600511</v>
      </c>
      <c r="U93" s="181">
        <f t="shared" si="18"/>
        <v>0</v>
      </c>
      <c r="V93" s="165">
        <f t="shared" si="19"/>
        <v>0</v>
      </c>
      <c r="W93" s="165">
        <f t="shared" si="66"/>
        <v>0</v>
      </c>
      <c r="X93" s="182">
        <f t="shared" si="67"/>
        <v>0</v>
      </c>
      <c r="Y93" s="110">
        <f t="shared" si="68"/>
        <v>0</v>
      </c>
      <c r="Z93" s="111">
        <f t="shared" si="21"/>
        <v>0</v>
      </c>
      <c r="AF93">
        <v>0</v>
      </c>
      <c r="AG93">
        <v>0</v>
      </c>
      <c r="AK93">
        <v>0</v>
      </c>
      <c r="AL93">
        <v>0</v>
      </c>
    </row>
    <row r="94" spans="2:38" ht="15" thickBot="1" x14ac:dyDescent="0.35">
      <c r="B94">
        <v>2077</v>
      </c>
      <c r="C94" s="256">
        <v>0</v>
      </c>
      <c r="D94" s="11">
        <v>0</v>
      </c>
      <c r="E94" s="11">
        <v>0</v>
      </c>
      <c r="F94" s="261">
        <f t="shared" si="65"/>
        <v>2.6365998288306516</v>
      </c>
      <c r="G94" s="2"/>
      <c r="H94" s="5"/>
      <c r="I94" s="2">
        <v>0</v>
      </c>
      <c r="K94" s="5"/>
      <c r="L94" s="63">
        <f t="shared" si="14"/>
        <v>0</v>
      </c>
      <c r="M94" s="111">
        <f>(E94*'Global-Swiss Carbon Budgets'!$B$50)/(100%-'Global-Swiss Carbon Budgets'!$B$51)</f>
        <v>0</v>
      </c>
      <c r="N94" s="64">
        <f t="shared" si="15"/>
        <v>0.26365998288306519</v>
      </c>
      <c r="O94" s="180">
        <f t="shared" si="16"/>
        <v>0</v>
      </c>
      <c r="P94" s="111">
        <f t="shared" si="17"/>
        <v>0</v>
      </c>
      <c r="Q94" s="181">
        <f>(O94*1000000000)/Surfaces!U65</f>
        <v>0</v>
      </c>
      <c r="R94" s="165">
        <f>((N94*$O$7)*1000000000)/Surfaces!U65</f>
        <v>18.466660637403344</v>
      </c>
      <c r="S94" s="165">
        <f>(P94*1000000000)/Surfaces!V65</f>
        <v>0</v>
      </c>
      <c r="T94" s="165">
        <f>((N94*$P$7)*1000000000)/Surfaces!V65</f>
        <v>18.928080699771584</v>
      </c>
      <c r="U94" s="181">
        <f t="shared" si="18"/>
        <v>0</v>
      </c>
      <c r="V94" s="165">
        <f t="shared" si="19"/>
        <v>0</v>
      </c>
      <c r="W94" s="165">
        <f t="shared" si="66"/>
        <v>0</v>
      </c>
      <c r="X94" s="182">
        <f t="shared" si="67"/>
        <v>0</v>
      </c>
      <c r="Y94" s="110">
        <f t="shared" si="68"/>
        <v>0</v>
      </c>
      <c r="Z94" s="111">
        <f t="shared" si="21"/>
        <v>0</v>
      </c>
      <c r="AF94">
        <v>0</v>
      </c>
      <c r="AG94">
        <v>0</v>
      </c>
      <c r="AK94">
        <v>0</v>
      </c>
      <c r="AL94">
        <v>0</v>
      </c>
    </row>
    <row r="95" spans="2:38" ht="15" thickBot="1" x14ac:dyDescent="0.35">
      <c r="B95">
        <v>2078</v>
      </c>
      <c r="C95" s="256">
        <v>0</v>
      </c>
      <c r="D95" s="11">
        <v>0</v>
      </c>
      <c r="E95" s="11">
        <v>0</v>
      </c>
      <c r="F95" s="261">
        <f t="shared" si="65"/>
        <v>2.4520640543947767</v>
      </c>
      <c r="G95" s="2"/>
      <c r="H95" s="5"/>
      <c r="I95" s="2">
        <v>0</v>
      </c>
      <c r="K95" s="5"/>
      <c r="L95" s="63">
        <f t="shared" si="14"/>
        <v>0</v>
      </c>
      <c r="M95" s="111">
        <f>(E95*'Global-Swiss Carbon Budgets'!$B$50)/(100%-'Global-Swiss Carbon Budgets'!$B$51)</f>
        <v>0</v>
      </c>
      <c r="N95" s="64">
        <f t="shared" si="15"/>
        <v>0.24520640543947769</v>
      </c>
      <c r="O95" s="180">
        <f t="shared" si="16"/>
        <v>0</v>
      </c>
      <c r="P95" s="111">
        <f t="shared" si="17"/>
        <v>0</v>
      </c>
      <c r="Q95" s="181">
        <f>(O95*1000000000)/Surfaces!U66</f>
        <v>0</v>
      </c>
      <c r="R95" s="165">
        <f>((N95*$O$7)*1000000000)/Surfaces!U66</f>
        <v>17.089352716095963</v>
      </c>
      <c r="S95" s="165">
        <f>(P95*1000000000)/Surfaces!V66</f>
        <v>0</v>
      </c>
      <c r="T95" s="165">
        <f>((N95*$P$7)*1000000000)/Surfaces!V66</f>
        <v>17.371680826385525</v>
      </c>
      <c r="U95" s="181">
        <f t="shared" si="18"/>
        <v>0</v>
      </c>
      <c r="V95" s="165">
        <f t="shared" si="19"/>
        <v>0</v>
      </c>
      <c r="W95" s="165">
        <f t="shared" si="66"/>
        <v>0</v>
      </c>
      <c r="X95" s="182">
        <f t="shared" si="67"/>
        <v>0</v>
      </c>
      <c r="Y95" s="110">
        <f t="shared" si="68"/>
        <v>0</v>
      </c>
      <c r="Z95" s="111">
        <f t="shared" si="21"/>
        <v>0</v>
      </c>
      <c r="AF95">
        <v>0</v>
      </c>
      <c r="AG95">
        <v>0</v>
      </c>
      <c r="AK95">
        <v>0</v>
      </c>
      <c r="AL95">
        <v>0</v>
      </c>
    </row>
    <row r="96" spans="2:38" ht="15" thickBot="1" x14ac:dyDescent="0.35">
      <c r="B96">
        <v>2079</v>
      </c>
      <c r="C96" s="256">
        <v>0</v>
      </c>
      <c r="D96" s="11">
        <v>0</v>
      </c>
      <c r="E96" s="11">
        <v>0</v>
      </c>
      <c r="F96" s="261">
        <f t="shared" si="65"/>
        <v>2.2675282799589018</v>
      </c>
      <c r="G96" s="2"/>
      <c r="H96" s="5"/>
      <c r="I96" s="2">
        <v>0</v>
      </c>
      <c r="K96" s="5"/>
      <c r="L96" s="63">
        <f t="shared" si="14"/>
        <v>0</v>
      </c>
      <c r="M96" s="111">
        <f>(E96*'Global-Swiss Carbon Budgets'!$B$50)/(100%-'Global-Swiss Carbon Budgets'!$B$51)</f>
        <v>0</v>
      </c>
      <c r="N96" s="64">
        <f t="shared" si="15"/>
        <v>0.22675282799589019</v>
      </c>
      <c r="O96" s="180">
        <f t="shared" si="16"/>
        <v>0</v>
      </c>
      <c r="P96" s="111">
        <f t="shared" si="17"/>
        <v>0</v>
      </c>
      <c r="Q96" s="181">
        <f>(O96*1000000000)/Surfaces!U67</f>
        <v>0</v>
      </c>
      <c r="R96" s="165">
        <f>((N96*$O$7)*1000000000)/Surfaces!U67</f>
        <v>15.72558329668758</v>
      </c>
      <c r="S96" s="165">
        <f>(P96*1000000000)/Surfaces!V67</f>
        <v>0</v>
      </c>
      <c r="T96" s="165">
        <f>((N96*$P$7)*1000000000)/Surfaces!V67</f>
        <v>15.855706923736763</v>
      </c>
      <c r="U96" s="181">
        <f t="shared" si="18"/>
        <v>0</v>
      </c>
      <c r="V96" s="165">
        <f t="shared" si="19"/>
        <v>0</v>
      </c>
      <c r="W96" s="165">
        <f t="shared" si="66"/>
        <v>0</v>
      </c>
      <c r="X96" s="182">
        <f t="shared" si="67"/>
        <v>0</v>
      </c>
      <c r="Y96" s="110">
        <f t="shared" si="68"/>
        <v>0</v>
      </c>
      <c r="Z96" s="111">
        <f t="shared" si="21"/>
        <v>0</v>
      </c>
      <c r="AF96">
        <v>0</v>
      </c>
      <c r="AG96">
        <v>0</v>
      </c>
      <c r="AK96">
        <v>0</v>
      </c>
      <c r="AL96">
        <v>0</v>
      </c>
    </row>
    <row r="97" spans="2:38" ht="15" thickBot="1" x14ac:dyDescent="0.35">
      <c r="B97" s="10">
        <v>2080</v>
      </c>
      <c r="C97" s="256">
        <v>0</v>
      </c>
      <c r="D97" s="11">
        <v>0</v>
      </c>
      <c r="E97" s="11">
        <v>0</v>
      </c>
      <c r="F97" s="261">
        <f t="shared" si="65"/>
        <v>2.0829925055230269</v>
      </c>
      <c r="G97" s="2"/>
      <c r="H97" s="5"/>
      <c r="I97" s="2">
        <v>0</v>
      </c>
      <c r="K97" s="5"/>
      <c r="L97" s="63">
        <f t="shared" si="14"/>
        <v>0</v>
      </c>
      <c r="M97" s="111">
        <f>(E97*'Global-Swiss Carbon Budgets'!$B$50)/(100%-'Global-Swiss Carbon Budgets'!$B$51)</f>
        <v>0</v>
      </c>
      <c r="N97" s="64">
        <f t="shared" si="15"/>
        <v>0.20829925055230269</v>
      </c>
      <c r="O97" s="180">
        <f t="shared" si="16"/>
        <v>0</v>
      </c>
      <c r="P97" s="111">
        <f t="shared" si="17"/>
        <v>0</v>
      </c>
      <c r="Q97" s="181">
        <f>(O97*1000000000)/Surfaces!U68</f>
        <v>0</v>
      </c>
      <c r="R97" s="165">
        <f>((N97*$O$7)*1000000000)/Surfaces!U68</f>
        <v>14.375153736677609</v>
      </c>
      <c r="S97" s="165">
        <f>(P97*1000000000)/Surfaces!V68</f>
        <v>0</v>
      </c>
      <c r="T97" s="165">
        <f>((N97*$P$7)*1000000000)/Surfaces!V68</f>
        <v>14.378604146796944</v>
      </c>
      <c r="U97" s="181">
        <f t="shared" si="18"/>
        <v>0</v>
      </c>
      <c r="V97" s="165">
        <f t="shared" si="19"/>
        <v>0</v>
      </c>
      <c r="W97" s="165">
        <f t="shared" si="66"/>
        <v>0</v>
      </c>
      <c r="X97" s="182">
        <f t="shared" si="67"/>
        <v>0</v>
      </c>
      <c r="Y97" s="110">
        <f t="shared" si="68"/>
        <v>0</v>
      </c>
      <c r="Z97" s="111">
        <f t="shared" si="21"/>
        <v>0</v>
      </c>
      <c r="AF97">
        <v>0</v>
      </c>
      <c r="AG97">
        <v>0</v>
      </c>
      <c r="AK97">
        <v>0</v>
      </c>
      <c r="AL97">
        <v>0</v>
      </c>
    </row>
    <row r="98" spans="2:38" ht="15" thickBot="1" x14ac:dyDescent="0.35">
      <c r="B98">
        <v>2081</v>
      </c>
      <c r="C98" s="256">
        <v>0</v>
      </c>
      <c r="D98" s="11">
        <v>0</v>
      </c>
      <c r="E98" s="11">
        <v>0</v>
      </c>
      <c r="F98" s="261">
        <f t="shared" si="65"/>
        <v>1.8984567310871521</v>
      </c>
      <c r="G98" s="2"/>
      <c r="H98" s="5"/>
      <c r="I98" s="2">
        <v>0</v>
      </c>
      <c r="K98" s="5"/>
      <c r="L98" s="63">
        <f t="shared" si="14"/>
        <v>0</v>
      </c>
      <c r="M98" s="111">
        <f>(E98*'Global-Swiss Carbon Budgets'!$B$50)/(100%-'Global-Swiss Carbon Budgets'!$B$51)</f>
        <v>0</v>
      </c>
      <c r="N98" s="64">
        <f t="shared" si="15"/>
        <v>0.18984567310871522</v>
      </c>
      <c r="O98" s="180">
        <f t="shared" si="16"/>
        <v>0</v>
      </c>
      <c r="P98" s="111">
        <f t="shared" si="17"/>
        <v>0</v>
      </c>
      <c r="Q98" s="181">
        <f>(O98*1000000000)/Surfaces!U69</f>
        <v>0</v>
      </c>
      <c r="R98" s="165">
        <f>((N98*$O$7)*1000000000)/Surfaces!U69</f>
        <v>13.03786926073847</v>
      </c>
      <c r="S98" s="165">
        <f>(P98*1000000000)/Surfaces!V69</f>
        <v>0</v>
      </c>
      <c r="T98" s="165">
        <f>((N98*$P$7)*1000000000)/Surfaces!V69</f>
        <v>12.938896376868263</v>
      </c>
      <c r="U98" s="181">
        <f t="shared" si="18"/>
        <v>0</v>
      </c>
      <c r="V98" s="165">
        <f t="shared" si="19"/>
        <v>0</v>
      </c>
      <c r="W98" s="165">
        <f t="shared" si="66"/>
        <v>0</v>
      </c>
      <c r="X98" s="182">
        <f t="shared" si="67"/>
        <v>0</v>
      </c>
      <c r="Y98" s="110">
        <f t="shared" si="68"/>
        <v>0</v>
      </c>
      <c r="Z98" s="111">
        <f t="shared" si="21"/>
        <v>0</v>
      </c>
    </row>
    <row r="99" spans="2:38" ht="15" thickBot="1" x14ac:dyDescent="0.35">
      <c r="B99">
        <v>2082</v>
      </c>
      <c r="C99" s="256">
        <v>0</v>
      </c>
      <c r="D99" s="11">
        <v>0</v>
      </c>
      <c r="E99" s="11">
        <v>0</v>
      </c>
      <c r="F99" s="261">
        <f t="shared" si="65"/>
        <v>1.7139209566512772</v>
      </c>
      <c r="G99" s="2"/>
      <c r="H99" s="5"/>
      <c r="I99" s="2">
        <v>0</v>
      </c>
      <c r="K99" s="5"/>
      <c r="L99" s="63">
        <f t="shared" si="14"/>
        <v>0</v>
      </c>
      <c r="M99" s="111">
        <f>(E99*'Global-Swiss Carbon Budgets'!$B$50)/(100%-'Global-Swiss Carbon Budgets'!$B$51)</f>
        <v>0</v>
      </c>
      <c r="N99" s="64">
        <f t="shared" si="15"/>
        <v>0.17139209566512772</v>
      </c>
      <c r="O99" s="180">
        <f t="shared" si="16"/>
        <v>0</v>
      </c>
      <c r="P99" s="111">
        <f t="shared" si="17"/>
        <v>0</v>
      </c>
      <c r="Q99" s="181">
        <f>(O99*1000000000)/Surfaces!U70</f>
        <v>0</v>
      </c>
      <c r="R99" s="64">
        <f>((N99*$O$7)*1000000000)/Surfaces!U70</f>
        <v>11.71353886706371</v>
      </c>
      <c r="S99" s="165">
        <f>(P99*1000000000)/Surfaces!V70</f>
        <v>0</v>
      </c>
      <c r="T99" s="165">
        <f>((N99*$P$7)*1000000000)/Surfaces!V70</f>
        <v>11.535181301187794</v>
      </c>
      <c r="U99" s="181">
        <f t="shared" si="18"/>
        <v>0</v>
      </c>
      <c r="V99" s="165">
        <f t="shared" si="19"/>
        <v>0</v>
      </c>
      <c r="W99" s="165">
        <f t="shared" si="66"/>
        <v>0</v>
      </c>
      <c r="X99" s="182">
        <f t="shared" si="67"/>
        <v>0</v>
      </c>
      <c r="Y99" s="110">
        <f t="shared" si="68"/>
        <v>0</v>
      </c>
      <c r="Z99" s="111">
        <f t="shared" si="21"/>
        <v>0</v>
      </c>
    </row>
    <row r="100" spans="2:38" ht="15" thickBot="1" x14ac:dyDescent="0.35">
      <c r="B100" s="10">
        <v>2083</v>
      </c>
      <c r="C100" s="256">
        <v>0</v>
      </c>
      <c r="D100" s="11">
        <v>0</v>
      </c>
      <c r="E100" s="11">
        <v>0</v>
      </c>
      <c r="F100" s="261">
        <f t="shared" si="65"/>
        <v>1.5293851822154023</v>
      </c>
      <c r="G100" s="2"/>
      <c r="H100" s="5"/>
      <c r="I100" s="2">
        <v>0</v>
      </c>
      <c r="K100" s="5"/>
      <c r="L100" s="63">
        <f t="shared" si="14"/>
        <v>0</v>
      </c>
      <c r="M100" s="111">
        <f>(E100*'Global-Swiss Carbon Budgets'!$B$50)/(100%-'Global-Swiss Carbon Budgets'!$B$51)</f>
        <v>0</v>
      </c>
      <c r="N100" s="64">
        <f t="shared" si="15"/>
        <v>0.15293851822154025</v>
      </c>
      <c r="O100" s="180">
        <f t="shared" si="16"/>
        <v>0</v>
      </c>
      <c r="P100" s="111">
        <f t="shared" si="17"/>
        <v>0</v>
      </c>
      <c r="Q100" s="181">
        <f>(O100*1000000000)/Surfaces!U71</f>
        <v>0</v>
      </c>
      <c r="R100" s="165">
        <f>((N100*$O$7)*1000000000)/Surfaces!U71</f>
        <v>10.401975236424606</v>
      </c>
      <c r="S100" s="165">
        <f>(P100*1000000000)/Surfaces!V71</f>
        <v>0</v>
      </c>
      <c r="T100" s="165">
        <f>((N100*$P$7)*1000000000)/Surfaces!V71</f>
        <v>10.166125857005612</v>
      </c>
      <c r="U100" s="181">
        <f t="shared" si="18"/>
        <v>0</v>
      </c>
      <c r="V100" s="165">
        <f t="shared" si="19"/>
        <v>0</v>
      </c>
      <c r="W100" s="165">
        <f t="shared" si="66"/>
        <v>0</v>
      </c>
      <c r="X100" s="182">
        <f t="shared" si="67"/>
        <v>0</v>
      </c>
      <c r="Y100" s="110">
        <f t="shared" si="68"/>
        <v>0</v>
      </c>
      <c r="Z100" s="111">
        <f t="shared" si="21"/>
        <v>0</v>
      </c>
    </row>
    <row r="101" spans="2:38" ht="15" thickBot="1" x14ac:dyDescent="0.35">
      <c r="B101">
        <v>2084</v>
      </c>
      <c r="C101" s="256">
        <v>0</v>
      </c>
      <c r="D101" s="11">
        <v>0</v>
      </c>
      <c r="E101" s="11">
        <v>0</v>
      </c>
      <c r="F101" s="261">
        <f t="shared" si="65"/>
        <v>1.3448494077795274</v>
      </c>
      <c r="G101" s="2"/>
      <c r="H101" s="5"/>
      <c r="I101" s="2">
        <v>0</v>
      </c>
      <c r="K101" s="5"/>
      <c r="L101" s="63">
        <f t="shared" si="14"/>
        <v>0</v>
      </c>
      <c r="M101" s="111">
        <f>(E101*'Global-Swiss Carbon Budgets'!$B$50)/(100%-'Global-Swiss Carbon Budgets'!$B$51)</f>
        <v>0</v>
      </c>
      <c r="N101" s="64">
        <f t="shared" si="15"/>
        <v>0.13448494077795276</v>
      </c>
      <c r="O101" s="180">
        <f t="shared" si="16"/>
        <v>0</v>
      </c>
      <c r="P101" s="111">
        <f t="shared" si="17"/>
        <v>0</v>
      </c>
      <c r="Q101" s="181">
        <f>(O101*1000000000)/Surfaces!U72</f>
        <v>0</v>
      </c>
      <c r="R101" s="165">
        <f>((N101*$O$7)*1000000000)/Surfaces!U72</f>
        <v>9.1029946438442551</v>
      </c>
      <c r="S101" s="165">
        <f>(P101*1000000000)/Surfaces!V72</f>
        <v>0</v>
      </c>
      <c r="T101" s="165">
        <f>((N101*$P$7)*1000000000)/Surfaces!V72</f>
        <v>8.8304620090229946</v>
      </c>
      <c r="U101" s="181">
        <f t="shared" si="18"/>
        <v>0</v>
      </c>
      <c r="V101" s="165">
        <f t="shared" si="19"/>
        <v>0</v>
      </c>
      <c r="W101" s="165">
        <f t="shared" ref="W101:W117" si="69">S101*$W$3</f>
        <v>0</v>
      </c>
      <c r="X101" s="182">
        <f t="shared" ref="X101:X117" si="70">S101*$X$3</f>
        <v>0</v>
      </c>
      <c r="Y101" s="110">
        <f t="shared" si="68"/>
        <v>0</v>
      </c>
      <c r="Z101" s="111">
        <f t="shared" si="21"/>
        <v>0</v>
      </c>
    </row>
    <row r="102" spans="2:38" ht="15" thickBot="1" x14ac:dyDescent="0.35">
      <c r="B102">
        <v>2085</v>
      </c>
      <c r="C102" s="256">
        <v>0</v>
      </c>
      <c r="D102" s="11">
        <v>0</v>
      </c>
      <c r="E102" s="11">
        <v>0</v>
      </c>
      <c r="F102" s="261">
        <f t="shared" si="65"/>
        <v>1.1603136333436526</v>
      </c>
      <c r="G102" s="2"/>
      <c r="H102" s="5"/>
      <c r="I102" s="2">
        <v>0</v>
      </c>
      <c r="K102" s="5"/>
      <c r="L102" s="63">
        <f t="shared" ref="L102:L117" si="71">C102</f>
        <v>0</v>
      </c>
      <c r="M102" s="111">
        <f>(E102*'Global-Swiss Carbon Budgets'!$B$50)/(100%-'Global-Swiss Carbon Budgets'!$B$51)</f>
        <v>0</v>
      </c>
      <c r="N102" s="64">
        <f t="shared" ref="N102:N117" si="72">F102*0.1</f>
        <v>0.11603136333436526</v>
      </c>
      <c r="O102" s="180">
        <f t="shared" ref="O102:O117" si="73">M102*$O$7</f>
        <v>0</v>
      </c>
      <c r="P102" s="111">
        <f t="shared" ref="P102:P117" si="74">M102*$P$7</f>
        <v>0</v>
      </c>
      <c r="Q102" s="181">
        <f>(O102*1000000000)/Surfaces!U73</f>
        <v>0</v>
      </c>
      <c r="R102" s="165">
        <f>((N102*$O$7)*1000000000)/Surfaces!U73</f>
        <v>7.8164168728017129</v>
      </c>
      <c r="S102" s="165">
        <f>(P102*1000000000)/Surfaces!V73</f>
        <v>0</v>
      </c>
      <c r="T102" s="165">
        <f>((N102*$P$7)*1000000000)/Surfaces!V73</f>
        <v>7.5269828320760999</v>
      </c>
      <c r="U102" s="181">
        <f t="shared" ref="U102:U117" si="75">Q102*$U$3</f>
        <v>0</v>
      </c>
      <c r="V102" s="165">
        <f t="shared" ref="V102:V117" si="76">Q102*$V$3</f>
        <v>0</v>
      </c>
      <c r="W102" s="165">
        <f t="shared" si="69"/>
        <v>0</v>
      </c>
      <c r="X102" s="182">
        <f t="shared" si="70"/>
        <v>0</v>
      </c>
      <c r="Y102" s="110">
        <f t="shared" ref="Y102:Y117" si="77">V102/$Y$3</f>
        <v>0</v>
      </c>
      <c r="Z102" s="111">
        <f t="shared" ref="Z102:Z117" si="78">W102/$Y$3</f>
        <v>0</v>
      </c>
    </row>
    <row r="103" spans="2:38" ht="15" thickBot="1" x14ac:dyDescent="0.35">
      <c r="B103" s="10">
        <v>2086</v>
      </c>
      <c r="C103" s="256">
        <v>0</v>
      </c>
      <c r="D103" s="11">
        <v>0</v>
      </c>
      <c r="E103" s="11">
        <v>0</v>
      </c>
      <c r="F103" s="261">
        <f t="shared" si="65"/>
        <v>0.97577785890777768</v>
      </c>
      <c r="G103" s="2"/>
      <c r="H103" s="5"/>
      <c r="I103" s="2">
        <v>0</v>
      </c>
      <c r="K103" s="5"/>
      <c r="L103" s="63">
        <f t="shared" si="71"/>
        <v>0</v>
      </c>
      <c r="M103" s="111">
        <f>(E103*'Global-Swiss Carbon Budgets'!$B$50)/(100%-'Global-Swiss Carbon Budgets'!$B$51)</f>
        <v>0</v>
      </c>
      <c r="N103" s="64">
        <f t="shared" si="72"/>
        <v>9.7577785890777771E-2</v>
      </c>
      <c r="O103" s="180">
        <f t="shared" si="73"/>
        <v>0</v>
      </c>
      <c r="P103" s="111">
        <f t="shared" si="74"/>
        <v>0</v>
      </c>
      <c r="Q103" s="181">
        <f>(O103*1000000000)/Surfaces!U74</f>
        <v>0</v>
      </c>
      <c r="R103" s="165">
        <f>((N103*$O$7)*1000000000)/Surfaces!U74</f>
        <v>6.5420651318820218</v>
      </c>
      <c r="S103" s="165">
        <f>(P103*1000000000)/Surfaces!V74</f>
        <v>0</v>
      </c>
      <c r="T103" s="165">
        <f>((N103*$P$7)*1000000000)/Surfaces!V74</f>
        <v>6.2545388736279444</v>
      </c>
      <c r="U103" s="181">
        <f t="shared" si="75"/>
        <v>0</v>
      </c>
      <c r="V103" s="165">
        <f t="shared" si="76"/>
        <v>0</v>
      </c>
      <c r="W103" s="165">
        <f t="shared" si="69"/>
        <v>0</v>
      </c>
      <c r="X103" s="182">
        <f t="shared" si="70"/>
        <v>0</v>
      </c>
      <c r="Y103" s="110">
        <f t="shared" si="77"/>
        <v>0</v>
      </c>
      <c r="Z103" s="111">
        <f t="shared" si="78"/>
        <v>0</v>
      </c>
    </row>
    <row r="104" spans="2:38" ht="15" thickBot="1" x14ac:dyDescent="0.35">
      <c r="B104">
        <v>2087</v>
      </c>
      <c r="C104" s="256">
        <v>0</v>
      </c>
      <c r="D104" s="11">
        <v>0</v>
      </c>
      <c r="E104" s="11">
        <v>0</v>
      </c>
      <c r="F104" s="261">
        <f t="shared" si="65"/>
        <v>0.79124208447190281</v>
      </c>
      <c r="G104" s="2"/>
      <c r="H104" s="5"/>
      <c r="I104" s="2">
        <v>0</v>
      </c>
      <c r="K104" s="5"/>
      <c r="L104" s="63">
        <f t="shared" si="71"/>
        <v>0</v>
      </c>
      <c r="M104" s="111">
        <f>(E104*'Global-Swiss Carbon Budgets'!$B$50)/(100%-'Global-Swiss Carbon Budgets'!$B$51)</f>
        <v>0</v>
      </c>
      <c r="N104" s="64">
        <f t="shared" si="72"/>
        <v>7.9124208447190286E-2</v>
      </c>
      <c r="O104" s="180">
        <f t="shared" si="73"/>
        <v>0</v>
      </c>
      <c r="P104" s="111">
        <f t="shared" si="74"/>
        <v>0</v>
      </c>
      <c r="Q104" s="181">
        <f>(O104*1000000000)/Surfaces!U75</f>
        <v>0</v>
      </c>
      <c r="R104" s="165">
        <f>((N104*$O$7)*1000000000)/Surfaces!U75</f>
        <v>5.2797659737911671</v>
      </c>
      <c r="S104" s="165">
        <f>(P104*1000000000)/Surfaces!V75</f>
        <v>0</v>
      </c>
      <c r="T104" s="165">
        <f>((N104*$P$7)*1000000000)/Surfaces!V75</f>
        <v>5.0120347730256274</v>
      </c>
      <c r="U104" s="181">
        <f t="shared" si="75"/>
        <v>0</v>
      </c>
      <c r="V104" s="165">
        <f t="shared" si="76"/>
        <v>0</v>
      </c>
      <c r="W104" s="165">
        <f t="shared" si="69"/>
        <v>0</v>
      </c>
      <c r="X104" s="182">
        <f t="shared" si="70"/>
        <v>0</v>
      </c>
      <c r="Y104" s="110">
        <f t="shared" si="77"/>
        <v>0</v>
      </c>
      <c r="Z104" s="111">
        <f t="shared" si="78"/>
        <v>0</v>
      </c>
    </row>
    <row r="105" spans="2:38" ht="15" thickBot="1" x14ac:dyDescent="0.35">
      <c r="B105">
        <v>2088</v>
      </c>
      <c r="C105" s="256">
        <v>0</v>
      </c>
      <c r="D105" s="11">
        <v>0</v>
      </c>
      <c r="E105" s="11">
        <v>0</v>
      </c>
      <c r="F105" s="261">
        <f t="shared" si="65"/>
        <v>0.60670631003602793</v>
      </c>
      <c r="G105" s="2"/>
      <c r="H105" s="5"/>
      <c r="I105" s="2">
        <v>0</v>
      </c>
      <c r="K105" s="5"/>
      <c r="L105" s="63">
        <f t="shared" si="71"/>
        <v>0</v>
      </c>
      <c r="M105" s="111">
        <f>(E105*'Global-Swiss Carbon Budgets'!$B$50)/(100%-'Global-Swiss Carbon Budgets'!$B$51)</f>
        <v>0</v>
      </c>
      <c r="N105" s="64">
        <f t="shared" si="72"/>
        <v>6.0670631003602794E-2</v>
      </c>
      <c r="O105" s="180">
        <f t="shared" si="73"/>
        <v>0</v>
      </c>
      <c r="P105" s="111">
        <f t="shared" si="74"/>
        <v>0</v>
      </c>
      <c r="Q105" s="181">
        <f>(O105*1000000000)/Surfaces!U76</f>
        <v>0</v>
      </c>
      <c r="R105" s="165">
        <f>((N105*$O$7)*1000000000)/Surfaces!U76</f>
        <v>4.0293492166580398</v>
      </c>
      <c r="S105" s="165">
        <f>(P105*1000000000)/Surfaces!V76</f>
        <v>0</v>
      </c>
      <c r="T105" s="165">
        <f>((N105*$P$7)*1000000000)/Surfaces!V76</f>
        <v>3.798426116623363</v>
      </c>
      <c r="U105" s="181">
        <f t="shared" si="75"/>
        <v>0</v>
      </c>
      <c r="V105" s="165">
        <f t="shared" si="76"/>
        <v>0</v>
      </c>
      <c r="W105" s="165">
        <f t="shared" si="69"/>
        <v>0</v>
      </c>
      <c r="X105" s="182">
        <f t="shared" si="70"/>
        <v>0</v>
      </c>
      <c r="Y105" s="110">
        <f t="shared" si="77"/>
        <v>0</v>
      </c>
      <c r="Z105" s="111">
        <f t="shared" si="78"/>
        <v>0</v>
      </c>
    </row>
    <row r="106" spans="2:38" ht="15" thickBot="1" x14ac:dyDescent="0.35">
      <c r="B106" s="10">
        <v>2089</v>
      </c>
      <c r="C106" s="256">
        <v>0</v>
      </c>
      <c r="D106" s="11">
        <v>0</v>
      </c>
      <c r="E106" s="11">
        <v>0</v>
      </c>
      <c r="F106" s="261">
        <f t="shared" si="65"/>
        <v>0.42217053560015311</v>
      </c>
      <c r="G106" s="2"/>
      <c r="H106" s="5"/>
      <c r="I106" s="2">
        <v>0</v>
      </c>
      <c r="K106" s="5"/>
      <c r="L106" s="63">
        <f t="shared" si="71"/>
        <v>0</v>
      </c>
      <c r="M106" s="111">
        <f>(E106*'Global-Swiss Carbon Budgets'!$B$50)/(100%-'Global-Swiss Carbon Budgets'!$B$51)</f>
        <v>0</v>
      </c>
      <c r="N106" s="64">
        <f t="shared" si="72"/>
        <v>4.2217053560015316E-2</v>
      </c>
      <c r="O106" s="180">
        <f t="shared" si="73"/>
        <v>0</v>
      </c>
      <c r="P106" s="111">
        <f t="shared" si="74"/>
        <v>0</v>
      </c>
      <c r="Q106" s="181">
        <f>(O106*1000000000)/Surfaces!U77</f>
        <v>0</v>
      </c>
      <c r="R106" s="165">
        <f>((N106*$O$7)*1000000000)/Surfaces!U77</f>
        <v>2.7906478675484179</v>
      </c>
      <c r="S106" s="165">
        <f>(P106*1000000000)/Surfaces!V77</f>
        <v>0</v>
      </c>
      <c r="T106" s="165">
        <f>((N106*$P$7)*1000000000)/Surfaces!V77</f>
        <v>2.6127165097935663</v>
      </c>
      <c r="U106" s="181">
        <f t="shared" si="75"/>
        <v>0</v>
      </c>
      <c r="V106" s="165">
        <f t="shared" si="76"/>
        <v>0</v>
      </c>
      <c r="W106" s="165">
        <f t="shared" si="69"/>
        <v>0</v>
      </c>
      <c r="X106" s="182">
        <f t="shared" si="70"/>
        <v>0</v>
      </c>
      <c r="Y106" s="110">
        <f t="shared" si="77"/>
        <v>0</v>
      </c>
      <c r="Z106" s="111">
        <f t="shared" si="78"/>
        <v>0</v>
      </c>
    </row>
    <row r="107" spans="2:38" ht="15" thickBot="1" x14ac:dyDescent="0.35">
      <c r="B107">
        <v>2090</v>
      </c>
      <c r="C107" s="256">
        <v>0</v>
      </c>
      <c r="D107" s="11">
        <v>0</v>
      </c>
      <c r="E107" s="11">
        <v>0</v>
      </c>
      <c r="F107" s="261">
        <f t="shared" si="65"/>
        <v>0.23763476116427829</v>
      </c>
      <c r="G107" s="2"/>
      <c r="H107" s="5"/>
      <c r="I107" s="2">
        <v>0</v>
      </c>
      <c r="K107" s="5"/>
      <c r="L107" s="63">
        <f t="shared" si="71"/>
        <v>0</v>
      </c>
      <c r="M107" s="111">
        <f>(E107*'Global-Swiss Carbon Budgets'!$B$50)/(100%-'Global-Swiss Carbon Budgets'!$B$51)</f>
        <v>0</v>
      </c>
      <c r="N107" s="64">
        <f t="shared" si="72"/>
        <v>2.3763476116427831E-2</v>
      </c>
      <c r="O107" s="180">
        <f t="shared" si="73"/>
        <v>0</v>
      </c>
      <c r="P107" s="111">
        <f t="shared" si="74"/>
        <v>0</v>
      </c>
      <c r="Q107" s="181">
        <f>(O107*1000000000)/Surfaces!U78</f>
        <v>0</v>
      </c>
      <c r="R107" s="165">
        <f>((N107*$O$7)*1000000000)/Surfaces!U78</f>
        <v>1.5634980481187486</v>
      </c>
      <c r="S107" s="165">
        <f>(P107*1000000000)/Surfaces!V78</f>
        <v>0</v>
      </c>
      <c r="T107" s="165">
        <f>((N107*$P$7)*1000000000)/Surfaces!V78</f>
        <v>1.4539548485735365</v>
      </c>
      <c r="U107" s="181">
        <f t="shared" si="75"/>
        <v>0</v>
      </c>
      <c r="V107" s="165">
        <f t="shared" si="76"/>
        <v>0</v>
      </c>
      <c r="W107" s="165">
        <f t="shared" si="69"/>
        <v>0</v>
      </c>
      <c r="X107" s="182">
        <f t="shared" si="70"/>
        <v>0</v>
      </c>
      <c r="Y107" s="110">
        <f t="shared" si="77"/>
        <v>0</v>
      </c>
      <c r="Z107" s="111">
        <f t="shared" si="78"/>
        <v>0</v>
      </c>
    </row>
    <row r="108" spans="2:38" ht="15" thickBot="1" x14ac:dyDescent="0.35">
      <c r="B108">
        <v>2091</v>
      </c>
      <c r="C108" s="256">
        <v>0</v>
      </c>
      <c r="D108" s="11">
        <v>0</v>
      </c>
      <c r="E108" s="11">
        <v>0</v>
      </c>
      <c r="F108" s="261">
        <f t="shared" si="65"/>
        <v>5.3098986728403463E-2</v>
      </c>
      <c r="G108" s="2"/>
      <c r="H108" s="5"/>
      <c r="I108" s="2">
        <v>0</v>
      </c>
      <c r="K108" s="5"/>
      <c r="L108" s="63">
        <f t="shared" si="71"/>
        <v>0</v>
      </c>
      <c r="M108" s="111">
        <f>(E108*'Global-Swiss Carbon Budgets'!$B$50)/(100%-'Global-Swiss Carbon Budgets'!$B$51)</f>
        <v>0</v>
      </c>
      <c r="N108" s="64">
        <f t="shared" si="72"/>
        <v>5.3098986728403463E-3</v>
      </c>
      <c r="O108" s="180">
        <f t="shared" si="73"/>
        <v>0</v>
      </c>
      <c r="P108" s="111">
        <f t="shared" si="74"/>
        <v>0</v>
      </c>
      <c r="Q108" s="181">
        <f>(O108*1000000000)/Surfaces!U79</f>
        <v>0</v>
      </c>
      <c r="R108" s="165">
        <f>((N108*$O$7)*1000000000)/Surfaces!U79</f>
        <v>0.34773892234024878</v>
      </c>
      <c r="S108" s="165">
        <f>(P108*1000000000)/Surfaces!V79</f>
        <v>0</v>
      </c>
      <c r="T108" s="165">
        <f>((N108*$P$7)*1000000000)/Surfaces!V79</f>
        <v>0.32123277524609195</v>
      </c>
      <c r="U108" s="181">
        <f t="shared" si="75"/>
        <v>0</v>
      </c>
      <c r="V108" s="165">
        <f t="shared" si="76"/>
        <v>0</v>
      </c>
      <c r="W108" s="165">
        <f t="shared" si="69"/>
        <v>0</v>
      </c>
      <c r="X108" s="182">
        <f t="shared" si="70"/>
        <v>0</v>
      </c>
      <c r="Y108" s="110">
        <f t="shared" si="77"/>
        <v>0</v>
      </c>
      <c r="Z108" s="111">
        <f t="shared" si="78"/>
        <v>0</v>
      </c>
    </row>
    <row r="109" spans="2:38" ht="15" thickBot="1" x14ac:dyDescent="0.35">
      <c r="B109" s="10">
        <v>2092</v>
      </c>
      <c r="C109" s="256">
        <v>0</v>
      </c>
      <c r="D109" s="11">
        <v>0</v>
      </c>
      <c r="E109" s="11">
        <v>0</v>
      </c>
      <c r="F109" s="261">
        <v>0</v>
      </c>
      <c r="G109" s="2"/>
      <c r="H109" s="5"/>
      <c r="I109" s="2">
        <v>0</v>
      </c>
      <c r="K109" s="5"/>
      <c r="L109" s="63">
        <f t="shared" si="71"/>
        <v>0</v>
      </c>
      <c r="M109" s="111">
        <f>(E109*'Global-Swiss Carbon Budgets'!$B$50)/(100%-'Global-Swiss Carbon Budgets'!$B$51)</f>
        <v>0</v>
      </c>
      <c r="N109" s="64">
        <f t="shared" si="72"/>
        <v>0</v>
      </c>
      <c r="O109" s="180">
        <f t="shared" si="73"/>
        <v>0</v>
      </c>
      <c r="P109" s="111">
        <f t="shared" si="74"/>
        <v>0</v>
      </c>
      <c r="Q109" s="181">
        <f>(O109*1000000000)/Surfaces!U80</f>
        <v>0</v>
      </c>
      <c r="R109" s="165">
        <f>((N109*$O$7)*1000000000)/Surfaces!U80</f>
        <v>0</v>
      </c>
      <c r="S109" s="165">
        <f>(P109*1000000000)/Surfaces!V80</f>
        <v>0</v>
      </c>
      <c r="T109" s="165">
        <f>((N109*$P$7)*1000000000)/Surfaces!V80</f>
        <v>0</v>
      </c>
      <c r="U109" s="181">
        <f t="shared" si="75"/>
        <v>0</v>
      </c>
      <c r="V109" s="165">
        <f t="shared" si="76"/>
        <v>0</v>
      </c>
      <c r="W109" s="165">
        <f t="shared" si="69"/>
        <v>0</v>
      </c>
      <c r="X109" s="182">
        <f t="shared" si="70"/>
        <v>0</v>
      </c>
      <c r="Y109" s="110">
        <f t="shared" si="77"/>
        <v>0</v>
      </c>
      <c r="Z109" s="111">
        <f t="shared" si="78"/>
        <v>0</v>
      </c>
    </row>
    <row r="110" spans="2:38" ht="15" thickBot="1" x14ac:dyDescent="0.35">
      <c r="B110">
        <v>2093</v>
      </c>
      <c r="C110" s="256">
        <v>0</v>
      </c>
      <c r="D110" s="11">
        <v>0</v>
      </c>
      <c r="E110" s="11">
        <v>0</v>
      </c>
      <c r="F110" s="261">
        <v>0</v>
      </c>
      <c r="G110" s="2"/>
      <c r="H110" s="5"/>
      <c r="I110" s="2">
        <v>0</v>
      </c>
      <c r="K110" s="5"/>
      <c r="L110" s="63">
        <f t="shared" si="71"/>
        <v>0</v>
      </c>
      <c r="M110" s="111">
        <f>(E110*'Global-Swiss Carbon Budgets'!$B$50)/(100%-'Global-Swiss Carbon Budgets'!$B$51)</f>
        <v>0</v>
      </c>
      <c r="N110" s="64">
        <f t="shared" si="72"/>
        <v>0</v>
      </c>
      <c r="O110" s="180">
        <f t="shared" si="73"/>
        <v>0</v>
      </c>
      <c r="P110" s="111">
        <f t="shared" si="74"/>
        <v>0</v>
      </c>
      <c r="Q110" s="181">
        <f>(O110*1000000000)/Surfaces!U81</f>
        <v>0</v>
      </c>
      <c r="R110" s="165">
        <f>((N110*$O$7)*1000000000)/Surfaces!U81</f>
        <v>0</v>
      </c>
      <c r="S110" s="165">
        <f>(P110*1000000000)/Surfaces!V81</f>
        <v>0</v>
      </c>
      <c r="T110" s="165">
        <f>((N110*$P$7)*1000000000)/Surfaces!V81</f>
        <v>0</v>
      </c>
      <c r="U110" s="181">
        <f t="shared" si="75"/>
        <v>0</v>
      </c>
      <c r="V110" s="165">
        <f t="shared" si="76"/>
        <v>0</v>
      </c>
      <c r="W110" s="165">
        <f t="shared" si="69"/>
        <v>0</v>
      </c>
      <c r="X110" s="182">
        <f t="shared" si="70"/>
        <v>0</v>
      </c>
      <c r="Y110" s="110">
        <f t="shared" si="77"/>
        <v>0</v>
      </c>
      <c r="Z110" s="111">
        <f t="shared" si="78"/>
        <v>0</v>
      </c>
    </row>
    <row r="111" spans="2:38" ht="15" thickBot="1" x14ac:dyDescent="0.35">
      <c r="B111">
        <v>2094</v>
      </c>
      <c r="C111" s="256">
        <v>0</v>
      </c>
      <c r="D111" s="11">
        <v>0</v>
      </c>
      <c r="E111" s="11">
        <v>0</v>
      </c>
      <c r="F111" s="261">
        <v>0</v>
      </c>
      <c r="G111" s="2"/>
      <c r="H111" s="5"/>
      <c r="I111" s="2">
        <v>0</v>
      </c>
      <c r="K111" s="5"/>
      <c r="L111" s="63">
        <f t="shared" si="71"/>
        <v>0</v>
      </c>
      <c r="M111" s="111">
        <f>(E111*'Global-Swiss Carbon Budgets'!$B$50)/(100%-'Global-Swiss Carbon Budgets'!$B$51)</f>
        <v>0</v>
      </c>
      <c r="N111" s="64">
        <f t="shared" si="72"/>
        <v>0</v>
      </c>
      <c r="O111" s="180">
        <f t="shared" si="73"/>
        <v>0</v>
      </c>
      <c r="P111" s="111">
        <f t="shared" si="74"/>
        <v>0</v>
      </c>
      <c r="Q111" s="181">
        <f>(O111*1000000000)/Surfaces!U82</f>
        <v>0</v>
      </c>
      <c r="R111" s="165">
        <f>((N111*$O$7)*1000000000)/Surfaces!U82</f>
        <v>0</v>
      </c>
      <c r="S111" s="165">
        <f>(P111*1000000000)/Surfaces!V82</f>
        <v>0</v>
      </c>
      <c r="T111" s="165">
        <f>((N111*$P$7)*1000000000)/Surfaces!V82</f>
        <v>0</v>
      </c>
      <c r="U111" s="181">
        <f t="shared" si="75"/>
        <v>0</v>
      </c>
      <c r="V111" s="165">
        <f t="shared" si="76"/>
        <v>0</v>
      </c>
      <c r="W111" s="165">
        <f t="shared" si="69"/>
        <v>0</v>
      </c>
      <c r="X111" s="182">
        <f t="shared" si="70"/>
        <v>0</v>
      </c>
      <c r="Y111" s="110">
        <f t="shared" si="77"/>
        <v>0</v>
      </c>
      <c r="Z111" s="111">
        <f t="shared" si="78"/>
        <v>0</v>
      </c>
    </row>
    <row r="112" spans="2:38" ht="15" thickBot="1" x14ac:dyDescent="0.35">
      <c r="B112" s="10">
        <v>2095</v>
      </c>
      <c r="C112" s="256">
        <v>0</v>
      </c>
      <c r="D112" s="11">
        <v>0</v>
      </c>
      <c r="E112" s="11">
        <v>0</v>
      </c>
      <c r="F112" s="261">
        <v>0</v>
      </c>
      <c r="G112" s="2"/>
      <c r="H112" s="5"/>
      <c r="I112" s="2">
        <v>0</v>
      </c>
      <c r="K112" s="5"/>
      <c r="L112" s="63">
        <f t="shared" si="71"/>
        <v>0</v>
      </c>
      <c r="M112" s="111">
        <f>(E112*'Global-Swiss Carbon Budgets'!$B$50)/(100%-'Global-Swiss Carbon Budgets'!$B$51)</f>
        <v>0</v>
      </c>
      <c r="N112" s="64">
        <f t="shared" si="72"/>
        <v>0</v>
      </c>
      <c r="O112" s="180">
        <f t="shared" si="73"/>
        <v>0</v>
      </c>
      <c r="P112" s="111">
        <f t="shared" si="74"/>
        <v>0</v>
      </c>
      <c r="Q112" s="181">
        <f>(O112*1000000000)/Surfaces!U83</f>
        <v>0</v>
      </c>
      <c r="R112" s="165">
        <f>((N112*$O$7)*1000000000)/Surfaces!U83</f>
        <v>0</v>
      </c>
      <c r="S112" s="165">
        <f>(P112*1000000000)/Surfaces!V83</f>
        <v>0</v>
      </c>
      <c r="T112" s="165">
        <f>((N112*$P$7)*1000000000)/Surfaces!V83</f>
        <v>0</v>
      </c>
      <c r="U112" s="181">
        <f t="shared" si="75"/>
        <v>0</v>
      </c>
      <c r="V112" s="165">
        <f t="shared" si="76"/>
        <v>0</v>
      </c>
      <c r="W112" s="165">
        <f t="shared" si="69"/>
        <v>0</v>
      </c>
      <c r="X112" s="182">
        <f t="shared" si="70"/>
        <v>0</v>
      </c>
      <c r="Y112" s="110">
        <f t="shared" si="77"/>
        <v>0</v>
      </c>
      <c r="Z112" s="111">
        <f t="shared" si="78"/>
        <v>0</v>
      </c>
    </row>
    <row r="113" spans="2:26" ht="15" thickBot="1" x14ac:dyDescent="0.35">
      <c r="B113">
        <v>2096</v>
      </c>
      <c r="C113" s="256">
        <v>0</v>
      </c>
      <c r="D113" s="11">
        <v>0</v>
      </c>
      <c r="E113" s="11">
        <v>0</v>
      </c>
      <c r="F113" s="261">
        <v>0</v>
      </c>
      <c r="G113" s="2"/>
      <c r="H113" s="5"/>
      <c r="I113" s="2">
        <v>0</v>
      </c>
      <c r="K113" s="5"/>
      <c r="L113" s="63">
        <f t="shared" si="71"/>
        <v>0</v>
      </c>
      <c r="M113" s="111">
        <f>(E113*'Global-Swiss Carbon Budgets'!$B$50)/(100%-'Global-Swiss Carbon Budgets'!$B$51)</f>
        <v>0</v>
      </c>
      <c r="N113" s="64">
        <f t="shared" si="72"/>
        <v>0</v>
      </c>
      <c r="O113" s="180">
        <f t="shared" si="73"/>
        <v>0</v>
      </c>
      <c r="P113" s="111">
        <f t="shared" si="74"/>
        <v>0</v>
      </c>
      <c r="Q113" s="181">
        <f>(O113*1000000000)/Surfaces!U84</f>
        <v>0</v>
      </c>
      <c r="R113" s="165">
        <f>((N113*$O$7)*1000000000)/Surfaces!U84</f>
        <v>0</v>
      </c>
      <c r="S113" s="165">
        <f>(P113*1000000000)/Surfaces!V84</f>
        <v>0</v>
      </c>
      <c r="T113" s="165">
        <f>((N113*$P$7)*1000000000)/Surfaces!V84</f>
        <v>0</v>
      </c>
      <c r="U113" s="181">
        <f t="shared" si="75"/>
        <v>0</v>
      </c>
      <c r="V113" s="165">
        <f t="shared" si="76"/>
        <v>0</v>
      </c>
      <c r="W113" s="165">
        <f t="shared" si="69"/>
        <v>0</v>
      </c>
      <c r="X113" s="182">
        <f t="shared" si="70"/>
        <v>0</v>
      </c>
      <c r="Y113" s="110">
        <f t="shared" si="77"/>
        <v>0</v>
      </c>
      <c r="Z113" s="111">
        <f t="shared" si="78"/>
        <v>0</v>
      </c>
    </row>
    <row r="114" spans="2:26" ht="15" thickBot="1" x14ac:dyDescent="0.35">
      <c r="B114">
        <v>2097</v>
      </c>
      <c r="C114" s="256">
        <v>0</v>
      </c>
      <c r="D114" s="11">
        <v>0</v>
      </c>
      <c r="E114" s="11">
        <v>0</v>
      </c>
      <c r="F114" s="261">
        <v>0</v>
      </c>
      <c r="G114" s="2"/>
      <c r="H114" s="5"/>
      <c r="I114" s="2">
        <v>0</v>
      </c>
      <c r="K114" s="5"/>
      <c r="L114" s="63">
        <f t="shared" si="71"/>
        <v>0</v>
      </c>
      <c r="M114" s="111">
        <f>(E114*'Global-Swiss Carbon Budgets'!$B$50)/(100%-'Global-Swiss Carbon Budgets'!$B$51)</f>
        <v>0</v>
      </c>
      <c r="N114" s="64">
        <f t="shared" si="72"/>
        <v>0</v>
      </c>
      <c r="O114" s="180">
        <f t="shared" si="73"/>
        <v>0</v>
      </c>
      <c r="P114" s="111">
        <f t="shared" si="74"/>
        <v>0</v>
      </c>
      <c r="Q114" s="181">
        <f>(O114*1000000000)/Surfaces!U85</f>
        <v>0</v>
      </c>
      <c r="R114" s="165">
        <f>((N114*$O$7)*1000000000)/Surfaces!U85</f>
        <v>0</v>
      </c>
      <c r="S114" s="165">
        <f>(P114*1000000000)/Surfaces!V85</f>
        <v>0</v>
      </c>
      <c r="T114" s="165">
        <f>((N114*$P$7)*1000000000)/Surfaces!V85</f>
        <v>0</v>
      </c>
      <c r="U114" s="181">
        <f t="shared" si="75"/>
        <v>0</v>
      </c>
      <c r="V114" s="165">
        <f t="shared" si="76"/>
        <v>0</v>
      </c>
      <c r="W114" s="165">
        <f t="shared" si="69"/>
        <v>0</v>
      </c>
      <c r="X114" s="182">
        <f t="shared" si="70"/>
        <v>0</v>
      </c>
      <c r="Y114" s="110">
        <f t="shared" si="77"/>
        <v>0</v>
      </c>
      <c r="Z114" s="111">
        <f t="shared" si="78"/>
        <v>0</v>
      </c>
    </row>
    <row r="115" spans="2:26" ht="15" thickBot="1" x14ac:dyDescent="0.35">
      <c r="B115" s="10">
        <v>2098</v>
      </c>
      <c r="C115" s="256">
        <v>0</v>
      </c>
      <c r="D115" s="11">
        <v>0</v>
      </c>
      <c r="E115" s="11">
        <v>0</v>
      </c>
      <c r="F115" s="261">
        <v>0</v>
      </c>
      <c r="G115" s="2"/>
      <c r="H115" s="5"/>
      <c r="I115" s="2">
        <v>0</v>
      </c>
      <c r="K115" s="5"/>
      <c r="L115" s="63">
        <f t="shared" si="71"/>
        <v>0</v>
      </c>
      <c r="M115" s="111">
        <f>(E115*'Global-Swiss Carbon Budgets'!$B$50)/(100%-'Global-Swiss Carbon Budgets'!$B$51)</f>
        <v>0</v>
      </c>
      <c r="N115" s="64">
        <f t="shared" si="72"/>
        <v>0</v>
      </c>
      <c r="O115" s="180">
        <f t="shared" si="73"/>
        <v>0</v>
      </c>
      <c r="P115" s="111">
        <f t="shared" si="74"/>
        <v>0</v>
      </c>
      <c r="Q115" s="181">
        <f>(O115*1000000000)/Surfaces!U86</f>
        <v>0</v>
      </c>
      <c r="R115" s="165">
        <f>((N115*$O$7)*1000000000)/Surfaces!U86</f>
        <v>0</v>
      </c>
      <c r="S115" s="165">
        <f>(P115*1000000000)/Surfaces!V86</f>
        <v>0</v>
      </c>
      <c r="T115" s="165">
        <f>((N115*$P$7)*1000000000)/Surfaces!V86</f>
        <v>0</v>
      </c>
      <c r="U115" s="181">
        <f t="shared" si="75"/>
        <v>0</v>
      </c>
      <c r="V115" s="165">
        <f t="shared" si="76"/>
        <v>0</v>
      </c>
      <c r="W115" s="165">
        <f t="shared" si="69"/>
        <v>0</v>
      </c>
      <c r="X115" s="182">
        <f t="shared" si="70"/>
        <v>0</v>
      </c>
      <c r="Y115" s="110">
        <f t="shared" si="77"/>
        <v>0</v>
      </c>
      <c r="Z115" s="111">
        <f t="shared" si="78"/>
        <v>0</v>
      </c>
    </row>
    <row r="116" spans="2:26" ht="15" thickBot="1" x14ac:dyDescent="0.35">
      <c r="B116">
        <v>2099</v>
      </c>
      <c r="C116" s="256">
        <v>0</v>
      </c>
      <c r="D116" s="11">
        <v>0</v>
      </c>
      <c r="E116" s="11">
        <v>0</v>
      </c>
      <c r="F116" s="261">
        <v>0</v>
      </c>
      <c r="G116" s="2"/>
      <c r="H116" s="5"/>
      <c r="I116" s="2">
        <v>0</v>
      </c>
      <c r="K116" s="5"/>
      <c r="L116" s="63">
        <f t="shared" si="71"/>
        <v>0</v>
      </c>
      <c r="M116" s="111">
        <f>(E116*'Global-Swiss Carbon Budgets'!$B$50)/(100%-'Global-Swiss Carbon Budgets'!$B$51)</f>
        <v>0</v>
      </c>
      <c r="N116" s="64">
        <f t="shared" si="72"/>
        <v>0</v>
      </c>
      <c r="O116" s="180">
        <f t="shared" si="73"/>
        <v>0</v>
      </c>
      <c r="P116" s="111">
        <f t="shared" si="74"/>
        <v>0</v>
      </c>
      <c r="Q116" s="181">
        <f>(O116*1000000000)/Surfaces!U87</f>
        <v>0</v>
      </c>
      <c r="R116" s="165">
        <f>((N116*$O$7)*1000000000)/Surfaces!U87</f>
        <v>0</v>
      </c>
      <c r="S116" s="165">
        <f>(P116*1000000000)/Surfaces!V87</f>
        <v>0</v>
      </c>
      <c r="T116" s="165">
        <f>((N116*$P$7)*1000000000)/Surfaces!V87</f>
        <v>0</v>
      </c>
      <c r="U116" s="181">
        <f t="shared" si="75"/>
        <v>0</v>
      </c>
      <c r="V116" s="165">
        <f t="shared" si="76"/>
        <v>0</v>
      </c>
      <c r="W116" s="165">
        <f t="shared" si="69"/>
        <v>0</v>
      </c>
      <c r="X116" s="182">
        <f t="shared" si="70"/>
        <v>0</v>
      </c>
      <c r="Y116" s="110">
        <f t="shared" si="77"/>
        <v>0</v>
      </c>
      <c r="Z116" s="111">
        <f t="shared" si="78"/>
        <v>0</v>
      </c>
    </row>
    <row r="117" spans="2:26" ht="15" thickBot="1" x14ac:dyDescent="0.35">
      <c r="B117">
        <v>2100</v>
      </c>
      <c r="C117" s="259">
        <v>0</v>
      </c>
      <c r="D117" s="255">
        <v>0</v>
      </c>
      <c r="E117" s="255">
        <v>0</v>
      </c>
      <c r="F117" s="262">
        <v>0</v>
      </c>
      <c r="G117" s="6"/>
      <c r="H117" s="8"/>
      <c r="I117" s="2">
        <v>0</v>
      </c>
      <c r="J117" s="7"/>
      <c r="K117" s="8"/>
      <c r="L117" s="63">
        <f t="shared" si="71"/>
        <v>0</v>
      </c>
      <c r="M117" s="111">
        <f>(E117*'Global-Swiss Carbon Budgets'!$B$50)/(100%-'Global-Swiss Carbon Budgets'!$B$51)</f>
        <v>0</v>
      </c>
      <c r="N117" s="64">
        <f t="shared" si="72"/>
        <v>0</v>
      </c>
      <c r="O117" s="180">
        <f t="shared" si="73"/>
        <v>0</v>
      </c>
      <c r="P117" s="111">
        <f t="shared" si="74"/>
        <v>0</v>
      </c>
      <c r="Q117" s="181">
        <f>(O117*1000000000)/Surfaces!U88</f>
        <v>0</v>
      </c>
      <c r="R117" s="165">
        <f>((N117*$O$7)*1000000000)/Surfaces!U88</f>
        <v>0</v>
      </c>
      <c r="S117" s="165">
        <f>(P117*1000000000)/Surfaces!V88</f>
        <v>0</v>
      </c>
      <c r="T117" s="165">
        <f>((N117*$P$7)*1000000000)/Surfaces!V88</f>
        <v>0</v>
      </c>
      <c r="U117" s="271">
        <f t="shared" si="75"/>
        <v>0</v>
      </c>
      <c r="V117" s="166">
        <f t="shared" si="76"/>
        <v>0</v>
      </c>
      <c r="W117" s="166">
        <f t="shared" si="69"/>
        <v>0</v>
      </c>
      <c r="X117" s="272">
        <f t="shared" si="70"/>
        <v>0</v>
      </c>
      <c r="Y117" s="110">
        <f t="shared" si="77"/>
        <v>0</v>
      </c>
      <c r="Z117" s="111">
        <f t="shared" si="78"/>
        <v>0</v>
      </c>
    </row>
    <row r="118" spans="2:26" x14ac:dyDescent="0.3">
      <c r="B118" s="10">
        <v>2101</v>
      </c>
      <c r="R118">
        <v>0</v>
      </c>
      <c r="S118">
        <v>0</v>
      </c>
      <c r="T118" s="165">
        <v>0</v>
      </c>
    </row>
    <row r="119" spans="2:26" x14ac:dyDescent="0.3">
      <c r="B119">
        <v>2102</v>
      </c>
      <c r="R119">
        <v>0</v>
      </c>
      <c r="S119">
        <v>0</v>
      </c>
      <c r="T119" s="165">
        <v>0</v>
      </c>
    </row>
    <row r="120" spans="2:26" x14ac:dyDescent="0.3">
      <c r="B120">
        <v>2103</v>
      </c>
      <c r="R120">
        <v>0</v>
      </c>
      <c r="S120">
        <v>0</v>
      </c>
      <c r="T120" s="165">
        <v>0</v>
      </c>
    </row>
    <row r="121" spans="2:26" x14ac:dyDescent="0.3">
      <c r="B121" s="10">
        <v>2104</v>
      </c>
      <c r="R121">
        <v>0</v>
      </c>
      <c r="S121">
        <v>0</v>
      </c>
      <c r="T121" s="165">
        <v>0</v>
      </c>
    </row>
    <row r="122" spans="2:26" x14ac:dyDescent="0.3">
      <c r="B122">
        <v>2105</v>
      </c>
      <c r="R122">
        <v>0</v>
      </c>
      <c r="S122">
        <v>0</v>
      </c>
      <c r="T122" s="165">
        <v>0</v>
      </c>
    </row>
    <row r="123" spans="2:26" x14ac:dyDescent="0.3">
      <c r="B123">
        <v>2106</v>
      </c>
      <c r="R123">
        <v>0</v>
      </c>
      <c r="S123">
        <v>0</v>
      </c>
      <c r="T123" s="165">
        <v>0</v>
      </c>
    </row>
    <row r="124" spans="2:26" x14ac:dyDescent="0.3">
      <c r="B124" s="10">
        <v>2107</v>
      </c>
      <c r="R124">
        <v>0</v>
      </c>
      <c r="S124">
        <v>0</v>
      </c>
      <c r="T124" s="165">
        <v>0</v>
      </c>
    </row>
    <row r="125" spans="2:26" x14ac:dyDescent="0.3">
      <c r="B125">
        <v>2108</v>
      </c>
      <c r="R125">
        <v>0</v>
      </c>
      <c r="S125">
        <v>0</v>
      </c>
      <c r="T125" s="165">
        <v>0</v>
      </c>
    </row>
    <row r="126" spans="2:26" x14ac:dyDescent="0.3">
      <c r="B126">
        <v>2109</v>
      </c>
      <c r="R126">
        <v>0</v>
      </c>
      <c r="S126">
        <v>0</v>
      </c>
      <c r="T126" s="165">
        <v>0</v>
      </c>
    </row>
    <row r="127" spans="2:26" x14ac:dyDescent="0.3">
      <c r="B127" s="10">
        <v>2110</v>
      </c>
      <c r="R127">
        <v>0</v>
      </c>
      <c r="S127">
        <v>0</v>
      </c>
      <c r="T127" s="165">
        <v>0</v>
      </c>
    </row>
    <row r="128" spans="2:26" x14ac:dyDescent="0.3">
      <c r="B128">
        <v>2111</v>
      </c>
      <c r="R128">
        <v>0</v>
      </c>
      <c r="S128">
        <v>0</v>
      </c>
      <c r="T128" s="165">
        <v>0</v>
      </c>
    </row>
    <row r="129" spans="2:20" x14ac:dyDescent="0.3">
      <c r="B129">
        <v>2112</v>
      </c>
      <c r="R129">
        <v>0</v>
      </c>
      <c r="S129">
        <v>0</v>
      </c>
      <c r="T129" s="165">
        <v>0</v>
      </c>
    </row>
    <row r="130" spans="2:20" x14ac:dyDescent="0.3">
      <c r="B130" s="10">
        <v>2113</v>
      </c>
      <c r="R130">
        <v>0</v>
      </c>
      <c r="S130">
        <v>0</v>
      </c>
      <c r="T130" s="165">
        <v>0</v>
      </c>
    </row>
    <row r="131" spans="2:20" x14ac:dyDescent="0.3">
      <c r="B131">
        <v>2114</v>
      </c>
      <c r="R131">
        <v>0</v>
      </c>
      <c r="S131">
        <v>0</v>
      </c>
      <c r="T131" s="165">
        <v>0</v>
      </c>
    </row>
    <row r="132" spans="2:20" x14ac:dyDescent="0.3">
      <c r="B132">
        <v>2115</v>
      </c>
      <c r="R132">
        <v>0</v>
      </c>
      <c r="S132">
        <v>0</v>
      </c>
      <c r="T132" s="165">
        <v>0</v>
      </c>
    </row>
    <row r="133" spans="2:20" x14ac:dyDescent="0.3">
      <c r="B133" s="10">
        <v>2116</v>
      </c>
      <c r="R133">
        <v>0</v>
      </c>
      <c r="S133">
        <v>0</v>
      </c>
      <c r="T133" s="165">
        <v>0</v>
      </c>
    </row>
    <row r="134" spans="2:20" x14ac:dyDescent="0.3">
      <c r="B134">
        <v>2117</v>
      </c>
      <c r="R134">
        <v>0</v>
      </c>
      <c r="S134">
        <v>0</v>
      </c>
      <c r="T134" s="165">
        <v>0</v>
      </c>
    </row>
    <row r="135" spans="2:20" x14ac:dyDescent="0.3">
      <c r="B135">
        <v>2118</v>
      </c>
      <c r="R135">
        <v>0</v>
      </c>
      <c r="S135">
        <v>0</v>
      </c>
      <c r="T135" s="165">
        <v>0</v>
      </c>
    </row>
    <row r="136" spans="2:20" x14ac:dyDescent="0.3">
      <c r="B136" s="10">
        <v>2119</v>
      </c>
      <c r="R136">
        <v>0</v>
      </c>
      <c r="S136">
        <v>0</v>
      </c>
      <c r="T136" s="165">
        <v>0</v>
      </c>
    </row>
    <row r="137" spans="2:20" x14ac:dyDescent="0.3">
      <c r="B137">
        <v>2120</v>
      </c>
      <c r="R137">
        <v>0</v>
      </c>
      <c r="S137">
        <v>0</v>
      </c>
      <c r="T137" s="165">
        <v>0</v>
      </c>
    </row>
    <row r="138" spans="2:20" x14ac:dyDescent="0.3">
      <c r="B138">
        <v>2121</v>
      </c>
      <c r="R138">
        <v>0</v>
      </c>
      <c r="S138">
        <v>0</v>
      </c>
      <c r="T138" s="165">
        <v>0</v>
      </c>
    </row>
    <row r="139" spans="2:20" x14ac:dyDescent="0.3">
      <c r="B139" s="10">
        <v>2122</v>
      </c>
      <c r="R139">
        <v>0</v>
      </c>
      <c r="S139">
        <v>0</v>
      </c>
      <c r="T139" s="165">
        <v>0</v>
      </c>
    </row>
    <row r="140" spans="2:20" x14ac:dyDescent="0.3">
      <c r="B140">
        <v>2123</v>
      </c>
      <c r="R140">
        <v>0</v>
      </c>
      <c r="S140">
        <v>0</v>
      </c>
      <c r="T140" s="165">
        <v>0</v>
      </c>
    </row>
    <row r="141" spans="2:20" x14ac:dyDescent="0.3">
      <c r="B141">
        <v>2124</v>
      </c>
      <c r="R141">
        <v>0</v>
      </c>
      <c r="S141">
        <v>0</v>
      </c>
      <c r="T141" s="165">
        <v>0</v>
      </c>
    </row>
    <row r="142" spans="2:20" x14ac:dyDescent="0.3">
      <c r="B142" s="10">
        <v>2125</v>
      </c>
      <c r="R142">
        <v>0</v>
      </c>
      <c r="S142">
        <v>0</v>
      </c>
      <c r="T142" s="165">
        <v>0</v>
      </c>
    </row>
    <row r="143" spans="2:20" x14ac:dyDescent="0.3">
      <c r="B143">
        <v>2126</v>
      </c>
      <c r="R143">
        <v>0</v>
      </c>
      <c r="S143">
        <v>0</v>
      </c>
      <c r="T143" s="165">
        <v>0</v>
      </c>
    </row>
    <row r="144" spans="2:20" x14ac:dyDescent="0.3">
      <c r="B144">
        <v>2127</v>
      </c>
      <c r="R144">
        <v>0</v>
      </c>
      <c r="S144">
        <v>0</v>
      </c>
      <c r="T144" s="165">
        <v>0</v>
      </c>
    </row>
    <row r="145" spans="2:20" x14ac:dyDescent="0.3">
      <c r="B145" s="10">
        <v>2128</v>
      </c>
      <c r="R145">
        <v>0</v>
      </c>
      <c r="S145">
        <v>0</v>
      </c>
      <c r="T145" s="165">
        <v>0</v>
      </c>
    </row>
    <row r="146" spans="2:20" x14ac:dyDescent="0.3">
      <c r="B146">
        <v>2129</v>
      </c>
      <c r="R146">
        <v>0</v>
      </c>
      <c r="S146">
        <v>0</v>
      </c>
      <c r="T146" s="165">
        <v>0</v>
      </c>
    </row>
    <row r="147" spans="2:20" x14ac:dyDescent="0.3">
      <c r="B147">
        <v>2130</v>
      </c>
      <c r="R147">
        <v>0</v>
      </c>
      <c r="S147">
        <v>0</v>
      </c>
      <c r="T147" s="165">
        <v>0</v>
      </c>
    </row>
    <row r="148" spans="2:20" x14ac:dyDescent="0.3">
      <c r="B148" s="10">
        <v>2131</v>
      </c>
      <c r="R148">
        <v>0</v>
      </c>
      <c r="S148">
        <v>0</v>
      </c>
      <c r="T148" s="165">
        <v>0</v>
      </c>
    </row>
    <row r="149" spans="2:20" x14ac:dyDescent="0.3">
      <c r="B149">
        <v>2132</v>
      </c>
      <c r="R149">
        <v>0</v>
      </c>
      <c r="S149">
        <v>0</v>
      </c>
      <c r="T149" s="165">
        <v>0</v>
      </c>
    </row>
    <row r="150" spans="2:20" x14ac:dyDescent="0.3">
      <c r="B150">
        <v>2133</v>
      </c>
      <c r="R150">
        <v>0</v>
      </c>
      <c r="S150">
        <v>0</v>
      </c>
      <c r="T150" s="165">
        <v>0</v>
      </c>
    </row>
    <row r="151" spans="2:20" x14ac:dyDescent="0.3">
      <c r="B151" s="10">
        <v>2134</v>
      </c>
      <c r="R151">
        <v>0</v>
      </c>
      <c r="S151">
        <v>0</v>
      </c>
      <c r="T151" s="165">
        <v>0</v>
      </c>
    </row>
    <row r="152" spans="2:20" x14ac:dyDescent="0.3">
      <c r="B152">
        <v>2135</v>
      </c>
      <c r="R152">
        <v>0</v>
      </c>
      <c r="S152">
        <v>0</v>
      </c>
      <c r="T152" s="165">
        <v>0</v>
      </c>
    </row>
    <row r="153" spans="2:20" x14ac:dyDescent="0.3">
      <c r="B153">
        <v>2136</v>
      </c>
      <c r="R153">
        <v>0</v>
      </c>
      <c r="S153">
        <v>0</v>
      </c>
      <c r="T153" s="165">
        <v>0</v>
      </c>
    </row>
    <row r="154" spans="2:20" x14ac:dyDescent="0.3">
      <c r="B154" s="10">
        <v>2137</v>
      </c>
      <c r="R154">
        <v>0</v>
      </c>
      <c r="S154">
        <v>0</v>
      </c>
      <c r="T154" s="165">
        <v>0</v>
      </c>
    </row>
    <row r="155" spans="2:20" x14ac:dyDescent="0.3">
      <c r="B155">
        <v>2138</v>
      </c>
      <c r="R155">
        <v>0</v>
      </c>
      <c r="S155">
        <v>0</v>
      </c>
      <c r="T155" s="165">
        <v>0</v>
      </c>
    </row>
    <row r="156" spans="2:20" x14ac:dyDescent="0.3">
      <c r="B156">
        <v>2139</v>
      </c>
      <c r="R156">
        <v>0</v>
      </c>
      <c r="S156">
        <v>0</v>
      </c>
      <c r="T156" s="165">
        <v>0</v>
      </c>
    </row>
    <row r="157" spans="2:20" x14ac:dyDescent="0.3">
      <c r="B157" s="10">
        <v>2140</v>
      </c>
      <c r="R157">
        <v>0</v>
      </c>
      <c r="S157">
        <v>0</v>
      </c>
      <c r="T157" s="165">
        <v>0</v>
      </c>
    </row>
    <row r="158" spans="2:20" x14ac:dyDescent="0.3">
      <c r="B158">
        <v>2141</v>
      </c>
      <c r="R158">
        <v>0</v>
      </c>
      <c r="S158">
        <v>0</v>
      </c>
      <c r="T158" s="165">
        <v>0</v>
      </c>
    </row>
    <row r="159" spans="2:20" x14ac:dyDescent="0.3">
      <c r="B159">
        <v>2142</v>
      </c>
      <c r="R159">
        <v>0</v>
      </c>
      <c r="S159">
        <v>0</v>
      </c>
      <c r="T159" s="165">
        <v>0</v>
      </c>
    </row>
    <row r="160" spans="2:20" x14ac:dyDescent="0.3">
      <c r="B160" s="10">
        <v>2143</v>
      </c>
      <c r="R160">
        <v>0</v>
      </c>
      <c r="S160">
        <v>0</v>
      </c>
      <c r="T160" s="165">
        <v>0</v>
      </c>
    </row>
    <row r="161" spans="2:20" x14ac:dyDescent="0.3">
      <c r="B161">
        <v>2144</v>
      </c>
      <c r="R161">
        <v>0</v>
      </c>
      <c r="S161">
        <v>0</v>
      </c>
      <c r="T161" s="165">
        <v>0</v>
      </c>
    </row>
    <row r="162" spans="2:20" x14ac:dyDescent="0.3">
      <c r="B162">
        <v>2145</v>
      </c>
      <c r="R162">
        <v>0</v>
      </c>
      <c r="S162">
        <v>0</v>
      </c>
      <c r="T162" s="165">
        <v>0</v>
      </c>
    </row>
    <row r="163" spans="2:20" x14ac:dyDescent="0.3">
      <c r="B163" s="10">
        <v>2146</v>
      </c>
      <c r="R163">
        <v>0</v>
      </c>
      <c r="S163">
        <v>0</v>
      </c>
      <c r="T163" s="165">
        <v>0</v>
      </c>
    </row>
    <row r="164" spans="2:20" x14ac:dyDescent="0.3">
      <c r="B164">
        <v>2147</v>
      </c>
      <c r="R164">
        <v>0</v>
      </c>
      <c r="S164">
        <v>0</v>
      </c>
      <c r="T164" s="165">
        <v>0</v>
      </c>
    </row>
    <row r="165" spans="2:20" x14ac:dyDescent="0.3">
      <c r="B165">
        <v>2148</v>
      </c>
      <c r="R165">
        <v>0</v>
      </c>
      <c r="S165">
        <v>0</v>
      </c>
      <c r="T165" s="165">
        <v>0</v>
      </c>
    </row>
    <row r="166" spans="2:20" x14ac:dyDescent="0.3">
      <c r="B166" s="10">
        <v>2149</v>
      </c>
      <c r="R166">
        <v>0</v>
      </c>
      <c r="S166">
        <v>0</v>
      </c>
      <c r="T166" s="165">
        <v>0</v>
      </c>
    </row>
    <row r="167" spans="2:20" x14ac:dyDescent="0.3">
      <c r="B167">
        <v>2150</v>
      </c>
      <c r="R167">
        <v>0</v>
      </c>
      <c r="S167">
        <v>0</v>
      </c>
      <c r="T167" s="165">
        <v>0</v>
      </c>
    </row>
    <row r="168" spans="2:20" x14ac:dyDescent="0.3">
      <c r="B168">
        <v>2151</v>
      </c>
      <c r="R168">
        <v>0</v>
      </c>
      <c r="S168">
        <v>0</v>
      </c>
      <c r="T168" s="165">
        <v>0</v>
      </c>
    </row>
    <row r="169" spans="2:20" x14ac:dyDescent="0.3">
      <c r="B169" s="10">
        <v>2152</v>
      </c>
      <c r="R169">
        <v>0</v>
      </c>
      <c r="S169">
        <v>0</v>
      </c>
      <c r="T169" s="165">
        <v>0</v>
      </c>
    </row>
    <row r="170" spans="2:20" x14ac:dyDescent="0.3">
      <c r="B170">
        <v>2153</v>
      </c>
      <c r="R170">
        <v>0</v>
      </c>
      <c r="S170">
        <v>0</v>
      </c>
      <c r="T170" s="165">
        <v>0</v>
      </c>
    </row>
    <row r="171" spans="2:20" x14ac:dyDescent="0.3">
      <c r="B171">
        <v>2154</v>
      </c>
      <c r="R171">
        <v>0</v>
      </c>
      <c r="S171">
        <v>0</v>
      </c>
      <c r="T171" s="165">
        <v>0</v>
      </c>
    </row>
    <row r="172" spans="2:20" x14ac:dyDescent="0.3">
      <c r="B172" s="10">
        <v>2155</v>
      </c>
      <c r="R172">
        <v>0</v>
      </c>
      <c r="S172">
        <v>0</v>
      </c>
      <c r="T172" s="165">
        <v>0</v>
      </c>
    </row>
    <row r="173" spans="2:20" x14ac:dyDescent="0.3">
      <c r="B173">
        <v>2156</v>
      </c>
      <c r="R173">
        <v>0</v>
      </c>
      <c r="S173">
        <v>0</v>
      </c>
      <c r="T173" s="165">
        <v>0</v>
      </c>
    </row>
    <row r="174" spans="2:20" x14ac:dyDescent="0.3">
      <c r="B174">
        <v>2157</v>
      </c>
      <c r="R174">
        <v>0</v>
      </c>
      <c r="S174">
        <v>0</v>
      </c>
      <c r="T174" s="165">
        <v>0</v>
      </c>
    </row>
    <row r="175" spans="2:20" x14ac:dyDescent="0.3">
      <c r="B175" s="10">
        <v>2158</v>
      </c>
      <c r="R175">
        <v>0</v>
      </c>
      <c r="S175">
        <v>0</v>
      </c>
      <c r="T175" s="165">
        <v>0</v>
      </c>
    </row>
    <row r="176" spans="2:20" x14ac:dyDescent="0.3">
      <c r="B176">
        <v>2159</v>
      </c>
      <c r="R176">
        <v>0</v>
      </c>
      <c r="S176">
        <v>0</v>
      </c>
      <c r="T176" s="165">
        <v>0</v>
      </c>
    </row>
    <row r="177" spans="2:20" x14ac:dyDescent="0.3">
      <c r="B177">
        <v>2160</v>
      </c>
      <c r="R177">
        <v>0</v>
      </c>
      <c r="S177">
        <v>0</v>
      </c>
      <c r="T177" s="165">
        <v>0</v>
      </c>
    </row>
    <row r="178" spans="2:20" x14ac:dyDescent="0.3">
      <c r="B178" s="10">
        <v>2161</v>
      </c>
      <c r="R178">
        <v>0</v>
      </c>
      <c r="S178">
        <v>0</v>
      </c>
      <c r="T178" s="165">
        <v>0</v>
      </c>
    </row>
    <row r="179" spans="2:20" x14ac:dyDescent="0.3">
      <c r="B179">
        <v>2162</v>
      </c>
      <c r="R179">
        <v>0</v>
      </c>
      <c r="S179">
        <v>0</v>
      </c>
      <c r="T179" s="165">
        <v>0</v>
      </c>
    </row>
    <row r="180" spans="2:20" x14ac:dyDescent="0.3">
      <c r="B180">
        <v>2163</v>
      </c>
      <c r="R180">
        <v>0</v>
      </c>
      <c r="S180">
        <v>0</v>
      </c>
      <c r="T180" s="165">
        <v>0</v>
      </c>
    </row>
    <row r="181" spans="2:20" x14ac:dyDescent="0.3">
      <c r="B181" s="10">
        <v>2164</v>
      </c>
      <c r="R181">
        <v>0</v>
      </c>
      <c r="S181">
        <v>0</v>
      </c>
      <c r="T181" s="165">
        <v>0</v>
      </c>
    </row>
    <row r="182" spans="2:20" x14ac:dyDescent="0.3">
      <c r="B182">
        <v>2165</v>
      </c>
      <c r="R182">
        <v>0</v>
      </c>
      <c r="S182">
        <v>0</v>
      </c>
      <c r="T182" s="165">
        <v>0</v>
      </c>
    </row>
    <row r="183" spans="2:20" x14ac:dyDescent="0.3">
      <c r="B183">
        <v>2166</v>
      </c>
      <c r="R183">
        <v>0</v>
      </c>
      <c r="S183">
        <v>0</v>
      </c>
      <c r="T183" s="165">
        <v>0</v>
      </c>
    </row>
    <row r="184" spans="2:20" x14ac:dyDescent="0.3">
      <c r="B184" s="10">
        <v>2167</v>
      </c>
      <c r="R184">
        <v>0</v>
      </c>
      <c r="S184">
        <v>0</v>
      </c>
      <c r="T184" s="165">
        <v>0</v>
      </c>
    </row>
    <row r="185" spans="2:20" x14ac:dyDescent="0.3">
      <c r="B185">
        <v>2168</v>
      </c>
      <c r="R185">
        <v>0</v>
      </c>
      <c r="S185">
        <v>0</v>
      </c>
      <c r="T185" s="165">
        <v>0</v>
      </c>
    </row>
    <row r="186" spans="2:20" x14ac:dyDescent="0.3">
      <c r="B186">
        <v>2169</v>
      </c>
      <c r="R186">
        <v>0</v>
      </c>
      <c r="S186">
        <v>0</v>
      </c>
      <c r="T186" s="165">
        <v>0</v>
      </c>
    </row>
    <row r="187" spans="2:20" x14ac:dyDescent="0.3">
      <c r="B187" s="10">
        <v>2170</v>
      </c>
      <c r="R187">
        <v>0</v>
      </c>
      <c r="S187">
        <v>0</v>
      </c>
      <c r="T187" s="165">
        <v>0</v>
      </c>
    </row>
    <row r="188" spans="2:20" x14ac:dyDescent="0.3">
      <c r="B188">
        <v>2171</v>
      </c>
      <c r="R188">
        <v>0</v>
      </c>
      <c r="S188">
        <v>0</v>
      </c>
      <c r="T188" s="165">
        <v>0</v>
      </c>
    </row>
    <row r="189" spans="2:20" x14ac:dyDescent="0.3">
      <c r="B189">
        <v>2172</v>
      </c>
      <c r="R189">
        <v>0</v>
      </c>
      <c r="S189">
        <v>0</v>
      </c>
      <c r="T189" s="165">
        <v>0</v>
      </c>
    </row>
    <row r="190" spans="2:20" x14ac:dyDescent="0.3">
      <c r="B190" s="10">
        <v>2173</v>
      </c>
      <c r="R190">
        <v>0</v>
      </c>
      <c r="S190">
        <v>0</v>
      </c>
      <c r="T190" s="165">
        <v>0</v>
      </c>
    </row>
    <row r="191" spans="2:20" x14ac:dyDescent="0.3">
      <c r="B191">
        <v>2174</v>
      </c>
      <c r="R191">
        <v>0</v>
      </c>
      <c r="S191">
        <v>0</v>
      </c>
      <c r="T191" s="165">
        <v>0</v>
      </c>
    </row>
    <row r="192" spans="2:20" x14ac:dyDescent="0.3">
      <c r="B192">
        <v>2175</v>
      </c>
      <c r="R192">
        <v>0</v>
      </c>
      <c r="S192">
        <v>0</v>
      </c>
      <c r="T192" s="165">
        <v>0</v>
      </c>
    </row>
    <row r="193" spans="2:20" x14ac:dyDescent="0.3">
      <c r="B193" s="10">
        <v>2176</v>
      </c>
      <c r="R193">
        <v>0</v>
      </c>
      <c r="S193">
        <v>0</v>
      </c>
      <c r="T193" s="165">
        <v>0</v>
      </c>
    </row>
    <row r="194" spans="2:20" x14ac:dyDescent="0.3">
      <c r="B194">
        <v>2177</v>
      </c>
      <c r="R194">
        <v>0</v>
      </c>
      <c r="S194">
        <v>0</v>
      </c>
      <c r="T194" s="165">
        <v>0</v>
      </c>
    </row>
    <row r="195" spans="2:20" x14ac:dyDescent="0.3">
      <c r="B195">
        <v>2178</v>
      </c>
      <c r="R195">
        <v>0</v>
      </c>
      <c r="S195">
        <v>0</v>
      </c>
      <c r="T195" s="165">
        <v>0</v>
      </c>
    </row>
    <row r="196" spans="2:20" x14ac:dyDescent="0.3">
      <c r="B196" s="10">
        <v>2179</v>
      </c>
      <c r="R196">
        <v>0</v>
      </c>
      <c r="S196">
        <v>0</v>
      </c>
      <c r="T196" s="165">
        <v>0</v>
      </c>
    </row>
    <row r="197" spans="2:20" x14ac:dyDescent="0.3">
      <c r="B197">
        <v>2180</v>
      </c>
      <c r="R197">
        <v>0</v>
      </c>
      <c r="S197">
        <v>0</v>
      </c>
      <c r="T197" s="165">
        <v>0</v>
      </c>
    </row>
    <row r="198" spans="2:20" x14ac:dyDescent="0.3">
      <c r="B198">
        <v>2181</v>
      </c>
      <c r="R198">
        <v>0</v>
      </c>
      <c r="S198">
        <v>0</v>
      </c>
      <c r="T198" s="165">
        <v>0</v>
      </c>
    </row>
    <row r="199" spans="2:20" x14ac:dyDescent="0.3">
      <c r="B199" s="10">
        <v>2182</v>
      </c>
      <c r="R199">
        <v>0</v>
      </c>
      <c r="S199">
        <v>0</v>
      </c>
      <c r="T199" s="165">
        <v>0</v>
      </c>
    </row>
    <row r="200" spans="2:20" x14ac:dyDescent="0.3">
      <c r="B200">
        <v>2183</v>
      </c>
      <c r="R200">
        <v>0</v>
      </c>
      <c r="S200">
        <v>0</v>
      </c>
      <c r="T200" s="165">
        <v>0</v>
      </c>
    </row>
    <row r="201" spans="2:20" x14ac:dyDescent="0.3">
      <c r="B201">
        <v>2184</v>
      </c>
      <c r="R201">
        <v>0</v>
      </c>
      <c r="S201">
        <v>0</v>
      </c>
      <c r="T201" s="165">
        <v>0</v>
      </c>
    </row>
    <row r="202" spans="2:20" x14ac:dyDescent="0.3">
      <c r="B202" s="10">
        <v>2185</v>
      </c>
      <c r="R202">
        <v>0</v>
      </c>
      <c r="S202">
        <v>0</v>
      </c>
      <c r="T202" s="165">
        <v>0</v>
      </c>
    </row>
    <row r="203" spans="2:20" x14ac:dyDescent="0.3">
      <c r="B203">
        <v>2186</v>
      </c>
      <c r="R203">
        <v>0</v>
      </c>
      <c r="S203">
        <v>0</v>
      </c>
      <c r="T203" s="165">
        <v>0</v>
      </c>
    </row>
    <row r="204" spans="2:20" x14ac:dyDescent="0.3">
      <c r="B204">
        <v>2187</v>
      </c>
      <c r="R204">
        <v>0</v>
      </c>
      <c r="S204">
        <v>0</v>
      </c>
      <c r="T204" s="165">
        <v>0</v>
      </c>
    </row>
    <row r="205" spans="2:20" x14ac:dyDescent="0.3">
      <c r="B205" s="10">
        <v>2188</v>
      </c>
      <c r="R205">
        <v>0</v>
      </c>
      <c r="S205">
        <v>0</v>
      </c>
      <c r="T205" s="165">
        <v>0</v>
      </c>
    </row>
    <row r="206" spans="2:20" x14ac:dyDescent="0.3">
      <c r="B206">
        <v>2189</v>
      </c>
      <c r="R206">
        <v>0</v>
      </c>
      <c r="S206">
        <v>0</v>
      </c>
      <c r="T206" s="165">
        <v>0</v>
      </c>
    </row>
    <row r="207" spans="2:20" x14ac:dyDescent="0.3">
      <c r="B207">
        <v>2190</v>
      </c>
      <c r="R207">
        <v>0</v>
      </c>
      <c r="S207">
        <v>0</v>
      </c>
      <c r="T207" s="165">
        <v>0</v>
      </c>
    </row>
    <row r="208" spans="2:20" x14ac:dyDescent="0.3">
      <c r="B208" s="10">
        <v>2191</v>
      </c>
      <c r="R208">
        <v>0</v>
      </c>
      <c r="S208">
        <v>0</v>
      </c>
      <c r="T208" s="165">
        <v>0</v>
      </c>
    </row>
    <row r="209" spans="2:20" x14ac:dyDescent="0.3">
      <c r="B209">
        <v>2192</v>
      </c>
      <c r="R209">
        <v>0</v>
      </c>
      <c r="S209">
        <v>0</v>
      </c>
      <c r="T209" s="165">
        <v>0</v>
      </c>
    </row>
    <row r="210" spans="2:20" x14ac:dyDescent="0.3">
      <c r="B210">
        <v>2193</v>
      </c>
      <c r="R210">
        <v>0</v>
      </c>
      <c r="S210">
        <v>0</v>
      </c>
      <c r="T210" s="165">
        <v>0</v>
      </c>
    </row>
    <row r="211" spans="2:20" x14ac:dyDescent="0.3">
      <c r="B211" s="10">
        <v>2194</v>
      </c>
      <c r="R211">
        <v>0</v>
      </c>
      <c r="S211">
        <v>0</v>
      </c>
      <c r="T211" s="165">
        <v>0</v>
      </c>
    </row>
    <row r="212" spans="2:20" x14ac:dyDescent="0.3">
      <c r="B212">
        <v>2195</v>
      </c>
      <c r="R212">
        <v>0</v>
      </c>
      <c r="S212">
        <v>0</v>
      </c>
      <c r="T212" s="165">
        <v>0</v>
      </c>
    </row>
    <row r="213" spans="2:20" x14ac:dyDescent="0.3">
      <c r="B213">
        <v>2196</v>
      </c>
      <c r="R213">
        <v>0</v>
      </c>
      <c r="S213">
        <v>0</v>
      </c>
      <c r="T213" s="165">
        <v>0</v>
      </c>
    </row>
    <row r="214" spans="2:20" x14ac:dyDescent="0.3">
      <c r="B214" s="10">
        <v>2197</v>
      </c>
      <c r="R214">
        <v>0</v>
      </c>
      <c r="S214">
        <v>0</v>
      </c>
      <c r="T214" s="165">
        <v>0</v>
      </c>
    </row>
    <row r="215" spans="2:20" x14ac:dyDescent="0.3">
      <c r="B215">
        <v>2198</v>
      </c>
      <c r="R215">
        <v>0</v>
      </c>
      <c r="S215">
        <v>0</v>
      </c>
      <c r="T215" s="165">
        <v>0</v>
      </c>
    </row>
    <row r="216" spans="2:20" x14ac:dyDescent="0.3">
      <c r="B216">
        <v>2199</v>
      </c>
      <c r="R216">
        <v>0</v>
      </c>
      <c r="S216">
        <v>0</v>
      </c>
      <c r="T216" s="165">
        <v>0</v>
      </c>
    </row>
    <row r="217" spans="2:20" x14ac:dyDescent="0.3">
      <c r="B217" s="10">
        <v>2200</v>
      </c>
      <c r="R217">
        <v>0</v>
      </c>
      <c r="S217">
        <v>0</v>
      </c>
      <c r="T217" s="165">
        <v>0</v>
      </c>
    </row>
    <row r="218" spans="2:20" x14ac:dyDescent="0.3">
      <c r="B218">
        <v>2201</v>
      </c>
      <c r="R218">
        <v>0</v>
      </c>
      <c r="S218">
        <v>0</v>
      </c>
      <c r="T218" s="165">
        <v>0</v>
      </c>
    </row>
    <row r="219" spans="2:20" x14ac:dyDescent="0.3">
      <c r="B219">
        <v>2202</v>
      </c>
      <c r="R219">
        <v>0</v>
      </c>
      <c r="S219">
        <v>0</v>
      </c>
      <c r="T219" s="165">
        <v>0</v>
      </c>
    </row>
    <row r="220" spans="2:20" x14ac:dyDescent="0.3">
      <c r="B220" s="10">
        <v>2203</v>
      </c>
      <c r="R220">
        <v>0</v>
      </c>
      <c r="S220">
        <v>0</v>
      </c>
      <c r="T220" s="165">
        <v>0</v>
      </c>
    </row>
    <row r="221" spans="2:20" x14ac:dyDescent="0.3">
      <c r="B221">
        <v>2204</v>
      </c>
      <c r="R221">
        <v>0</v>
      </c>
      <c r="S221">
        <v>0</v>
      </c>
      <c r="T221" s="165">
        <v>0</v>
      </c>
    </row>
    <row r="222" spans="2:20" x14ac:dyDescent="0.3">
      <c r="B222">
        <v>2205</v>
      </c>
      <c r="R222">
        <v>0</v>
      </c>
      <c r="S222">
        <v>0</v>
      </c>
      <c r="T222" s="165">
        <v>0</v>
      </c>
    </row>
    <row r="223" spans="2:20" x14ac:dyDescent="0.3">
      <c r="B223" s="10">
        <v>2206</v>
      </c>
      <c r="R223">
        <v>0</v>
      </c>
      <c r="S223">
        <v>0</v>
      </c>
      <c r="T223" s="165">
        <v>0</v>
      </c>
    </row>
    <row r="224" spans="2:20" x14ac:dyDescent="0.3">
      <c r="B224">
        <v>2207</v>
      </c>
      <c r="R224">
        <v>0</v>
      </c>
      <c r="S224">
        <v>0</v>
      </c>
      <c r="T224" s="165">
        <v>0</v>
      </c>
    </row>
    <row r="225" spans="2:20" x14ac:dyDescent="0.3">
      <c r="B225">
        <v>2208</v>
      </c>
      <c r="R225">
        <v>0</v>
      </c>
      <c r="S225">
        <v>0</v>
      </c>
      <c r="T225" s="165">
        <v>0</v>
      </c>
    </row>
    <row r="226" spans="2:20" x14ac:dyDescent="0.3">
      <c r="B226" s="10">
        <v>2209</v>
      </c>
      <c r="R226">
        <v>0</v>
      </c>
      <c r="S226">
        <v>0</v>
      </c>
      <c r="T226" s="165">
        <v>0</v>
      </c>
    </row>
    <row r="227" spans="2:20" x14ac:dyDescent="0.3">
      <c r="B227">
        <v>2210</v>
      </c>
      <c r="R227">
        <v>0</v>
      </c>
      <c r="S227">
        <v>0</v>
      </c>
      <c r="T227" s="165">
        <v>0</v>
      </c>
    </row>
    <row r="228" spans="2:20" x14ac:dyDescent="0.3">
      <c r="B228">
        <v>2211</v>
      </c>
      <c r="R228">
        <v>0</v>
      </c>
      <c r="S228">
        <v>0</v>
      </c>
      <c r="T228" s="165">
        <v>0</v>
      </c>
    </row>
    <row r="229" spans="2:20" x14ac:dyDescent="0.3">
      <c r="B229" s="10">
        <v>2212</v>
      </c>
      <c r="R229">
        <v>0</v>
      </c>
      <c r="S229">
        <v>0</v>
      </c>
      <c r="T229" s="165">
        <v>0</v>
      </c>
    </row>
    <row r="230" spans="2:20" x14ac:dyDescent="0.3">
      <c r="B230">
        <v>2213</v>
      </c>
      <c r="R230">
        <v>0</v>
      </c>
      <c r="S230">
        <v>0</v>
      </c>
      <c r="T230" s="165">
        <v>0</v>
      </c>
    </row>
    <row r="231" spans="2:20" x14ac:dyDescent="0.3">
      <c r="B231">
        <v>2214</v>
      </c>
      <c r="R231">
        <v>0</v>
      </c>
      <c r="S231">
        <v>0</v>
      </c>
      <c r="T231" s="165">
        <v>0</v>
      </c>
    </row>
    <row r="232" spans="2:20" x14ac:dyDescent="0.3">
      <c r="B232" s="10">
        <v>2215</v>
      </c>
      <c r="R232">
        <v>0</v>
      </c>
      <c r="S232">
        <v>0</v>
      </c>
      <c r="T232" s="165">
        <v>0</v>
      </c>
    </row>
    <row r="233" spans="2:20" x14ac:dyDescent="0.3">
      <c r="B233">
        <v>2216</v>
      </c>
      <c r="R233">
        <v>0</v>
      </c>
      <c r="S233">
        <v>0</v>
      </c>
      <c r="T233" s="165">
        <v>0</v>
      </c>
    </row>
    <row r="234" spans="2:20" x14ac:dyDescent="0.3">
      <c r="B234">
        <v>2217</v>
      </c>
      <c r="R234">
        <v>0</v>
      </c>
      <c r="S234">
        <v>0</v>
      </c>
      <c r="T234" s="165">
        <v>0</v>
      </c>
    </row>
    <row r="235" spans="2:20" x14ac:dyDescent="0.3">
      <c r="B235" s="10">
        <v>2218</v>
      </c>
      <c r="R235">
        <v>0</v>
      </c>
      <c r="S235">
        <v>0</v>
      </c>
      <c r="T235" s="165">
        <v>0</v>
      </c>
    </row>
    <row r="236" spans="2:20" x14ac:dyDescent="0.3">
      <c r="B236">
        <v>2219</v>
      </c>
      <c r="R236">
        <v>0</v>
      </c>
      <c r="S236">
        <v>0</v>
      </c>
      <c r="T236" s="165">
        <v>0</v>
      </c>
    </row>
    <row r="237" spans="2:20" x14ac:dyDescent="0.3">
      <c r="B237">
        <v>2220</v>
      </c>
      <c r="R237">
        <v>0</v>
      </c>
      <c r="S237">
        <v>0</v>
      </c>
      <c r="T237" s="165">
        <v>0</v>
      </c>
    </row>
    <row r="238" spans="2:20" x14ac:dyDescent="0.3">
      <c r="B238" s="10">
        <v>2221</v>
      </c>
      <c r="R238">
        <v>0</v>
      </c>
      <c r="S238">
        <v>0</v>
      </c>
      <c r="T238" s="165">
        <v>0</v>
      </c>
    </row>
    <row r="239" spans="2:20" x14ac:dyDescent="0.3">
      <c r="B239">
        <v>2222</v>
      </c>
      <c r="R239">
        <v>0</v>
      </c>
      <c r="S239">
        <v>0</v>
      </c>
      <c r="T239" s="165">
        <v>0</v>
      </c>
    </row>
    <row r="240" spans="2:20" x14ac:dyDescent="0.3">
      <c r="B240">
        <v>2223</v>
      </c>
      <c r="R240">
        <v>0</v>
      </c>
      <c r="S240">
        <v>0</v>
      </c>
      <c r="T240" s="165">
        <v>0</v>
      </c>
    </row>
    <row r="241" spans="2:20" x14ac:dyDescent="0.3">
      <c r="B241" s="10">
        <v>2224</v>
      </c>
      <c r="R241">
        <v>0</v>
      </c>
      <c r="S241">
        <v>0</v>
      </c>
      <c r="T241" s="165">
        <v>0</v>
      </c>
    </row>
    <row r="242" spans="2:20" x14ac:dyDescent="0.3">
      <c r="B242">
        <v>2225</v>
      </c>
      <c r="R242">
        <v>0</v>
      </c>
      <c r="S242">
        <v>0</v>
      </c>
      <c r="T242" s="165">
        <v>0</v>
      </c>
    </row>
    <row r="243" spans="2:20" x14ac:dyDescent="0.3">
      <c r="B243">
        <v>2226</v>
      </c>
      <c r="R243">
        <v>0</v>
      </c>
      <c r="S243">
        <v>0</v>
      </c>
      <c r="T243" s="165">
        <v>0</v>
      </c>
    </row>
    <row r="244" spans="2:20" x14ac:dyDescent="0.3">
      <c r="B244" s="10">
        <v>2227</v>
      </c>
      <c r="R244">
        <v>0</v>
      </c>
      <c r="S244">
        <v>0</v>
      </c>
      <c r="T244" s="165">
        <v>0</v>
      </c>
    </row>
    <row r="245" spans="2:20" x14ac:dyDescent="0.3">
      <c r="B245">
        <v>2228</v>
      </c>
      <c r="R245">
        <v>0</v>
      </c>
      <c r="S245">
        <v>0</v>
      </c>
      <c r="T245" s="165">
        <v>0</v>
      </c>
    </row>
    <row r="246" spans="2:20" x14ac:dyDescent="0.3">
      <c r="B246">
        <v>2229</v>
      </c>
      <c r="R246">
        <v>0</v>
      </c>
      <c r="S246">
        <v>0</v>
      </c>
      <c r="T246" s="165">
        <v>0</v>
      </c>
    </row>
    <row r="247" spans="2:20" x14ac:dyDescent="0.3">
      <c r="B247" s="10">
        <v>2230</v>
      </c>
      <c r="R247">
        <v>0</v>
      </c>
      <c r="S247">
        <v>0</v>
      </c>
      <c r="T247" s="165">
        <v>0</v>
      </c>
    </row>
    <row r="248" spans="2:20" x14ac:dyDescent="0.3">
      <c r="B248">
        <v>2231</v>
      </c>
      <c r="R248">
        <v>0</v>
      </c>
      <c r="S248">
        <v>0</v>
      </c>
      <c r="T248" s="165">
        <v>0</v>
      </c>
    </row>
    <row r="249" spans="2:20" x14ac:dyDescent="0.3">
      <c r="B249">
        <v>2232</v>
      </c>
      <c r="R249">
        <v>0</v>
      </c>
      <c r="S249">
        <v>0</v>
      </c>
      <c r="T249" s="165">
        <v>0</v>
      </c>
    </row>
    <row r="250" spans="2:20" x14ac:dyDescent="0.3">
      <c r="B250" s="10">
        <v>2233</v>
      </c>
      <c r="R250">
        <v>0</v>
      </c>
      <c r="S250">
        <v>0</v>
      </c>
      <c r="T250" s="165">
        <v>0</v>
      </c>
    </row>
    <row r="251" spans="2:20" x14ac:dyDescent="0.3">
      <c r="B251">
        <v>2234</v>
      </c>
      <c r="R251">
        <v>0</v>
      </c>
      <c r="S251">
        <v>0</v>
      </c>
      <c r="T251" s="165">
        <v>0</v>
      </c>
    </row>
    <row r="252" spans="2:20" x14ac:dyDescent="0.3">
      <c r="B252">
        <v>2235</v>
      </c>
      <c r="R252">
        <v>0</v>
      </c>
      <c r="S252">
        <v>0</v>
      </c>
      <c r="T252" s="165">
        <v>0</v>
      </c>
    </row>
    <row r="253" spans="2:20" x14ac:dyDescent="0.3">
      <c r="B253" s="10">
        <v>2236</v>
      </c>
      <c r="R253">
        <v>0</v>
      </c>
      <c r="S253">
        <v>0</v>
      </c>
      <c r="T253" s="165">
        <v>0</v>
      </c>
    </row>
    <row r="254" spans="2:20" x14ac:dyDescent="0.3">
      <c r="B254">
        <v>2237</v>
      </c>
      <c r="R254">
        <v>0</v>
      </c>
      <c r="S254">
        <v>0</v>
      </c>
      <c r="T254" s="165">
        <v>0</v>
      </c>
    </row>
    <row r="255" spans="2:20" x14ac:dyDescent="0.3">
      <c r="B255">
        <v>2238</v>
      </c>
      <c r="R255">
        <v>0</v>
      </c>
      <c r="S255">
        <v>0</v>
      </c>
      <c r="T255" s="165">
        <v>0</v>
      </c>
    </row>
    <row r="256" spans="2:20" x14ac:dyDescent="0.3">
      <c r="B256" s="10">
        <v>2239</v>
      </c>
      <c r="R256">
        <v>0</v>
      </c>
      <c r="S256">
        <v>0</v>
      </c>
      <c r="T256" s="165">
        <v>0</v>
      </c>
    </row>
    <row r="257" spans="2:20" x14ac:dyDescent="0.3">
      <c r="B257">
        <v>2240</v>
      </c>
      <c r="R257">
        <v>0</v>
      </c>
      <c r="S257">
        <v>0</v>
      </c>
      <c r="T257" s="165">
        <v>0</v>
      </c>
    </row>
    <row r="258" spans="2:20" x14ac:dyDescent="0.3">
      <c r="B258">
        <v>2241</v>
      </c>
      <c r="R258">
        <v>0</v>
      </c>
      <c r="S258">
        <v>0</v>
      </c>
      <c r="T258" s="165">
        <v>0</v>
      </c>
    </row>
    <row r="259" spans="2:20" x14ac:dyDescent="0.3">
      <c r="B259" s="10">
        <v>2242</v>
      </c>
      <c r="R259">
        <v>0</v>
      </c>
      <c r="S259">
        <v>0</v>
      </c>
      <c r="T259" s="165">
        <v>0</v>
      </c>
    </row>
    <row r="260" spans="2:20" x14ac:dyDescent="0.3">
      <c r="B260">
        <v>2243</v>
      </c>
      <c r="R260">
        <v>0</v>
      </c>
      <c r="S260">
        <v>0</v>
      </c>
      <c r="T260" s="165">
        <v>0</v>
      </c>
    </row>
    <row r="261" spans="2:20" x14ac:dyDescent="0.3">
      <c r="B261">
        <v>2244</v>
      </c>
      <c r="R261">
        <v>0</v>
      </c>
      <c r="S261">
        <v>0</v>
      </c>
      <c r="T261" s="165">
        <v>0</v>
      </c>
    </row>
    <row r="262" spans="2:20" x14ac:dyDescent="0.3">
      <c r="B262" s="10">
        <v>2245</v>
      </c>
      <c r="R262">
        <v>0</v>
      </c>
      <c r="S262">
        <v>0</v>
      </c>
      <c r="T262" s="165">
        <v>0</v>
      </c>
    </row>
    <row r="263" spans="2:20" x14ac:dyDescent="0.3">
      <c r="B263">
        <v>2246</v>
      </c>
      <c r="R263">
        <v>0</v>
      </c>
      <c r="S263">
        <v>0</v>
      </c>
      <c r="T263" s="165">
        <v>0</v>
      </c>
    </row>
    <row r="264" spans="2:20" x14ac:dyDescent="0.3">
      <c r="B264">
        <v>2247</v>
      </c>
      <c r="R264">
        <v>0</v>
      </c>
      <c r="S264">
        <v>0</v>
      </c>
      <c r="T264" s="165">
        <v>0</v>
      </c>
    </row>
    <row r="265" spans="2:20" x14ac:dyDescent="0.3">
      <c r="B265" s="10">
        <v>2248</v>
      </c>
      <c r="R265">
        <v>0</v>
      </c>
      <c r="S265">
        <v>0</v>
      </c>
      <c r="T265" s="165">
        <v>0</v>
      </c>
    </row>
    <row r="266" spans="2:20" x14ac:dyDescent="0.3">
      <c r="B266">
        <v>2249</v>
      </c>
      <c r="R266">
        <v>0</v>
      </c>
      <c r="S266">
        <v>0</v>
      </c>
      <c r="T266" s="165">
        <v>0</v>
      </c>
    </row>
    <row r="267" spans="2:20" x14ac:dyDescent="0.3">
      <c r="B267">
        <v>2250</v>
      </c>
      <c r="R267">
        <v>0</v>
      </c>
      <c r="S267">
        <v>0</v>
      </c>
      <c r="T267" s="165">
        <v>0</v>
      </c>
    </row>
    <row r="268" spans="2:20" x14ac:dyDescent="0.3">
      <c r="B268" s="10">
        <v>2251</v>
      </c>
      <c r="R268">
        <v>0</v>
      </c>
      <c r="S268">
        <v>0</v>
      </c>
      <c r="T268" s="165">
        <v>0</v>
      </c>
    </row>
    <row r="269" spans="2:20" x14ac:dyDescent="0.3">
      <c r="B269">
        <v>2252</v>
      </c>
      <c r="R269">
        <v>0</v>
      </c>
      <c r="S269">
        <v>0</v>
      </c>
      <c r="T269" s="165">
        <v>0</v>
      </c>
    </row>
    <row r="270" spans="2:20" x14ac:dyDescent="0.3">
      <c r="B270">
        <v>2253</v>
      </c>
      <c r="R270">
        <v>0</v>
      </c>
      <c r="S270">
        <v>0</v>
      </c>
      <c r="T270" s="165">
        <v>0</v>
      </c>
    </row>
    <row r="271" spans="2:20" x14ac:dyDescent="0.3">
      <c r="B271" s="10">
        <v>2254</v>
      </c>
      <c r="R271">
        <v>0</v>
      </c>
      <c r="S271">
        <v>0</v>
      </c>
      <c r="T271" s="165">
        <v>0</v>
      </c>
    </row>
    <row r="272" spans="2:20" x14ac:dyDescent="0.3">
      <c r="B272">
        <v>2255</v>
      </c>
      <c r="R272">
        <v>0</v>
      </c>
      <c r="S272">
        <v>0</v>
      </c>
      <c r="T272" s="165">
        <v>0</v>
      </c>
    </row>
    <row r="273" spans="2:20" x14ac:dyDescent="0.3">
      <c r="B273">
        <v>2256</v>
      </c>
      <c r="R273">
        <v>0</v>
      </c>
      <c r="S273">
        <v>0</v>
      </c>
      <c r="T273" s="165">
        <v>0</v>
      </c>
    </row>
    <row r="274" spans="2:20" x14ac:dyDescent="0.3">
      <c r="B274" s="10">
        <v>2257</v>
      </c>
      <c r="R274">
        <v>0</v>
      </c>
      <c r="S274">
        <v>0</v>
      </c>
      <c r="T274" s="165">
        <v>0</v>
      </c>
    </row>
    <row r="275" spans="2:20" x14ac:dyDescent="0.3">
      <c r="B275">
        <v>2258</v>
      </c>
      <c r="R275">
        <v>0</v>
      </c>
      <c r="S275">
        <v>0</v>
      </c>
      <c r="T275" s="165">
        <v>0</v>
      </c>
    </row>
    <row r="276" spans="2:20" x14ac:dyDescent="0.3">
      <c r="B276">
        <v>2259</v>
      </c>
      <c r="R276">
        <v>0</v>
      </c>
      <c r="S276">
        <v>0</v>
      </c>
      <c r="T276" s="165">
        <v>0</v>
      </c>
    </row>
    <row r="277" spans="2:20" x14ac:dyDescent="0.3">
      <c r="B277" s="10">
        <v>2260</v>
      </c>
      <c r="R277">
        <v>0</v>
      </c>
      <c r="S277">
        <v>0</v>
      </c>
      <c r="T277" s="165">
        <v>0</v>
      </c>
    </row>
    <row r="278" spans="2:20" x14ac:dyDescent="0.3">
      <c r="B278">
        <v>2261</v>
      </c>
      <c r="R278">
        <v>0</v>
      </c>
      <c r="S278">
        <v>0</v>
      </c>
      <c r="T278" s="165">
        <v>0</v>
      </c>
    </row>
    <row r="279" spans="2:20" x14ac:dyDescent="0.3">
      <c r="B279">
        <v>2262</v>
      </c>
      <c r="R279">
        <v>0</v>
      </c>
      <c r="S279">
        <v>0</v>
      </c>
      <c r="T279" s="165">
        <v>0</v>
      </c>
    </row>
    <row r="280" spans="2:20" x14ac:dyDescent="0.3">
      <c r="B280" s="10">
        <v>2263</v>
      </c>
      <c r="R280">
        <v>0</v>
      </c>
      <c r="S280">
        <v>0</v>
      </c>
      <c r="T280" s="165">
        <v>0</v>
      </c>
    </row>
    <row r="281" spans="2:20" x14ac:dyDescent="0.3">
      <c r="B281">
        <v>2264</v>
      </c>
      <c r="R281">
        <v>0</v>
      </c>
      <c r="S281">
        <v>0</v>
      </c>
      <c r="T281" s="165">
        <v>0</v>
      </c>
    </row>
    <row r="282" spans="2:20" x14ac:dyDescent="0.3">
      <c r="B282">
        <v>2265</v>
      </c>
      <c r="R282">
        <v>0</v>
      </c>
      <c r="S282">
        <v>0</v>
      </c>
      <c r="T282" s="165">
        <v>0</v>
      </c>
    </row>
    <row r="283" spans="2:20" x14ac:dyDescent="0.3">
      <c r="B283" s="10">
        <v>2266</v>
      </c>
      <c r="R283">
        <v>0</v>
      </c>
      <c r="S283">
        <v>0</v>
      </c>
      <c r="T283" s="165">
        <v>0</v>
      </c>
    </row>
    <row r="284" spans="2:20" x14ac:dyDescent="0.3">
      <c r="B284">
        <v>2267</v>
      </c>
      <c r="R284">
        <v>0</v>
      </c>
      <c r="S284">
        <v>0</v>
      </c>
      <c r="T284" s="165">
        <v>0</v>
      </c>
    </row>
    <row r="285" spans="2:20" x14ac:dyDescent="0.3">
      <c r="B285">
        <v>2268</v>
      </c>
      <c r="R285">
        <v>0</v>
      </c>
      <c r="S285">
        <v>0</v>
      </c>
      <c r="T285" s="165">
        <v>0</v>
      </c>
    </row>
    <row r="286" spans="2:20" x14ac:dyDescent="0.3">
      <c r="B286" s="10">
        <v>2269</v>
      </c>
      <c r="R286">
        <v>0</v>
      </c>
      <c r="S286">
        <v>0</v>
      </c>
      <c r="T286" s="165">
        <v>0</v>
      </c>
    </row>
    <row r="287" spans="2:20" x14ac:dyDescent="0.3">
      <c r="B287">
        <v>2270</v>
      </c>
      <c r="R287">
        <v>0</v>
      </c>
      <c r="S287">
        <v>0</v>
      </c>
      <c r="T287" s="165">
        <v>0</v>
      </c>
    </row>
    <row r="288" spans="2:20" x14ac:dyDescent="0.3">
      <c r="B288">
        <v>2271</v>
      </c>
      <c r="R288">
        <v>0</v>
      </c>
      <c r="S288">
        <v>0</v>
      </c>
      <c r="T288" s="165">
        <v>0</v>
      </c>
    </row>
    <row r="289" spans="2:20" x14ac:dyDescent="0.3">
      <c r="B289" s="10">
        <v>2272</v>
      </c>
      <c r="R289">
        <v>0</v>
      </c>
      <c r="S289">
        <v>0</v>
      </c>
      <c r="T289" s="165">
        <v>0</v>
      </c>
    </row>
    <row r="290" spans="2:20" x14ac:dyDescent="0.3">
      <c r="B290">
        <v>2273</v>
      </c>
      <c r="R290">
        <v>0</v>
      </c>
      <c r="S290">
        <v>0</v>
      </c>
      <c r="T290" s="165">
        <v>0</v>
      </c>
    </row>
    <row r="291" spans="2:20" x14ac:dyDescent="0.3">
      <c r="B291">
        <v>2274</v>
      </c>
      <c r="R291">
        <v>0</v>
      </c>
      <c r="S291">
        <v>0</v>
      </c>
      <c r="T291" s="165">
        <v>0</v>
      </c>
    </row>
    <row r="292" spans="2:20" x14ac:dyDescent="0.3">
      <c r="B292" s="10">
        <v>2275</v>
      </c>
      <c r="R292">
        <v>0</v>
      </c>
      <c r="S292">
        <v>0</v>
      </c>
      <c r="T292" s="165">
        <v>0</v>
      </c>
    </row>
    <row r="293" spans="2:20" x14ac:dyDescent="0.3">
      <c r="B293">
        <v>2276</v>
      </c>
      <c r="R293">
        <v>0</v>
      </c>
      <c r="S293">
        <v>0</v>
      </c>
      <c r="T293" s="165">
        <v>0</v>
      </c>
    </row>
    <row r="294" spans="2:20" x14ac:dyDescent="0.3">
      <c r="B294">
        <v>2277</v>
      </c>
      <c r="R294">
        <v>0</v>
      </c>
      <c r="S294">
        <v>0</v>
      </c>
      <c r="T294" s="165">
        <v>0</v>
      </c>
    </row>
    <row r="295" spans="2:20" x14ac:dyDescent="0.3">
      <c r="B295" s="10">
        <v>2278</v>
      </c>
      <c r="R295">
        <v>0</v>
      </c>
      <c r="S295">
        <v>0</v>
      </c>
      <c r="T295" s="165">
        <v>0</v>
      </c>
    </row>
    <row r="296" spans="2:20" x14ac:dyDescent="0.3">
      <c r="B296">
        <v>2279</v>
      </c>
      <c r="R296">
        <v>0</v>
      </c>
      <c r="S296">
        <v>0</v>
      </c>
      <c r="T296" s="165">
        <v>0</v>
      </c>
    </row>
    <row r="297" spans="2:20" x14ac:dyDescent="0.3">
      <c r="B297">
        <v>2280</v>
      </c>
      <c r="R297">
        <v>0</v>
      </c>
      <c r="S297">
        <v>0</v>
      </c>
      <c r="T297" s="165">
        <v>0</v>
      </c>
    </row>
    <row r="298" spans="2:20" x14ac:dyDescent="0.3">
      <c r="B298" s="10">
        <v>2281</v>
      </c>
      <c r="R298">
        <v>0</v>
      </c>
      <c r="S298">
        <v>0</v>
      </c>
      <c r="T298" s="165">
        <v>0</v>
      </c>
    </row>
    <row r="299" spans="2:20" x14ac:dyDescent="0.3">
      <c r="B299">
        <v>2282</v>
      </c>
      <c r="R299">
        <v>0</v>
      </c>
      <c r="S299">
        <v>0</v>
      </c>
      <c r="T299" s="165">
        <v>0</v>
      </c>
    </row>
    <row r="300" spans="2:20" x14ac:dyDescent="0.3">
      <c r="B300">
        <v>2283</v>
      </c>
      <c r="R300">
        <v>0</v>
      </c>
      <c r="S300">
        <v>0</v>
      </c>
      <c r="T300" s="165">
        <v>0</v>
      </c>
    </row>
    <row r="301" spans="2:20" x14ac:dyDescent="0.3">
      <c r="B301" s="10">
        <v>2284</v>
      </c>
      <c r="R301">
        <v>0</v>
      </c>
      <c r="S301">
        <v>0</v>
      </c>
      <c r="T301" s="165">
        <v>0</v>
      </c>
    </row>
    <row r="302" spans="2:20" x14ac:dyDescent="0.3">
      <c r="B302">
        <v>2285</v>
      </c>
      <c r="R302">
        <v>0</v>
      </c>
      <c r="S302">
        <v>0</v>
      </c>
      <c r="T302" s="165">
        <v>0</v>
      </c>
    </row>
    <row r="303" spans="2:20" x14ac:dyDescent="0.3">
      <c r="B303">
        <v>2286</v>
      </c>
      <c r="R303">
        <v>0</v>
      </c>
      <c r="S303">
        <v>0</v>
      </c>
      <c r="T303" s="165">
        <v>0</v>
      </c>
    </row>
    <row r="304" spans="2:20" x14ac:dyDescent="0.3">
      <c r="B304" s="10">
        <v>2287</v>
      </c>
      <c r="R304">
        <v>0</v>
      </c>
      <c r="S304">
        <v>0</v>
      </c>
      <c r="T304" s="165">
        <v>0</v>
      </c>
    </row>
    <row r="305" spans="2:20" x14ac:dyDescent="0.3">
      <c r="B305">
        <v>2288</v>
      </c>
      <c r="R305">
        <v>0</v>
      </c>
      <c r="S305">
        <v>0</v>
      </c>
      <c r="T305" s="165">
        <v>0</v>
      </c>
    </row>
    <row r="306" spans="2:20" x14ac:dyDescent="0.3">
      <c r="B306">
        <v>2289</v>
      </c>
      <c r="R306">
        <v>0</v>
      </c>
      <c r="S306">
        <v>0</v>
      </c>
      <c r="T306" s="165">
        <v>0</v>
      </c>
    </row>
    <row r="307" spans="2:20" x14ac:dyDescent="0.3">
      <c r="B307" s="10">
        <v>2290</v>
      </c>
      <c r="R307">
        <v>0</v>
      </c>
      <c r="S307">
        <v>0</v>
      </c>
      <c r="T307" s="165">
        <v>0</v>
      </c>
    </row>
    <row r="308" spans="2:20" x14ac:dyDescent="0.3">
      <c r="B308">
        <v>2291</v>
      </c>
      <c r="R308">
        <v>0</v>
      </c>
      <c r="S308">
        <v>0</v>
      </c>
      <c r="T308" s="165">
        <v>0</v>
      </c>
    </row>
    <row r="309" spans="2:20" x14ac:dyDescent="0.3">
      <c r="B309">
        <v>2292</v>
      </c>
      <c r="R309">
        <v>0</v>
      </c>
      <c r="S309">
        <v>0</v>
      </c>
      <c r="T309" s="165">
        <v>0</v>
      </c>
    </row>
    <row r="310" spans="2:20" x14ac:dyDescent="0.3">
      <c r="B310" s="10">
        <v>2293</v>
      </c>
      <c r="R310">
        <v>0</v>
      </c>
      <c r="S310">
        <v>0</v>
      </c>
      <c r="T310" s="165">
        <v>0</v>
      </c>
    </row>
    <row r="311" spans="2:20" x14ac:dyDescent="0.3">
      <c r="B311">
        <v>2294</v>
      </c>
      <c r="R311">
        <v>0</v>
      </c>
      <c r="S311">
        <v>0</v>
      </c>
      <c r="T311" s="165">
        <v>0</v>
      </c>
    </row>
    <row r="312" spans="2:20" x14ac:dyDescent="0.3">
      <c r="B312">
        <v>2295</v>
      </c>
      <c r="R312">
        <v>0</v>
      </c>
      <c r="S312">
        <v>0</v>
      </c>
      <c r="T312" s="165">
        <v>0</v>
      </c>
    </row>
    <row r="313" spans="2:20" x14ac:dyDescent="0.3">
      <c r="B313" s="10">
        <v>2296</v>
      </c>
      <c r="R313">
        <v>0</v>
      </c>
      <c r="S313">
        <v>0</v>
      </c>
      <c r="T313" s="165">
        <v>0</v>
      </c>
    </row>
    <row r="314" spans="2:20" x14ac:dyDescent="0.3">
      <c r="B314">
        <v>2297</v>
      </c>
      <c r="R314">
        <v>0</v>
      </c>
      <c r="S314">
        <v>0</v>
      </c>
      <c r="T314" s="165">
        <v>0</v>
      </c>
    </row>
    <row r="315" spans="2:20" x14ac:dyDescent="0.3">
      <c r="B315">
        <v>2298</v>
      </c>
      <c r="R315">
        <v>0</v>
      </c>
      <c r="S315">
        <v>0</v>
      </c>
      <c r="T315" s="165">
        <v>0</v>
      </c>
    </row>
    <row r="316" spans="2:20" x14ac:dyDescent="0.3">
      <c r="B316" s="10">
        <v>2299</v>
      </c>
      <c r="R316">
        <v>0</v>
      </c>
      <c r="S316">
        <v>0</v>
      </c>
      <c r="T316" s="165">
        <v>0</v>
      </c>
    </row>
    <row r="317" spans="2:20" x14ac:dyDescent="0.3">
      <c r="B317">
        <v>2300</v>
      </c>
      <c r="R317">
        <v>0</v>
      </c>
      <c r="S317">
        <v>0</v>
      </c>
      <c r="T317" s="165">
        <v>0</v>
      </c>
    </row>
    <row r="318" spans="2:20" x14ac:dyDescent="0.3">
      <c r="B318">
        <v>2301</v>
      </c>
      <c r="R318">
        <v>0</v>
      </c>
      <c r="S318">
        <v>0</v>
      </c>
      <c r="T318" s="165">
        <v>0</v>
      </c>
    </row>
    <row r="319" spans="2:20" x14ac:dyDescent="0.3">
      <c r="B319" s="10">
        <v>2302</v>
      </c>
      <c r="R319">
        <v>0</v>
      </c>
      <c r="S319">
        <v>0</v>
      </c>
      <c r="T319" s="165">
        <v>0</v>
      </c>
    </row>
    <row r="320" spans="2:20" x14ac:dyDescent="0.3">
      <c r="B320">
        <v>2303</v>
      </c>
      <c r="R320">
        <v>0</v>
      </c>
      <c r="S320">
        <v>0</v>
      </c>
      <c r="T320" s="165">
        <v>0</v>
      </c>
    </row>
    <row r="321" spans="2:20" x14ac:dyDescent="0.3">
      <c r="B321">
        <v>2304</v>
      </c>
      <c r="R321">
        <v>0</v>
      </c>
      <c r="S321">
        <v>0</v>
      </c>
      <c r="T321" s="165">
        <v>0</v>
      </c>
    </row>
    <row r="322" spans="2:20" x14ac:dyDescent="0.3">
      <c r="B322" s="10">
        <v>2305</v>
      </c>
      <c r="R322">
        <v>0</v>
      </c>
      <c r="S322">
        <v>0</v>
      </c>
      <c r="T322" s="165">
        <v>0</v>
      </c>
    </row>
    <row r="323" spans="2:20" x14ac:dyDescent="0.3">
      <c r="B323">
        <v>2306</v>
      </c>
      <c r="R323">
        <v>0</v>
      </c>
      <c r="S323">
        <v>0</v>
      </c>
      <c r="T323" s="165">
        <v>0</v>
      </c>
    </row>
    <row r="324" spans="2:20" x14ac:dyDescent="0.3">
      <c r="B324">
        <v>2307</v>
      </c>
      <c r="R324">
        <v>0</v>
      </c>
      <c r="S324">
        <v>0</v>
      </c>
      <c r="T324" s="165">
        <v>0</v>
      </c>
    </row>
    <row r="325" spans="2:20" x14ac:dyDescent="0.3">
      <c r="B325" s="10">
        <v>2308</v>
      </c>
      <c r="R325">
        <v>0</v>
      </c>
      <c r="S325">
        <v>0</v>
      </c>
      <c r="T325" s="165">
        <v>0</v>
      </c>
    </row>
    <row r="326" spans="2:20" x14ac:dyDescent="0.3">
      <c r="B326">
        <v>2309</v>
      </c>
      <c r="R326">
        <v>0</v>
      </c>
      <c r="S326">
        <v>0</v>
      </c>
      <c r="T326" s="165">
        <v>0</v>
      </c>
    </row>
    <row r="327" spans="2:20" x14ac:dyDescent="0.3">
      <c r="B327">
        <v>2310</v>
      </c>
      <c r="R327">
        <v>0</v>
      </c>
      <c r="S327">
        <v>0</v>
      </c>
      <c r="T327" s="165">
        <v>0</v>
      </c>
    </row>
    <row r="328" spans="2:20" x14ac:dyDescent="0.3">
      <c r="B328" s="10">
        <v>2311</v>
      </c>
      <c r="R328">
        <v>0</v>
      </c>
      <c r="S328">
        <v>0</v>
      </c>
      <c r="T328" s="165">
        <v>0</v>
      </c>
    </row>
    <row r="329" spans="2:20" x14ac:dyDescent="0.3">
      <c r="B329">
        <v>2312</v>
      </c>
      <c r="R329">
        <v>0</v>
      </c>
      <c r="S329">
        <v>0</v>
      </c>
      <c r="T329" s="165">
        <v>0</v>
      </c>
    </row>
    <row r="330" spans="2:20" x14ac:dyDescent="0.3">
      <c r="B330">
        <v>2313</v>
      </c>
      <c r="R330">
        <v>0</v>
      </c>
      <c r="S330">
        <v>0</v>
      </c>
      <c r="T330" s="165">
        <v>0</v>
      </c>
    </row>
    <row r="331" spans="2:20" x14ac:dyDescent="0.3">
      <c r="B331" s="10">
        <v>2314</v>
      </c>
      <c r="R331">
        <v>0</v>
      </c>
      <c r="S331">
        <v>0</v>
      </c>
      <c r="T331" s="165">
        <v>0</v>
      </c>
    </row>
    <row r="332" spans="2:20" x14ac:dyDescent="0.3">
      <c r="B332">
        <v>2315</v>
      </c>
      <c r="R332">
        <v>0</v>
      </c>
      <c r="S332">
        <v>0</v>
      </c>
      <c r="T332" s="165">
        <v>0</v>
      </c>
    </row>
    <row r="333" spans="2:20" x14ac:dyDescent="0.3">
      <c r="B333">
        <v>2316</v>
      </c>
      <c r="R333">
        <v>0</v>
      </c>
      <c r="S333">
        <v>0</v>
      </c>
      <c r="T333" s="165">
        <v>0</v>
      </c>
    </row>
    <row r="334" spans="2:20" x14ac:dyDescent="0.3">
      <c r="B334" s="10">
        <v>2317</v>
      </c>
      <c r="R334">
        <v>0</v>
      </c>
      <c r="S334">
        <v>0</v>
      </c>
      <c r="T334" s="165">
        <v>0</v>
      </c>
    </row>
    <row r="335" spans="2:20" x14ac:dyDescent="0.3">
      <c r="B335">
        <v>2318</v>
      </c>
      <c r="R335">
        <v>0</v>
      </c>
      <c r="S335">
        <v>0</v>
      </c>
      <c r="T335" s="165">
        <v>0</v>
      </c>
    </row>
    <row r="336" spans="2:20" x14ac:dyDescent="0.3">
      <c r="B336">
        <v>2319</v>
      </c>
      <c r="R336">
        <v>0</v>
      </c>
      <c r="S336">
        <v>0</v>
      </c>
      <c r="T336" s="165">
        <v>0</v>
      </c>
    </row>
    <row r="337" spans="2:20" x14ac:dyDescent="0.3">
      <c r="B337" s="10">
        <v>2320</v>
      </c>
      <c r="R337">
        <v>0</v>
      </c>
      <c r="S337">
        <v>0</v>
      </c>
      <c r="T337" s="165">
        <v>0</v>
      </c>
    </row>
    <row r="338" spans="2:20" x14ac:dyDescent="0.3">
      <c r="B338">
        <v>2321</v>
      </c>
      <c r="R338">
        <v>0</v>
      </c>
      <c r="S338">
        <v>0</v>
      </c>
      <c r="T338" s="165">
        <v>0</v>
      </c>
    </row>
    <row r="339" spans="2:20" x14ac:dyDescent="0.3">
      <c r="B339">
        <v>2322</v>
      </c>
      <c r="R339">
        <v>0</v>
      </c>
      <c r="S339">
        <v>0</v>
      </c>
      <c r="T339" s="165">
        <v>0</v>
      </c>
    </row>
    <row r="340" spans="2:20" x14ac:dyDescent="0.3">
      <c r="B340" s="10">
        <v>2323</v>
      </c>
      <c r="R340">
        <v>0</v>
      </c>
      <c r="S340">
        <v>0</v>
      </c>
      <c r="T340" s="165">
        <v>0</v>
      </c>
    </row>
    <row r="341" spans="2:20" x14ac:dyDescent="0.3">
      <c r="B341">
        <v>2324</v>
      </c>
      <c r="R341">
        <v>0</v>
      </c>
      <c r="S341">
        <v>0</v>
      </c>
      <c r="T341" s="165">
        <v>0</v>
      </c>
    </row>
    <row r="342" spans="2:20" x14ac:dyDescent="0.3">
      <c r="B342">
        <v>2325</v>
      </c>
      <c r="R342">
        <v>0</v>
      </c>
      <c r="S342">
        <v>0</v>
      </c>
      <c r="T342" s="165">
        <v>0</v>
      </c>
    </row>
    <row r="343" spans="2:20" x14ac:dyDescent="0.3">
      <c r="B343" s="10">
        <v>2326</v>
      </c>
      <c r="R343">
        <v>0</v>
      </c>
      <c r="S343">
        <v>0</v>
      </c>
      <c r="T343" s="165">
        <v>0</v>
      </c>
    </row>
    <row r="344" spans="2:20" x14ac:dyDescent="0.3">
      <c r="B344">
        <v>2327</v>
      </c>
      <c r="R344">
        <v>0</v>
      </c>
      <c r="S344">
        <v>0</v>
      </c>
      <c r="T344" s="165">
        <v>0</v>
      </c>
    </row>
    <row r="345" spans="2:20" x14ac:dyDescent="0.3">
      <c r="B345">
        <v>2328</v>
      </c>
      <c r="R345">
        <v>0</v>
      </c>
      <c r="S345">
        <v>0</v>
      </c>
      <c r="T345" s="165">
        <v>0</v>
      </c>
    </row>
    <row r="346" spans="2:20" x14ac:dyDescent="0.3">
      <c r="B346" s="10">
        <v>2329</v>
      </c>
      <c r="R346">
        <v>0</v>
      </c>
      <c r="S346">
        <v>0</v>
      </c>
      <c r="T346" s="165">
        <v>0</v>
      </c>
    </row>
    <row r="347" spans="2:20" x14ac:dyDescent="0.3">
      <c r="B347">
        <v>2330</v>
      </c>
      <c r="R347">
        <v>0</v>
      </c>
      <c r="S347">
        <v>0</v>
      </c>
      <c r="T347" s="165">
        <v>0</v>
      </c>
    </row>
    <row r="348" spans="2:20" x14ac:dyDescent="0.3">
      <c r="B348">
        <v>2331</v>
      </c>
      <c r="R348">
        <v>0</v>
      </c>
      <c r="S348">
        <v>0</v>
      </c>
      <c r="T348" s="165">
        <v>0</v>
      </c>
    </row>
    <row r="349" spans="2:20" x14ac:dyDescent="0.3">
      <c r="B349" s="10">
        <v>2332</v>
      </c>
      <c r="R349">
        <v>0</v>
      </c>
      <c r="S349">
        <v>0</v>
      </c>
      <c r="T349" s="165">
        <v>0</v>
      </c>
    </row>
    <row r="350" spans="2:20" x14ac:dyDescent="0.3">
      <c r="B350">
        <v>2333</v>
      </c>
      <c r="R350">
        <v>0</v>
      </c>
      <c r="S350">
        <v>0</v>
      </c>
      <c r="T350" s="165">
        <v>0</v>
      </c>
    </row>
    <row r="351" spans="2:20" x14ac:dyDescent="0.3">
      <c r="B351">
        <v>2334</v>
      </c>
      <c r="R351">
        <v>0</v>
      </c>
      <c r="S351">
        <v>0</v>
      </c>
      <c r="T351" s="165">
        <v>0</v>
      </c>
    </row>
    <row r="352" spans="2:20" x14ac:dyDescent="0.3">
      <c r="B352" s="10">
        <v>2335</v>
      </c>
      <c r="R352">
        <v>0</v>
      </c>
      <c r="S352">
        <v>0</v>
      </c>
      <c r="T352" s="165">
        <v>0</v>
      </c>
    </row>
    <row r="353" spans="2:20" x14ac:dyDescent="0.3">
      <c r="B353">
        <v>2336</v>
      </c>
      <c r="R353">
        <v>0</v>
      </c>
      <c r="S353">
        <v>0</v>
      </c>
      <c r="T353" s="165">
        <v>0</v>
      </c>
    </row>
    <row r="354" spans="2:20" x14ac:dyDescent="0.3">
      <c r="B354">
        <v>2337</v>
      </c>
      <c r="R354">
        <v>0</v>
      </c>
      <c r="S354">
        <v>0</v>
      </c>
      <c r="T354" s="165">
        <v>0</v>
      </c>
    </row>
    <row r="355" spans="2:20" x14ac:dyDescent="0.3">
      <c r="B355" s="10">
        <v>2338</v>
      </c>
      <c r="R355">
        <v>0</v>
      </c>
      <c r="S355">
        <v>0</v>
      </c>
      <c r="T355" s="165">
        <v>0</v>
      </c>
    </row>
    <row r="356" spans="2:20" x14ac:dyDescent="0.3">
      <c r="B356">
        <v>2339</v>
      </c>
      <c r="R356">
        <v>0</v>
      </c>
      <c r="S356">
        <v>0</v>
      </c>
      <c r="T356" s="165">
        <v>0</v>
      </c>
    </row>
    <row r="357" spans="2:20" x14ac:dyDescent="0.3">
      <c r="B357">
        <v>2340</v>
      </c>
      <c r="R357">
        <v>0</v>
      </c>
      <c r="S357">
        <v>0</v>
      </c>
      <c r="T357" s="165">
        <v>0</v>
      </c>
    </row>
    <row r="358" spans="2:20" x14ac:dyDescent="0.3">
      <c r="B358" s="10">
        <v>2341</v>
      </c>
      <c r="R358">
        <v>0</v>
      </c>
      <c r="S358">
        <v>0</v>
      </c>
      <c r="T358" s="165">
        <v>0</v>
      </c>
    </row>
    <row r="359" spans="2:20" x14ac:dyDescent="0.3">
      <c r="B359">
        <v>2342</v>
      </c>
      <c r="R359">
        <v>0</v>
      </c>
      <c r="S359">
        <v>0</v>
      </c>
      <c r="T359" s="165">
        <v>0</v>
      </c>
    </row>
    <row r="360" spans="2:20" x14ac:dyDescent="0.3">
      <c r="B360">
        <v>2343</v>
      </c>
      <c r="R360">
        <v>0</v>
      </c>
      <c r="S360">
        <v>0</v>
      </c>
      <c r="T360" s="165">
        <v>0</v>
      </c>
    </row>
    <row r="361" spans="2:20" x14ac:dyDescent="0.3">
      <c r="B361" s="10">
        <v>2344</v>
      </c>
      <c r="R361">
        <v>0</v>
      </c>
      <c r="S361">
        <v>0</v>
      </c>
      <c r="T361" s="165">
        <v>0</v>
      </c>
    </row>
    <row r="362" spans="2:20" x14ac:dyDescent="0.3">
      <c r="B362">
        <v>2345</v>
      </c>
      <c r="R362">
        <v>0</v>
      </c>
      <c r="S362">
        <v>0</v>
      </c>
      <c r="T362" s="165">
        <v>0</v>
      </c>
    </row>
    <row r="363" spans="2:20" x14ac:dyDescent="0.3">
      <c r="B363">
        <v>2346</v>
      </c>
      <c r="R363">
        <v>0</v>
      </c>
      <c r="S363">
        <v>0</v>
      </c>
      <c r="T363" s="165">
        <v>0</v>
      </c>
    </row>
    <row r="364" spans="2:20" x14ac:dyDescent="0.3">
      <c r="B364" s="10">
        <v>2347</v>
      </c>
      <c r="R364">
        <v>0</v>
      </c>
      <c r="S364">
        <v>0</v>
      </c>
      <c r="T364" s="165">
        <v>0</v>
      </c>
    </row>
    <row r="365" spans="2:20" x14ac:dyDescent="0.3">
      <c r="B365">
        <v>2348</v>
      </c>
      <c r="R365">
        <v>0</v>
      </c>
      <c r="S365">
        <v>0</v>
      </c>
      <c r="T365" s="165">
        <v>0</v>
      </c>
    </row>
    <row r="366" spans="2:20" x14ac:dyDescent="0.3">
      <c r="B366">
        <v>2349</v>
      </c>
      <c r="R366">
        <v>0</v>
      </c>
      <c r="S366">
        <v>0</v>
      </c>
      <c r="T366" s="165">
        <v>0</v>
      </c>
    </row>
    <row r="367" spans="2:20" x14ac:dyDescent="0.3">
      <c r="B367" s="10">
        <v>2350</v>
      </c>
      <c r="R367">
        <v>0</v>
      </c>
      <c r="S367">
        <v>0</v>
      </c>
      <c r="T367" s="165">
        <v>0</v>
      </c>
    </row>
    <row r="368" spans="2:20" x14ac:dyDescent="0.3">
      <c r="B368">
        <v>2351</v>
      </c>
      <c r="R368">
        <v>0</v>
      </c>
      <c r="S368">
        <v>0</v>
      </c>
      <c r="T368" s="165">
        <v>0</v>
      </c>
    </row>
    <row r="369" spans="2:20" x14ac:dyDescent="0.3">
      <c r="B369">
        <v>2352</v>
      </c>
      <c r="R369">
        <v>0</v>
      </c>
      <c r="S369">
        <v>0</v>
      </c>
      <c r="T369" s="165">
        <v>0</v>
      </c>
    </row>
    <row r="370" spans="2:20" x14ac:dyDescent="0.3">
      <c r="B370" s="10">
        <v>2353</v>
      </c>
      <c r="R370">
        <v>0</v>
      </c>
      <c r="S370">
        <v>0</v>
      </c>
      <c r="T370" s="165">
        <v>0</v>
      </c>
    </row>
    <row r="371" spans="2:20" x14ac:dyDescent="0.3">
      <c r="B371">
        <v>2354</v>
      </c>
      <c r="R371">
        <v>0</v>
      </c>
      <c r="S371">
        <v>0</v>
      </c>
      <c r="T371" s="165">
        <v>0</v>
      </c>
    </row>
    <row r="372" spans="2:20" x14ac:dyDescent="0.3">
      <c r="B372">
        <v>2355</v>
      </c>
      <c r="R372">
        <v>0</v>
      </c>
      <c r="S372">
        <v>0</v>
      </c>
      <c r="T372" s="165">
        <v>0</v>
      </c>
    </row>
    <row r="373" spans="2:20" x14ac:dyDescent="0.3">
      <c r="B373" s="10">
        <v>2356</v>
      </c>
      <c r="R373">
        <v>0</v>
      </c>
      <c r="S373">
        <v>0</v>
      </c>
      <c r="T373" s="165">
        <v>0</v>
      </c>
    </row>
    <row r="374" spans="2:20" x14ac:dyDescent="0.3">
      <c r="B374">
        <v>2357</v>
      </c>
      <c r="R374">
        <v>0</v>
      </c>
      <c r="S374">
        <v>0</v>
      </c>
      <c r="T374" s="165">
        <v>0</v>
      </c>
    </row>
    <row r="375" spans="2:20" x14ac:dyDescent="0.3">
      <c r="B375">
        <v>2358</v>
      </c>
      <c r="R375">
        <v>0</v>
      </c>
      <c r="S375">
        <v>0</v>
      </c>
      <c r="T375" s="165">
        <v>0</v>
      </c>
    </row>
    <row r="376" spans="2:20" x14ac:dyDescent="0.3">
      <c r="B376" s="10">
        <v>2359</v>
      </c>
      <c r="R376">
        <v>0</v>
      </c>
      <c r="S376">
        <v>0</v>
      </c>
      <c r="T376" s="165">
        <v>0</v>
      </c>
    </row>
    <row r="377" spans="2:20" x14ac:dyDescent="0.3">
      <c r="B377">
        <v>2360</v>
      </c>
      <c r="R377">
        <v>0</v>
      </c>
      <c r="S377">
        <v>0</v>
      </c>
      <c r="T377" s="165">
        <v>0</v>
      </c>
    </row>
    <row r="378" spans="2:20" x14ac:dyDescent="0.3">
      <c r="B378">
        <v>2361</v>
      </c>
      <c r="R378">
        <v>0</v>
      </c>
      <c r="S378">
        <v>0</v>
      </c>
      <c r="T378" s="165">
        <v>0</v>
      </c>
    </row>
    <row r="379" spans="2:20" x14ac:dyDescent="0.3">
      <c r="B379" s="10">
        <v>2362</v>
      </c>
      <c r="R379">
        <v>0</v>
      </c>
      <c r="S379">
        <v>0</v>
      </c>
      <c r="T379" s="165">
        <v>0</v>
      </c>
    </row>
    <row r="380" spans="2:20" x14ac:dyDescent="0.3">
      <c r="B380">
        <v>2363</v>
      </c>
      <c r="R380">
        <v>0</v>
      </c>
      <c r="S380">
        <v>0</v>
      </c>
      <c r="T380" s="165">
        <v>0</v>
      </c>
    </row>
    <row r="381" spans="2:20" x14ac:dyDescent="0.3">
      <c r="B381">
        <v>2364</v>
      </c>
      <c r="R381">
        <v>0</v>
      </c>
      <c r="S381">
        <v>0</v>
      </c>
      <c r="T381" s="165">
        <v>0</v>
      </c>
    </row>
    <row r="382" spans="2:20" x14ac:dyDescent="0.3">
      <c r="B382" s="10">
        <v>2365</v>
      </c>
      <c r="R382">
        <v>0</v>
      </c>
      <c r="S382">
        <v>0</v>
      </c>
      <c r="T382" s="165">
        <v>0</v>
      </c>
    </row>
    <row r="383" spans="2:20" x14ac:dyDescent="0.3">
      <c r="B383">
        <v>2366</v>
      </c>
      <c r="R383">
        <v>0</v>
      </c>
      <c r="S383">
        <v>0</v>
      </c>
      <c r="T383" s="165">
        <v>0</v>
      </c>
    </row>
    <row r="384" spans="2:20" x14ac:dyDescent="0.3">
      <c r="B384">
        <v>2367</v>
      </c>
      <c r="R384">
        <v>0</v>
      </c>
      <c r="S384">
        <v>0</v>
      </c>
      <c r="T384" s="165">
        <v>0</v>
      </c>
    </row>
    <row r="385" spans="2:20" x14ac:dyDescent="0.3">
      <c r="B385" s="10">
        <v>2368</v>
      </c>
      <c r="R385">
        <v>0</v>
      </c>
      <c r="S385">
        <v>0</v>
      </c>
      <c r="T385" s="165">
        <v>0</v>
      </c>
    </row>
    <row r="386" spans="2:20" x14ac:dyDescent="0.3">
      <c r="B386">
        <v>2369</v>
      </c>
      <c r="R386">
        <v>0</v>
      </c>
      <c r="S386">
        <v>0</v>
      </c>
      <c r="T386" s="165">
        <v>0</v>
      </c>
    </row>
    <row r="387" spans="2:20" x14ac:dyDescent="0.3">
      <c r="B387">
        <v>2370</v>
      </c>
      <c r="R387">
        <v>0</v>
      </c>
      <c r="S387">
        <v>0</v>
      </c>
      <c r="T387" s="165">
        <v>0</v>
      </c>
    </row>
    <row r="388" spans="2:20" x14ac:dyDescent="0.3">
      <c r="B388" s="10">
        <v>2371</v>
      </c>
      <c r="R388">
        <v>0</v>
      </c>
      <c r="S388">
        <v>0</v>
      </c>
      <c r="T388" s="165">
        <v>0</v>
      </c>
    </row>
    <row r="389" spans="2:20" x14ac:dyDescent="0.3">
      <c r="B389">
        <v>2372</v>
      </c>
      <c r="R389">
        <v>0</v>
      </c>
      <c r="S389">
        <v>0</v>
      </c>
      <c r="T389" s="165">
        <v>0</v>
      </c>
    </row>
    <row r="390" spans="2:20" x14ac:dyDescent="0.3">
      <c r="B390">
        <v>2373</v>
      </c>
      <c r="R390">
        <v>0</v>
      </c>
      <c r="S390">
        <v>0</v>
      </c>
      <c r="T390" s="165">
        <v>0</v>
      </c>
    </row>
    <row r="391" spans="2:20" x14ac:dyDescent="0.3">
      <c r="B391" s="10">
        <v>2374</v>
      </c>
      <c r="R391">
        <v>0</v>
      </c>
      <c r="S391">
        <v>0</v>
      </c>
      <c r="T391" s="165">
        <v>0</v>
      </c>
    </row>
    <row r="392" spans="2:20" x14ac:dyDescent="0.3">
      <c r="B392">
        <v>2375</v>
      </c>
      <c r="R392">
        <v>0</v>
      </c>
      <c r="S392">
        <v>0</v>
      </c>
      <c r="T392" s="165">
        <v>0</v>
      </c>
    </row>
    <row r="393" spans="2:20" x14ac:dyDescent="0.3">
      <c r="B393">
        <v>2376</v>
      </c>
      <c r="R393">
        <v>0</v>
      </c>
      <c r="S393">
        <v>0</v>
      </c>
      <c r="T393" s="165">
        <v>0</v>
      </c>
    </row>
    <row r="394" spans="2:20" x14ac:dyDescent="0.3">
      <c r="B394" s="10">
        <v>2377</v>
      </c>
      <c r="R394">
        <v>0</v>
      </c>
      <c r="S394">
        <v>0</v>
      </c>
      <c r="T394" s="165">
        <v>0</v>
      </c>
    </row>
    <row r="395" spans="2:20" x14ac:dyDescent="0.3">
      <c r="B395">
        <v>2378</v>
      </c>
      <c r="R395">
        <v>0</v>
      </c>
      <c r="S395">
        <v>0</v>
      </c>
      <c r="T395" s="165">
        <v>0</v>
      </c>
    </row>
    <row r="396" spans="2:20" x14ac:dyDescent="0.3">
      <c r="B396">
        <v>2379</v>
      </c>
      <c r="R396">
        <v>0</v>
      </c>
      <c r="S396">
        <v>0</v>
      </c>
      <c r="T396" s="165">
        <v>0</v>
      </c>
    </row>
    <row r="397" spans="2:20" x14ac:dyDescent="0.3">
      <c r="B397" s="10">
        <v>2380</v>
      </c>
      <c r="R397">
        <v>0</v>
      </c>
      <c r="S397">
        <v>0</v>
      </c>
      <c r="T397" s="165">
        <v>0</v>
      </c>
    </row>
    <row r="398" spans="2:20" x14ac:dyDescent="0.3">
      <c r="B398">
        <v>2381</v>
      </c>
      <c r="R398">
        <v>0</v>
      </c>
      <c r="S398">
        <v>0</v>
      </c>
      <c r="T398" s="165">
        <v>0</v>
      </c>
    </row>
    <row r="399" spans="2:20" x14ac:dyDescent="0.3">
      <c r="B399">
        <v>2382</v>
      </c>
      <c r="R399">
        <v>0</v>
      </c>
      <c r="S399">
        <v>0</v>
      </c>
      <c r="T399" s="165">
        <v>0</v>
      </c>
    </row>
    <row r="400" spans="2:20" x14ac:dyDescent="0.3">
      <c r="B400" s="10">
        <v>2383</v>
      </c>
      <c r="R400">
        <v>0</v>
      </c>
      <c r="S400">
        <v>0</v>
      </c>
      <c r="T400" s="165">
        <v>0</v>
      </c>
    </row>
    <row r="401" spans="2:20" x14ac:dyDescent="0.3">
      <c r="B401">
        <v>2384</v>
      </c>
      <c r="R401">
        <v>0</v>
      </c>
      <c r="S401">
        <v>0</v>
      </c>
      <c r="T401" s="165">
        <v>0</v>
      </c>
    </row>
    <row r="402" spans="2:20" x14ac:dyDescent="0.3">
      <c r="B402">
        <v>2385</v>
      </c>
      <c r="R402">
        <v>0</v>
      </c>
      <c r="S402">
        <v>0</v>
      </c>
      <c r="T402" s="165">
        <v>0</v>
      </c>
    </row>
    <row r="403" spans="2:20" x14ac:dyDescent="0.3">
      <c r="B403" s="10">
        <v>2386</v>
      </c>
      <c r="R403">
        <v>0</v>
      </c>
      <c r="S403">
        <v>0</v>
      </c>
      <c r="T403" s="165">
        <v>0</v>
      </c>
    </row>
    <row r="404" spans="2:20" x14ac:dyDescent="0.3">
      <c r="B404">
        <v>2387</v>
      </c>
      <c r="R404">
        <v>0</v>
      </c>
      <c r="S404">
        <v>0</v>
      </c>
      <c r="T404" s="165">
        <v>0</v>
      </c>
    </row>
    <row r="405" spans="2:20" x14ac:dyDescent="0.3">
      <c r="B405">
        <v>2388</v>
      </c>
      <c r="R405">
        <v>0</v>
      </c>
      <c r="S405">
        <v>0</v>
      </c>
      <c r="T405" s="165">
        <v>0</v>
      </c>
    </row>
    <row r="406" spans="2:20" x14ac:dyDescent="0.3">
      <c r="B406" s="10">
        <v>2389</v>
      </c>
      <c r="R406">
        <v>0</v>
      </c>
      <c r="S406">
        <v>0</v>
      </c>
      <c r="T406" s="165">
        <v>0</v>
      </c>
    </row>
    <row r="407" spans="2:20" x14ac:dyDescent="0.3">
      <c r="B407">
        <v>2390</v>
      </c>
      <c r="R407">
        <v>0</v>
      </c>
      <c r="S407">
        <v>0</v>
      </c>
      <c r="T407" s="165">
        <v>0</v>
      </c>
    </row>
    <row r="408" spans="2:20" x14ac:dyDescent="0.3">
      <c r="B408">
        <v>2391</v>
      </c>
      <c r="R408">
        <v>0</v>
      </c>
      <c r="S408">
        <v>0</v>
      </c>
      <c r="T408" s="165">
        <v>0</v>
      </c>
    </row>
    <row r="409" spans="2:20" x14ac:dyDescent="0.3">
      <c r="B409" s="10">
        <v>2392</v>
      </c>
      <c r="R409">
        <v>0</v>
      </c>
      <c r="S409">
        <v>0</v>
      </c>
      <c r="T409" s="165">
        <v>0</v>
      </c>
    </row>
    <row r="410" spans="2:20" x14ac:dyDescent="0.3">
      <c r="B410">
        <v>2393</v>
      </c>
      <c r="R410">
        <v>0</v>
      </c>
      <c r="S410">
        <v>0</v>
      </c>
      <c r="T410" s="165">
        <v>0</v>
      </c>
    </row>
    <row r="411" spans="2:20" x14ac:dyDescent="0.3">
      <c r="B411">
        <v>2394</v>
      </c>
      <c r="R411">
        <v>0</v>
      </c>
      <c r="S411">
        <v>0</v>
      </c>
      <c r="T411" s="165">
        <v>0</v>
      </c>
    </row>
    <row r="412" spans="2:20" x14ac:dyDescent="0.3">
      <c r="B412" s="10">
        <v>2395</v>
      </c>
      <c r="R412">
        <v>0</v>
      </c>
      <c r="S412">
        <v>0</v>
      </c>
      <c r="T412" s="165">
        <v>0</v>
      </c>
    </row>
    <row r="413" spans="2:20" x14ac:dyDescent="0.3">
      <c r="B413">
        <v>2396</v>
      </c>
      <c r="R413">
        <v>0</v>
      </c>
      <c r="S413">
        <v>0</v>
      </c>
      <c r="T413" s="165">
        <v>0</v>
      </c>
    </row>
    <row r="414" spans="2:20" x14ac:dyDescent="0.3">
      <c r="B414">
        <v>2397</v>
      </c>
      <c r="R414">
        <v>0</v>
      </c>
      <c r="S414">
        <v>0</v>
      </c>
      <c r="T414" s="165">
        <v>0</v>
      </c>
    </row>
    <row r="415" spans="2:20" x14ac:dyDescent="0.3">
      <c r="B415" s="10">
        <v>2398</v>
      </c>
      <c r="R415">
        <v>0</v>
      </c>
      <c r="S415">
        <v>0</v>
      </c>
      <c r="T415" s="165">
        <v>0</v>
      </c>
    </row>
    <row r="416" spans="2:20" x14ac:dyDescent="0.3">
      <c r="B416">
        <v>2399</v>
      </c>
      <c r="R416">
        <v>0</v>
      </c>
      <c r="S416">
        <v>0</v>
      </c>
      <c r="T416" s="165">
        <v>0</v>
      </c>
    </row>
    <row r="417" spans="2:20" x14ac:dyDescent="0.3">
      <c r="B417">
        <v>2400</v>
      </c>
      <c r="R417">
        <v>0</v>
      </c>
      <c r="S417">
        <v>0</v>
      </c>
      <c r="T417" s="165">
        <v>0</v>
      </c>
    </row>
    <row r="418" spans="2:20" x14ac:dyDescent="0.3">
      <c r="B418" s="10">
        <v>2401</v>
      </c>
      <c r="R418">
        <v>0</v>
      </c>
      <c r="S418">
        <v>0</v>
      </c>
      <c r="T418" s="165">
        <v>0</v>
      </c>
    </row>
    <row r="419" spans="2:20" x14ac:dyDescent="0.3">
      <c r="B419">
        <v>2402</v>
      </c>
      <c r="R419">
        <v>0</v>
      </c>
      <c r="S419">
        <v>0</v>
      </c>
      <c r="T419" s="165">
        <v>0</v>
      </c>
    </row>
    <row r="420" spans="2:20" x14ac:dyDescent="0.3">
      <c r="B420">
        <v>2403</v>
      </c>
      <c r="R420">
        <v>0</v>
      </c>
      <c r="S420">
        <v>0</v>
      </c>
      <c r="T420" s="165">
        <v>0</v>
      </c>
    </row>
    <row r="421" spans="2:20" x14ac:dyDescent="0.3">
      <c r="B421" s="10">
        <v>2404</v>
      </c>
      <c r="R421">
        <v>0</v>
      </c>
      <c r="S421">
        <v>0</v>
      </c>
      <c r="T421" s="165">
        <v>0</v>
      </c>
    </row>
    <row r="422" spans="2:20" x14ac:dyDescent="0.3">
      <c r="R422">
        <v>0</v>
      </c>
      <c r="S422">
        <v>0</v>
      </c>
      <c r="T422" s="165">
        <v>0</v>
      </c>
    </row>
    <row r="423" spans="2:20" x14ac:dyDescent="0.3">
      <c r="R423">
        <v>0</v>
      </c>
      <c r="S423">
        <v>0</v>
      </c>
      <c r="T423" s="165">
        <v>0</v>
      </c>
    </row>
    <row r="424" spans="2:20" x14ac:dyDescent="0.3">
      <c r="R424">
        <v>0</v>
      </c>
      <c r="S424">
        <v>0</v>
      </c>
      <c r="T424" s="165">
        <v>0</v>
      </c>
    </row>
    <row r="425" spans="2:20" x14ac:dyDescent="0.3">
      <c r="R425">
        <v>0</v>
      </c>
      <c r="S425">
        <v>0</v>
      </c>
      <c r="T425" s="165">
        <v>0</v>
      </c>
    </row>
    <row r="426" spans="2:20" x14ac:dyDescent="0.3">
      <c r="R426">
        <v>0</v>
      </c>
      <c r="S426">
        <v>0</v>
      </c>
      <c r="T426" s="165">
        <v>0</v>
      </c>
    </row>
    <row r="427" spans="2:20" x14ac:dyDescent="0.3">
      <c r="R427">
        <v>0</v>
      </c>
      <c r="S427">
        <v>0</v>
      </c>
      <c r="T427" s="165">
        <v>0</v>
      </c>
    </row>
    <row r="428" spans="2:20" x14ac:dyDescent="0.3">
      <c r="R428">
        <v>0</v>
      </c>
      <c r="S428">
        <v>0</v>
      </c>
      <c r="T428" s="165">
        <v>0</v>
      </c>
    </row>
    <row r="429" spans="2:20" x14ac:dyDescent="0.3">
      <c r="R429">
        <v>0</v>
      </c>
      <c r="S429">
        <v>0</v>
      </c>
      <c r="T429" s="165">
        <v>0</v>
      </c>
    </row>
  </sheetData>
  <mergeCells count="12">
    <mergeCell ref="V4:W4"/>
    <mergeCell ref="V5:W5"/>
    <mergeCell ref="Y4:Z4"/>
    <mergeCell ref="Y5:Z5"/>
    <mergeCell ref="A1:I1"/>
    <mergeCell ref="L3:M3"/>
    <mergeCell ref="L4:M4"/>
    <mergeCell ref="O5:P5"/>
    <mergeCell ref="O4:P4"/>
    <mergeCell ref="Q4:S4"/>
    <mergeCell ref="Q5:S5"/>
    <mergeCell ref="C4:H4"/>
  </mergeCell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72E42-E7CD-4E6C-BB8A-3C32901343FD}">
  <dimension ref="A3:Q67"/>
  <sheetViews>
    <sheetView workbookViewId="0">
      <selection activeCell="M30" sqref="M30"/>
    </sheetView>
  </sheetViews>
  <sheetFormatPr baseColWidth="10" defaultRowHeight="14.4" x14ac:dyDescent="0.3"/>
  <sheetData>
    <row r="3" spans="2:17" ht="15" thickBot="1" x14ac:dyDescent="0.35">
      <c r="B3" t="s">
        <v>54</v>
      </c>
    </row>
    <row r="4" spans="2:17" x14ac:dyDescent="0.3">
      <c r="B4" s="299" t="s">
        <v>216</v>
      </c>
      <c r="C4" s="290"/>
      <c r="D4" s="290"/>
      <c r="E4" s="290"/>
      <c r="F4" s="290"/>
      <c r="G4" s="290"/>
      <c r="H4" s="290"/>
      <c r="I4" s="292"/>
      <c r="J4" t="s">
        <v>359</v>
      </c>
    </row>
    <row r="5" spans="2:17" x14ac:dyDescent="0.3">
      <c r="B5" s="2" t="s">
        <v>57</v>
      </c>
      <c r="C5" s="25">
        <f>'Swiss Climate Strategy'!AH6</f>
        <v>0.31000000000000005</v>
      </c>
      <c r="I5" s="5"/>
    </row>
    <row r="6" spans="2:17" x14ac:dyDescent="0.3">
      <c r="B6" s="2" t="s">
        <v>352</v>
      </c>
      <c r="C6" t="s">
        <v>353</v>
      </c>
      <c r="D6" t="s">
        <v>354</v>
      </c>
      <c r="E6" t="s">
        <v>355</v>
      </c>
      <c r="F6" t="s">
        <v>356</v>
      </c>
      <c r="G6" t="s">
        <v>357</v>
      </c>
      <c r="H6" t="s">
        <v>358</v>
      </c>
      <c r="I6" s="5" t="s">
        <v>61</v>
      </c>
      <c r="J6" s="2" t="s">
        <v>352</v>
      </c>
      <c r="K6" t="s">
        <v>353</v>
      </c>
      <c r="L6" t="s">
        <v>354</v>
      </c>
      <c r="M6" t="s">
        <v>355</v>
      </c>
      <c r="N6" t="s">
        <v>356</v>
      </c>
      <c r="O6" t="s">
        <v>357</v>
      </c>
      <c r="P6" t="s">
        <v>358</v>
      </c>
      <c r="Q6" s="5" t="s">
        <v>61</v>
      </c>
    </row>
    <row r="7" spans="2:17" x14ac:dyDescent="0.3">
      <c r="B7" s="190">
        <v>0.19</v>
      </c>
      <c r="C7" s="25">
        <v>0.06</v>
      </c>
      <c r="D7" s="25">
        <v>0.22</v>
      </c>
      <c r="E7" s="25">
        <v>0.05</v>
      </c>
      <c r="F7" s="25">
        <v>0.05</v>
      </c>
      <c r="G7" s="25">
        <v>0.14000000000000001</v>
      </c>
      <c r="H7" s="25">
        <v>0.13</v>
      </c>
      <c r="I7" s="273">
        <v>0.16</v>
      </c>
    </row>
    <row r="8" spans="2:17" x14ac:dyDescent="0.3">
      <c r="B8" s="2"/>
      <c r="I8" s="5"/>
    </row>
    <row r="9" spans="2:17" x14ac:dyDescent="0.3">
      <c r="B9" s="2"/>
      <c r="I9" s="5"/>
    </row>
    <row r="10" spans="2:17" x14ac:dyDescent="0.3">
      <c r="B10" s="2"/>
      <c r="I10" s="5"/>
    </row>
    <row r="11" spans="2:17" x14ac:dyDescent="0.3">
      <c r="B11" s="2"/>
      <c r="I11" s="5"/>
    </row>
    <row r="12" spans="2:17" x14ac:dyDescent="0.3">
      <c r="B12" s="2"/>
      <c r="I12" s="5"/>
    </row>
    <row r="13" spans="2:17" x14ac:dyDescent="0.3">
      <c r="B13" s="2"/>
      <c r="I13" s="5"/>
    </row>
    <row r="14" spans="2:17" x14ac:dyDescent="0.3">
      <c r="B14" s="2"/>
      <c r="I14" s="5"/>
    </row>
    <row r="15" spans="2:17" x14ac:dyDescent="0.3">
      <c r="B15" s="2"/>
      <c r="I15" s="5"/>
    </row>
    <row r="16" spans="2:17" x14ac:dyDescent="0.3">
      <c r="B16" s="2"/>
      <c r="I16" s="5"/>
    </row>
    <row r="17" spans="2:9" x14ac:dyDescent="0.3">
      <c r="B17" s="2"/>
      <c r="I17" s="5"/>
    </row>
    <row r="18" spans="2:9" x14ac:dyDescent="0.3">
      <c r="B18" s="2"/>
      <c r="I18" s="5"/>
    </row>
    <row r="19" spans="2:9" x14ac:dyDescent="0.3">
      <c r="B19" s="2"/>
      <c r="I19" s="5"/>
    </row>
    <row r="20" spans="2:9" x14ac:dyDescent="0.3">
      <c r="B20" s="2"/>
      <c r="I20" s="5"/>
    </row>
    <row r="21" spans="2:9" x14ac:dyDescent="0.3">
      <c r="B21" s="2"/>
      <c r="I21" s="5"/>
    </row>
    <row r="22" spans="2:9" x14ac:dyDescent="0.3">
      <c r="B22" s="2"/>
      <c r="I22" s="5"/>
    </row>
    <row r="23" spans="2:9" x14ac:dyDescent="0.3">
      <c r="B23" s="2"/>
      <c r="I23" s="5"/>
    </row>
    <row r="24" spans="2:9" x14ac:dyDescent="0.3">
      <c r="B24" s="2"/>
      <c r="I24" s="5"/>
    </row>
    <row r="25" spans="2:9" x14ac:dyDescent="0.3">
      <c r="B25" s="2"/>
      <c r="I25" s="5"/>
    </row>
    <row r="26" spans="2:9" x14ac:dyDescent="0.3">
      <c r="B26" s="2"/>
      <c r="I26" s="5"/>
    </row>
    <row r="27" spans="2:9" x14ac:dyDescent="0.3">
      <c r="B27" s="2"/>
      <c r="I27" s="5"/>
    </row>
    <row r="28" spans="2:9" x14ac:dyDescent="0.3">
      <c r="B28" s="2"/>
      <c r="I28" s="5"/>
    </row>
    <row r="29" spans="2:9" x14ac:dyDescent="0.3">
      <c r="B29" s="2"/>
      <c r="I29" s="5"/>
    </row>
    <row r="30" spans="2:9" x14ac:dyDescent="0.3">
      <c r="B30" s="2"/>
      <c r="I30" s="5"/>
    </row>
    <row r="31" spans="2:9" x14ac:dyDescent="0.3">
      <c r="B31" s="2"/>
      <c r="I31" s="5"/>
    </row>
    <row r="32" spans="2:9" x14ac:dyDescent="0.3">
      <c r="B32" s="2"/>
      <c r="I32" s="5"/>
    </row>
    <row r="33" spans="1:17" x14ac:dyDescent="0.3">
      <c r="B33" s="2"/>
      <c r="I33" s="5"/>
    </row>
    <row r="34" spans="1:17" x14ac:dyDescent="0.3">
      <c r="B34" s="2"/>
      <c r="I34" s="5"/>
    </row>
    <row r="35" spans="1:17" x14ac:dyDescent="0.3">
      <c r="B35" s="2"/>
      <c r="I35" s="5"/>
    </row>
    <row r="36" spans="1:17" x14ac:dyDescent="0.3">
      <c r="B36" s="2"/>
      <c r="I36" s="5"/>
    </row>
    <row r="37" spans="1:17" x14ac:dyDescent="0.3">
      <c r="A37">
        <v>2020</v>
      </c>
      <c r="B37" s="31">
        <f>'Swiss Climate Strategy'!$L37*'Swiss Climate Strategy splitCat'!$C$5*'Swiss Climate Strategy splitCat'!B$7</f>
        <v>0.67090546325185585</v>
      </c>
      <c r="C37" s="23">
        <f>'Swiss Climate Strategy'!$L37*'Swiss Climate Strategy splitCat'!$C$5*'Swiss Climate Strategy splitCat'!C$7</f>
        <v>0.21186488313216501</v>
      </c>
      <c r="D37" s="23">
        <f>'Swiss Climate Strategy'!$L37*'Swiss Climate Strategy splitCat'!$C$5*'Swiss Climate Strategy splitCat'!D$7</f>
        <v>0.77683790481793835</v>
      </c>
      <c r="E37" s="23">
        <f>'Swiss Climate Strategy'!$L37*'Swiss Climate Strategy splitCat'!$C$5*'Swiss Climate Strategy splitCat'!E$7</f>
        <v>0.17655406927680417</v>
      </c>
      <c r="F37" s="23">
        <f>'Swiss Climate Strategy'!$L37*'Swiss Climate Strategy splitCat'!$C$5*'Swiss Climate Strategy splitCat'!F$7</f>
        <v>0.17655406927680417</v>
      </c>
      <c r="G37" s="23">
        <f>'Swiss Climate Strategy'!$L37*'Swiss Climate Strategy splitCat'!$C$5*'Swiss Climate Strategy splitCat'!G$7</f>
        <v>0.49435139397505173</v>
      </c>
      <c r="H37" s="23">
        <f>'Swiss Climate Strategy'!$L37*'Swiss Climate Strategy splitCat'!$C$5*'Swiss Climate Strategy splitCat'!H$7</f>
        <v>0.45904058011969084</v>
      </c>
      <c r="I37" s="20">
        <f>'Swiss Climate Strategy'!$L37*'Swiss Climate Strategy splitCat'!$C$5*'Swiss Climate Strategy splitCat'!I$7</f>
        <v>0.56497302168577335</v>
      </c>
      <c r="J37" s="23">
        <f>(B37*1000000000)/Surfaces!AF8</f>
        <v>20.312131809511399</v>
      </c>
      <c r="K37" s="23">
        <f>(C37*1000000000)/Surfaces!AG8</f>
        <v>22.908419334035411</v>
      </c>
      <c r="L37" s="23">
        <f>(D37*1000000000)/Surfaces!AH8</f>
        <v>65.33141810076765</v>
      </c>
      <c r="M37" s="23">
        <f>(E37*1000000000)/Surfaces!AI8</f>
        <v>22.272074352534428</v>
      </c>
      <c r="N37" s="23">
        <f>(F37*1000000000)/Surfaces!AJ8</f>
        <v>22.272074352534428</v>
      </c>
      <c r="O37" s="23">
        <f>(G37*1000000000)/Surfaces!AK8</f>
        <v>22.010049948386964</v>
      </c>
      <c r="P37" s="23">
        <f>(H37*1000000000)/Surfaces!AL8</f>
        <v>28.953696658294756</v>
      </c>
      <c r="Q37" s="23">
        <f>(I37*1000000000)/Surfaces!AM8</f>
        <v>22.506517240455846</v>
      </c>
    </row>
    <row r="38" spans="1:17" x14ac:dyDescent="0.3">
      <c r="A38">
        <v>2021</v>
      </c>
      <c r="B38" s="31">
        <f>'Swiss Climate Strategy'!$L38*'Swiss Climate Strategy splitCat'!$C$5*'Swiss Climate Strategy splitCat'!B$7</f>
        <v>0.64157188728394066</v>
      </c>
      <c r="C38" s="23">
        <f>'Swiss Climate Strategy'!$L38*'Swiss Climate Strategy splitCat'!$C$5*'Swiss Climate Strategy splitCat'!C$7</f>
        <v>0.20260164861598126</v>
      </c>
      <c r="D38" s="23">
        <f>'Swiss Climate Strategy'!$L38*'Swiss Climate Strategy splitCat'!$C$5*'Swiss Climate Strategy splitCat'!D$7</f>
        <v>0.74287271159193136</v>
      </c>
      <c r="E38" s="23">
        <f>'Swiss Climate Strategy'!$L38*'Swiss Climate Strategy splitCat'!$C$5*'Swiss Climate Strategy splitCat'!E$7</f>
        <v>0.16883470717998439</v>
      </c>
      <c r="F38" s="23">
        <f>'Swiss Climate Strategy'!$L38*'Swiss Climate Strategy splitCat'!$C$5*'Swiss Climate Strategy splitCat'!F$7</f>
        <v>0.16883470717998439</v>
      </c>
      <c r="G38" s="23">
        <f>'Swiss Climate Strategy'!$L38*'Swiss Climate Strategy splitCat'!$C$5*'Swiss Climate Strategy splitCat'!G$7</f>
        <v>0.47273718010395632</v>
      </c>
      <c r="H38" s="23">
        <f>'Swiss Climate Strategy'!$L38*'Swiss Climate Strategy splitCat'!$C$5*'Swiss Climate Strategy splitCat'!H$7</f>
        <v>0.43897023866795942</v>
      </c>
      <c r="I38" s="20">
        <f>'Swiss Climate Strategy'!$L38*'Swiss Climate Strategy splitCat'!$C$5*'Swiss Climate Strategy splitCat'!I$7</f>
        <v>0.54027106297595007</v>
      </c>
      <c r="J38" s="23">
        <f>(B38*1000000000)/Surfaces!AF9</f>
        <v>19.339934787031215</v>
      </c>
      <c r="K38" s="23">
        <f>(C38*1000000000)/Surfaces!AG9</f>
        <v>21.811956526726931</v>
      </c>
      <c r="L38" s="23">
        <f>(D38*1000000000)/Surfaces!AH9</f>
        <v>62.2044686132583</v>
      </c>
      <c r="M38" s="23">
        <f>(E38*1000000000)/Surfaces!AI9</f>
        <v>21.206068845428966</v>
      </c>
      <c r="N38" s="23">
        <f>(F38*1000000000)/Surfaces!AJ9</f>
        <v>21.206068845428966</v>
      </c>
      <c r="O38" s="23">
        <f>(G38*1000000000)/Surfaces!AK9</f>
        <v>20.956585682541565</v>
      </c>
      <c r="P38" s="23">
        <f>(H38*1000000000)/Surfaces!AL9</f>
        <v>27.567889499057657</v>
      </c>
      <c r="Q38" s="23">
        <f>(I38*1000000000)/Surfaces!AM9</f>
        <v>21.429290622749271</v>
      </c>
    </row>
    <row r="39" spans="1:17" x14ac:dyDescent="0.3">
      <c r="A39">
        <v>2022</v>
      </c>
      <c r="B39" s="31">
        <f>'Swiss Climate Strategy'!$L39*'Swiss Climate Strategy splitCat'!$C$5*'Swiss Climate Strategy splitCat'!B$7</f>
        <v>0.60574820747359504</v>
      </c>
      <c r="C39" s="23">
        <f>'Swiss Climate Strategy'!$L39*'Swiss Climate Strategy splitCat'!$C$5*'Swiss Climate Strategy splitCat'!C$7</f>
        <v>0.19128890762324052</v>
      </c>
      <c r="D39" s="23">
        <f>'Swiss Climate Strategy'!$L39*'Swiss Climate Strategy splitCat'!$C$5*'Swiss Climate Strategy splitCat'!D$7</f>
        <v>0.70139266128521527</v>
      </c>
      <c r="E39" s="23">
        <f>'Swiss Climate Strategy'!$L39*'Swiss Climate Strategy splitCat'!$C$5*'Swiss Climate Strategy splitCat'!E$7</f>
        <v>0.15940742301936711</v>
      </c>
      <c r="F39" s="23">
        <f>'Swiss Climate Strategy'!$L39*'Swiss Climate Strategy splitCat'!$C$5*'Swiss Climate Strategy splitCat'!F$7</f>
        <v>0.15940742301936711</v>
      </c>
      <c r="G39" s="23">
        <f>'Swiss Climate Strategy'!$L39*'Swiss Climate Strategy splitCat'!$C$5*'Swiss Climate Strategy splitCat'!G$7</f>
        <v>0.44634078445422792</v>
      </c>
      <c r="H39" s="23">
        <f>'Swiss Climate Strategy'!$L39*'Swiss Climate Strategy splitCat'!$C$5*'Swiss Climate Strategy splitCat'!H$7</f>
        <v>0.41445929985035446</v>
      </c>
      <c r="I39" s="20">
        <f>'Swiss Climate Strategy'!$L39*'Swiss Climate Strategy splitCat'!$C$5*'Swiss Climate Strategy splitCat'!I$7</f>
        <v>0.51010375366197469</v>
      </c>
      <c r="J39" s="23">
        <f>(B39*1000000000)/Surfaces!AF10</f>
        <v>18.180783301630605</v>
      </c>
      <c r="K39" s="23">
        <f>(C39*1000000000)/Surfaces!AG10</f>
        <v>20.504642821387897</v>
      </c>
      <c r="L39" s="23">
        <f>(D39*1000000000)/Surfaces!AH10</f>
        <v>58.476203601735854</v>
      </c>
      <c r="M39" s="23">
        <f>(E39*1000000000)/Surfaces!AI10</f>
        <v>19.935069409682679</v>
      </c>
      <c r="N39" s="23">
        <f>(F39*1000000000)/Surfaces!AJ10</f>
        <v>19.935069409682679</v>
      </c>
      <c r="O39" s="23">
        <f>(G39*1000000000)/Surfaces!AK10</f>
        <v>19.700539181333472</v>
      </c>
      <c r="P39" s="23">
        <f>(H39*1000000000)/Surfaces!AL10</f>
        <v>25.91559023258748</v>
      </c>
      <c r="Q39" s="23">
        <f>(I39*1000000000)/Surfaces!AM10</f>
        <v>20.144912245574073</v>
      </c>
    </row>
    <row r="40" spans="1:17" x14ac:dyDescent="0.3">
      <c r="A40">
        <v>2023</v>
      </c>
      <c r="B40" s="31">
        <f>'Swiss Climate Strategy'!$L40*'Swiss Climate Strategy splitCat'!$C$5*'Swiss Climate Strategy splitCat'!B$7</f>
        <v>0.57332093834530229</v>
      </c>
      <c r="C40" s="23">
        <f>'Swiss Climate Strategy'!$L40*'Swiss Climate Strategy splitCat'!$C$5*'Swiss Climate Strategy splitCat'!C$7</f>
        <v>0.18104871737220071</v>
      </c>
      <c r="D40" s="23">
        <f>'Swiss Climate Strategy'!$L40*'Swiss Climate Strategy splitCat'!$C$5*'Swiss Climate Strategy splitCat'!D$7</f>
        <v>0.66384529703140271</v>
      </c>
      <c r="E40" s="23">
        <f>'Swiss Climate Strategy'!$L40*'Swiss Climate Strategy splitCat'!$C$5*'Swiss Climate Strategy splitCat'!E$7</f>
        <v>0.15087393114350062</v>
      </c>
      <c r="F40" s="23">
        <f>'Swiss Climate Strategy'!$L40*'Swiss Climate Strategy splitCat'!$C$5*'Swiss Climate Strategy splitCat'!F$7</f>
        <v>0.15087393114350062</v>
      </c>
      <c r="G40" s="23">
        <f>'Swiss Climate Strategy'!$L40*'Swiss Climate Strategy splitCat'!$C$5*'Swiss Climate Strategy splitCat'!G$7</f>
        <v>0.42244700720180173</v>
      </c>
      <c r="H40" s="23">
        <f>'Swiss Climate Strategy'!$L40*'Swiss Climate Strategy splitCat'!$C$5*'Swiss Climate Strategy splitCat'!H$7</f>
        <v>0.3922722209731016</v>
      </c>
      <c r="I40" s="20">
        <f>'Swiss Climate Strategy'!$L40*'Swiss Climate Strategy splitCat'!$C$5*'Swiss Climate Strategy splitCat'!I$7</f>
        <v>0.48279657965920197</v>
      </c>
      <c r="J40" s="23">
        <f>(B40*1000000000)/Surfaces!AF11</f>
        <v>17.132644231177572</v>
      </c>
      <c r="K40" s="23">
        <f>(C40*1000000000)/Surfaces!AG11</f>
        <v>19.32253108779425</v>
      </c>
      <c r="L40" s="23">
        <f>(D40*1000000000)/Surfaces!AH11</f>
        <v>55.104996065191024</v>
      </c>
      <c r="M40" s="23">
        <f>(E40*1000000000)/Surfaces!AI11</f>
        <v>18.785794113133303</v>
      </c>
      <c r="N40" s="23">
        <f>(F40*1000000000)/Surfaces!AJ11</f>
        <v>18.785794113133303</v>
      </c>
      <c r="O40" s="23">
        <f>(G40*1000000000)/Surfaces!AK11</f>
        <v>18.564784770625849</v>
      </c>
      <c r="P40" s="23">
        <f>(H40*1000000000)/Surfaces!AL11</f>
        <v>24.421532347073295</v>
      </c>
      <c r="Q40" s="23">
        <f>(I40*1000000000)/Surfaces!AM11</f>
        <v>18.98353931432418</v>
      </c>
    </row>
    <row r="41" spans="1:17" x14ac:dyDescent="0.3">
      <c r="A41">
        <v>2024</v>
      </c>
      <c r="B41" s="31">
        <f>'Swiss Climate Strategy'!$L41*'Swiss Climate Strategy splitCat'!$C$5*'Swiss Climate Strategy splitCat'!B$7</f>
        <v>0.54126334099117157</v>
      </c>
      <c r="C41" s="23">
        <f>'Swiss Climate Strategy'!$L41*'Swiss Climate Strategy splitCat'!$C$5*'Swiss Climate Strategy splitCat'!C$7</f>
        <v>0.17092526557615942</v>
      </c>
      <c r="D41" s="23">
        <f>'Swiss Climate Strategy'!$L41*'Swiss Climate Strategy splitCat'!$C$5*'Swiss Climate Strategy splitCat'!D$7</f>
        <v>0.62672597377925121</v>
      </c>
      <c r="E41" s="23">
        <f>'Swiss Climate Strategy'!$L41*'Swiss Climate Strategy splitCat'!$C$5*'Swiss Climate Strategy splitCat'!E$7</f>
        <v>0.14243772131346619</v>
      </c>
      <c r="F41" s="23">
        <f>'Swiss Climate Strategy'!$L41*'Swiss Climate Strategy splitCat'!$C$5*'Swiss Climate Strategy splitCat'!F$7</f>
        <v>0.14243772131346619</v>
      </c>
      <c r="G41" s="23">
        <f>'Swiss Climate Strategy'!$L41*'Swiss Climate Strategy splitCat'!$C$5*'Swiss Climate Strategy splitCat'!G$7</f>
        <v>0.39882561967770536</v>
      </c>
      <c r="H41" s="23">
        <f>'Swiss Climate Strategy'!$L41*'Swiss Climate Strategy splitCat'!$C$5*'Swiss Climate Strategy splitCat'!H$7</f>
        <v>0.37033807541501212</v>
      </c>
      <c r="I41" s="20">
        <f>'Swiss Climate Strategy'!$L41*'Swiss Climate Strategy splitCat'!$C$5*'Swiss Climate Strategy splitCat'!I$7</f>
        <v>0.45580070820309182</v>
      </c>
      <c r="J41" s="23">
        <f>(B41*1000000000)/Surfaces!AF12</f>
        <v>16.104113105810342</v>
      </c>
      <c r="K41" s="23">
        <f>(C41*1000000000)/Surfaces!AG12</f>
        <v>18.162533577981584</v>
      </c>
      <c r="L41" s="23">
        <f>(D41*1000000000)/Surfaces!AH12</f>
        <v>51.796855018688227</v>
      </c>
      <c r="M41" s="23">
        <f>(E41*1000000000)/Surfaces!AI12</f>
        <v>17.658018756370989</v>
      </c>
      <c r="N41" s="23">
        <f>(F41*1000000000)/Surfaces!AJ12</f>
        <v>17.658018756370989</v>
      </c>
      <c r="O41" s="23">
        <f>(G41*1000000000)/Surfaces!AK12</f>
        <v>17.450277359237209</v>
      </c>
      <c r="P41" s="23">
        <f>(H41*1000000000)/Surfaces!AL12</f>
        <v>22.955424383282285</v>
      </c>
      <c r="Q41" s="23">
        <f>(I41*1000000000)/Surfaces!AM12</f>
        <v>17.843892638016996</v>
      </c>
    </row>
    <row r="42" spans="1:17" x14ac:dyDescent="0.3">
      <c r="A42">
        <v>2025</v>
      </c>
      <c r="B42" s="31">
        <f>'Swiss Climate Strategy'!$L42*'Swiss Climate Strategy splitCat'!$C$5*'Swiss Climate Strategy splitCat'!B$7</f>
        <v>0.50816857140710536</v>
      </c>
      <c r="C42" s="23">
        <f>'Swiss Climate Strategy'!$L42*'Swiss Climate Strategy splitCat'!$C$5*'Swiss Climate Strategy splitCat'!C$7</f>
        <v>0.16047428570750696</v>
      </c>
      <c r="D42" s="23">
        <f>'Swiss Climate Strategy'!$L42*'Swiss Climate Strategy splitCat'!$C$5*'Swiss Climate Strategy splitCat'!D$7</f>
        <v>0.58840571426085886</v>
      </c>
      <c r="E42" s="23">
        <f>'Swiss Climate Strategy'!$L42*'Swiss Climate Strategy splitCat'!$C$5*'Swiss Climate Strategy splitCat'!E$7</f>
        <v>0.13372857142292247</v>
      </c>
      <c r="F42" s="23">
        <f>'Swiss Climate Strategy'!$L42*'Swiss Climate Strategy splitCat'!$C$5*'Swiss Climate Strategy splitCat'!F$7</f>
        <v>0.13372857142292247</v>
      </c>
      <c r="G42" s="23">
        <f>'Swiss Climate Strategy'!$L42*'Swiss Climate Strategy splitCat'!$C$5*'Swiss Climate Strategy splitCat'!G$7</f>
        <v>0.37443999998418298</v>
      </c>
      <c r="H42" s="23">
        <f>'Swiss Climate Strategy'!$L42*'Swiss Climate Strategy splitCat'!$C$5*'Swiss Climate Strategy splitCat'!H$7</f>
        <v>0.34769428569959843</v>
      </c>
      <c r="I42" s="20">
        <f>'Swiss Climate Strategy'!$L42*'Swiss Climate Strategy splitCat'!$C$5*'Swiss Climate Strategy splitCat'!I$7</f>
        <v>0.42793142855335192</v>
      </c>
      <c r="J42" s="23">
        <f>(B42*1000000000)/Surfaces!AF13</f>
        <v>15.053350143094889</v>
      </c>
      <c r="K42" s="23">
        <f>(C42*1000000000)/Surfaces!AG13</f>
        <v>16.977462567400249</v>
      </c>
      <c r="L42" s="23">
        <f>(D42*1000000000)/Surfaces!AH13</f>
        <v>48.4172080625859</v>
      </c>
      <c r="M42" s="23">
        <f>(E42*1000000000)/Surfaces!AI13</f>
        <v>16.505866384972464</v>
      </c>
      <c r="N42" s="23">
        <f>(F42*1000000000)/Surfaces!AJ13</f>
        <v>16.505866384972464</v>
      </c>
      <c r="O42" s="23">
        <f>(G42*1000000000)/Surfaces!AK13</f>
        <v>16.31167972161985</v>
      </c>
      <c r="P42" s="23">
        <f>(H42*1000000000)/Surfaces!AL13</f>
        <v>21.457626300464206</v>
      </c>
      <c r="Q42" s="23">
        <f>(I42*1000000000)/Surfaces!AM13</f>
        <v>16.679612346919544</v>
      </c>
    </row>
    <row r="43" spans="1:17" x14ac:dyDescent="0.3">
      <c r="A43">
        <v>2026</v>
      </c>
      <c r="B43" s="31">
        <f>'Swiss Climate Strategy'!$L43*'Swiss Climate Strategy splitCat'!$C$5*'Swiss Climate Strategy splitCat'!B$7</f>
        <v>0.47420652585612766</v>
      </c>
      <c r="C43" s="23">
        <f>'Swiss Climate Strategy'!$L43*'Swiss Climate Strategy splitCat'!$C$5*'Swiss Climate Strategy splitCat'!C$7</f>
        <v>0.14974942921772452</v>
      </c>
      <c r="D43" s="23">
        <f>'Swiss Climate Strategy'!$L43*'Swiss Climate Strategy splitCat'!$C$5*'Swiss Climate Strategy splitCat'!D$7</f>
        <v>0.54908124046498985</v>
      </c>
      <c r="E43" s="23">
        <f>'Swiss Climate Strategy'!$L43*'Swiss Climate Strategy splitCat'!$C$5*'Swiss Climate Strategy splitCat'!E$7</f>
        <v>0.12479119101477043</v>
      </c>
      <c r="F43" s="23">
        <f>'Swiss Climate Strategy'!$L43*'Swiss Climate Strategy splitCat'!$C$5*'Swiss Climate Strategy splitCat'!F$7</f>
        <v>0.12479119101477043</v>
      </c>
      <c r="G43" s="23">
        <f>'Swiss Climate Strategy'!$L43*'Swiss Climate Strategy splitCat'!$C$5*'Swiss Climate Strategy splitCat'!G$7</f>
        <v>0.34941533484135723</v>
      </c>
      <c r="H43" s="23">
        <f>'Swiss Climate Strategy'!$L43*'Swiss Climate Strategy splitCat'!$C$5*'Swiss Climate Strategy splitCat'!H$7</f>
        <v>0.32445709663840311</v>
      </c>
      <c r="I43" s="20">
        <f>'Swiss Climate Strategy'!$L43*'Swiss Climate Strategy splitCat'!$C$5*'Swiss Climate Strategy splitCat'!I$7</f>
        <v>0.39933181124726541</v>
      </c>
      <c r="J43" s="23">
        <f>(B43*1000000000)/Surfaces!AF14</f>
        <v>13.985748190648643</v>
      </c>
      <c r="K43" s="23">
        <f>(C43*1000000000)/Surfaces!AG14</f>
        <v>15.773400215017267</v>
      </c>
      <c r="L43" s="23">
        <f>(D43*1000000000)/Surfaces!AH14</f>
        <v>44.983400613197389</v>
      </c>
      <c r="M43" s="23">
        <f>(E43*1000000000)/Surfaces!AI14</f>
        <v>15.335250209044565</v>
      </c>
      <c r="N43" s="23">
        <f>(F43*1000000000)/Surfaces!AJ14</f>
        <v>15.335250209044565</v>
      </c>
      <c r="O43" s="23">
        <f>(G43*1000000000)/Surfaces!AK14</f>
        <v>15.154835500702864</v>
      </c>
      <c r="P43" s="23">
        <f>(H43*1000000000)/Surfaces!AL14</f>
        <v>19.935825271757935</v>
      </c>
      <c r="Q43" s="23">
        <f>(I43*1000000000)/Surfaces!AM14</f>
        <v>15.496673895455558</v>
      </c>
    </row>
    <row r="44" spans="1:17" x14ac:dyDescent="0.3">
      <c r="A44">
        <v>2027</v>
      </c>
      <c r="B44" s="31">
        <f>'Swiss Climate Strategy'!$L44*'Swiss Climate Strategy splitCat'!$C$5*'Swiss Climate Strategy splitCat'!B$7</f>
        <v>0.44130574994268262</v>
      </c>
      <c r="C44" s="23">
        <f>'Swiss Climate Strategy'!$L44*'Swiss Climate Strategy splitCat'!$C$5*'Swiss Climate Strategy splitCat'!C$7</f>
        <v>0.13935971050821555</v>
      </c>
      <c r="D44" s="23">
        <f>'Swiss Climate Strategy'!$L44*'Swiss Climate Strategy splitCat'!$C$5*'Swiss Climate Strategy splitCat'!D$7</f>
        <v>0.51098560519679037</v>
      </c>
      <c r="E44" s="23">
        <f>'Swiss Climate Strategy'!$L44*'Swiss Climate Strategy splitCat'!$C$5*'Swiss Climate Strategy splitCat'!E$7</f>
        <v>0.11613309209017963</v>
      </c>
      <c r="F44" s="23">
        <f>'Swiss Climate Strategy'!$L44*'Swiss Climate Strategy splitCat'!$C$5*'Swiss Climate Strategy splitCat'!F$7</f>
        <v>0.11613309209017963</v>
      </c>
      <c r="G44" s="23">
        <f>'Swiss Climate Strategy'!$L44*'Swiss Climate Strategy splitCat'!$C$5*'Swiss Climate Strategy splitCat'!G$7</f>
        <v>0.32517265785250299</v>
      </c>
      <c r="H44" s="23">
        <f>'Swiss Climate Strategy'!$L44*'Swiss Climate Strategy splitCat'!$C$5*'Swiss Climate Strategy splitCat'!H$7</f>
        <v>0.30194603943446707</v>
      </c>
      <c r="I44" s="20">
        <f>'Swiss Climate Strategy'!$L44*'Swiss Climate Strategy splitCat'!$C$5*'Swiss Climate Strategy splitCat'!I$7</f>
        <v>0.37162589468857482</v>
      </c>
      <c r="J44" s="23">
        <f>(B44*1000000000)/Surfaces!AF15</f>
        <v>12.958249202926195</v>
      </c>
      <c r="K44" s="23">
        <f>(C44*1000000000)/Surfaces!AG15</f>
        <v>14.614566770217509</v>
      </c>
      <c r="L44" s="23">
        <f>(D44*1000000000)/Surfaces!AH15</f>
        <v>41.678579307657351</v>
      </c>
      <c r="M44" s="23">
        <f>(E44*1000000000)/Surfaces!AI15</f>
        <v>14.208606582155916</v>
      </c>
      <c r="N44" s="23">
        <f>(F44*1000000000)/Surfaces!AJ15</f>
        <v>14.208606582155916</v>
      </c>
      <c r="O44" s="23">
        <f>(G44*1000000000)/Surfaces!AK15</f>
        <v>14.041446504718788</v>
      </c>
      <c r="P44" s="23">
        <f>(H44*1000000000)/Surfaces!AL15</f>
        <v>18.471188556802694</v>
      </c>
      <c r="Q44" s="23">
        <f>(I44*1000000000)/Surfaces!AM15</f>
        <v>14.358170861968082</v>
      </c>
    </row>
    <row r="45" spans="1:17" x14ac:dyDescent="0.3">
      <c r="A45">
        <v>2028</v>
      </c>
      <c r="B45" s="31">
        <f>'Swiss Climate Strategy'!$L45*'Swiss Climate Strategy splitCat'!$C$5*'Swiss Climate Strategy splitCat'!B$7</f>
        <v>0.41326768299027761</v>
      </c>
      <c r="C45" s="23">
        <f>'Swiss Climate Strategy'!$L45*'Swiss Climate Strategy splitCat'!$C$5*'Swiss Climate Strategy splitCat'!C$7</f>
        <v>0.13050558410219293</v>
      </c>
      <c r="D45" s="23">
        <f>'Swiss Climate Strategy'!$L45*'Swiss Climate Strategy splitCat'!$C$5*'Swiss Climate Strategy splitCat'!D$7</f>
        <v>0.47852047504137407</v>
      </c>
      <c r="E45" s="23">
        <f>'Swiss Climate Strategy'!$L45*'Swiss Climate Strategy splitCat'!$C$5*'Swiss Climate Strategy splitCat'!E$7</f>
        <v>0.10875465341849411</v>
      </c>
      <c r="F45" s="23">
        <f>'Swiss Climate Strategy'!$L45*'Swiss Climate Strategy splitCat'!$C$5*'Swiss Climate Strategy splitCat'!F$7</f>
        <v>0.10875465341849411</v>
      </c>
      <c r="G45" s="23">
        <f>'Swiss Climate Strategy'!$L45*'Swiss Climate Strategy splitCat'!$C$5*'Swiss Climate Strategy splitCat'!G$7</f>
        <v>0.30451302957178356</v>
      </c>
      <c r="H45" s="23">
        <f>'Swiss Climate Strategy'!$L45*'Swiss Climate Strategy splitCat'!$C$5*'Swiss Climate Strategy splitCat'!H$7</f>
        <v>0.28276209888808468</v>
      </c>
      <c r="I45" s="20">
        <f>'Swiss Climate Strategy'!$L45*'Swiss Climate Strategy splitCat'!$C$5*'Swiss Climate Strategy splitCat'!I$7</f>
        <v>0.34801489093918114</v>
      </c>
      <c r="J45" s="23">
        <f>(B45*1000000000)/Surfaces!AF16</f>
        <v>12.081548159755453</v>
      </c>
      <c r="K45" s="23">
        <f>(C45*1000000000)/Surfaces!AG16</f>
        <v>13.625806195212917</v>
      </c>
      <c r="L45" s="23">
        <f>(D45*1000000000)/Surfaces!AH16</f>
        <v>38.858780630792403</v>
      </c>
      <c r="M45" s="23">
        <f>(E45*1000000000)/Surfaces!AI16</f>
        <v>13.247311578679225</v>
      </c>
      <c r="N45" s="23">
        <f>(F45*1000000000)/Surfaces!AJ16</f>
        <v>13.247311578679225</v>
      </c>
      <c r="O45" s="23">
        <f>(G45*1000000000)/Surfaces!AK16</f>
        <v>13.091460854224177</v>
      </c>
      <c r="P45" s="23">
        <f>(H45*1000000000)/Surfaces!AL16</f>
        <v>17.221505052282993</v>
      </c>
      <c r="Q45" s="23">
        <f>(I45*1000000000)/Surfaces!AM16</f>
        <v>13.386756963717954</v>
      </c>
    </row>
    <row r="46" spans="1:17" x14ac:dyDescent="0.3">
      <c r="A46">
        <v>2029</v>
      </c>
      <c r="B46" s="31">
        <f>'Swiss Climate Strategy'!$L46*'Swiss Climate Strategy splitCat'!$C$5*'Swiss Climate Strategy splitCat'!B$7</f>
        <v>0.38667213653100974</v>
      </c>
      <c r="C46" s="23">
        <f>'Swiss Climate Strategy'!$L46*'Swiss Climate Strategy splitCat'!$C$5*'Swiss Climate Strategy splitCat'!C$7</f>
        <v>0.12210699048347674</v>
      </c>
      <c r="D46" s="23">
        <f>'Swiss Climate Strategy'!$L46*'Swiss Climate Strategy splitCat'!$C$5*'Swiss Climate Strategy splitCat'!D$7</f>
        <v>0.4477256317727481</v>
      </c>
      <c r="E46" s="23">
        <f>'Swiss Climate Strategy'!$L46*'Swiss Climate Strategy splitCat'!$C$5*'Swiss Climate Strategy splitCat'!E$7</f>
        <v>0.10175582540289729</v>
      </c>
      <c r="F46" s="23">
        <f>'Swiss Climate Strategy'!$L46*'Swiss Climate Strategy splitCat'!$C$5*'Swiss Climate Strategy splitCat'!F$7</f>
        <v>0.10175582540289729</v>
      </c>
      <c r="G46" s="23">
        <f>'Swiss Climate Strategy'!$L46*'Swiss Climate Strategy splitCat'!$C$5*'Swiss Climate Strategy splitCat'!G$7</f>
        <v>0.28491631112811244</v>
      </c>
      <c r="H46" s="23">
        <f>'Swiss Climate Strategy'!$L46*'Swiss Climate Strategy splitCat'!$C$5*'Swiss Climate Strategy splitCat'!H$7</f>
        <v>0.26456514604753295</v>
      </c>
      <c r="I46" s="20">
        <f>'Swiss Climate Strategy'!$L46*'Swiss Climate Strategy splitCat'!$C$5*'Swiss Climate Strategy splitCat'!I$7</f>
        <v>0.32561864128927137</v>
      </c>
      <c r="J46" s="23">
        <f>(B46*1000000000)/Surfaces!AF17</f>
        <v>11.254192919404222</v>
      </c>
      <c r="K46" s="23">
        <f>(C46*1000000000)/Surfaces!AG17</f>
        <v>12.692698781282953</v>
      </c>
      <c r="L46" s="23">
        <f>(D46*1000000000)/Surfaces!AH17</f>
        <v>36.197696524399539</v>
      </c>
      <c r="M46" s="23">
        <f>(E46*1000000000)/Surfaces!AI17</f>
        <v>12.340123815136208</v>
      </c>
      <c r="N46" s="23">
        <f>(F46*1000000000)/Surfaces!AJ17</f>
        <v>12.340123815136208</v>
      </c>
      <c r="O46" s="23">
        <f>(G46*1000000000)/Surfaces!AK17</f>
        <v>12.19494588789931</v>
      </c>
      <c r="P46" s="23">
        <f>(H46*1000000000)/Surfaces!AL17</f>
        <v>16.042160959677069</v>
      </c>
      <c r="Q46" s="23">
        <f>(I46*1000000000)/Surfaces!AM17</f>
        <v>12.470019855295536</v>
      </c>
    </row>
    <row r="47" spans="1:17" x14ac:dyDescent="0.3">
      <c r="A47">
        <v>2030</v>
      </c>
      <c r="B47" s="31">
        <f>'Swiss Climate Strategy'!$L47*'Swiss Climate Strategy splitCat'!$C$5*'Swiss Climate Strategy splitCat'!B$7</f>
        <v>0.35942793816651536</v>
      </c>
      <c r="C47" s="23">
        <f>'Swiss Climate Strategy'!$L47*'Swiss Climate Strategy splitCat'!$C$5*'Swiss Climate Strategy splitCat'!C$7</f>
        <v>0.11350355942100485</v>
      </c>
      <c r="D47" s="23">
        <f>'Swiss Climate Strategy'!$L47*'Swiss Climate Strategy splitCat'!$C$5*'Swiss Climate Strategy splitCat'!D$7</f>
        <v>0.4161797178770178</v>
      </c>
      <c r="E47" s="23">
        <f>'Swiss Climate Strategy'!$L47*'Swiss Climate Strategy splitCat'!$C$5*'Swiss Climate Strategy splitCat'!E$7</f>
        <v>9.4586299517504052E-2</v>
      </c>
      <c r="F47" s="23">
        <f>'Swiss Climate Strategy'!$L47*'Swiss Climate Strategy splitCat'!$C$5*'Swiss Climate Strategy splitCat'!F$7</f>
        <v>9.4586299517504052E-2</v>
      </c>
      <c r="G47" s="23">
        <f>'Swiss Climate Strategy'!$L47*'Swiss Climate Strategy splitCat'!$C$5*'Swiss Climate Strategy splitCat'!G$7</f>
        <v>0.26484163864901134</v>
      </c>
      <c r="H47" s="23">
        <f>'Swiss Climate Strategy'!$L47*'Swiss Climate Strategy splitCat'!$C$5*'Swiss Climate Strategy splitCat'!H$7</f>
        <v>0.24592437874551054</v>
      </c>
      <c r="I47" s="20">
        <f>'Swiss Climate Strategy'!$L47*'Swiss Climate Strategy splitCat'!$C$5*'Swiss Climate Strategy splitCat'!I$7</f>
        <v>0.30267615845601298</v>
      </c>
      <c r="J47" s="23">
        <f>(B47*1000000000)/Surfaces!AF18</f>
        <v>10.415009351135613</v>
      </c>
      <c r="K47" s="23">
        <f>(C47*1000000000)/Surfaces!AG18</f>
        <v>11.746251147897308</v>
      </c>
      <c r="L47" s="23">
        <f>(D47*1000000000)/Surfaces!AH18</f>
        <v>33.498568088447882</v>
      </c>
      <c r="M47" s="23">
        <f>(E47*1000000000)/Surfaces!AI18</f>
        <v>11.419966393789052</v>
      </c>
      <c r="N47" s="23">
        <f>(F47*1000000000)/Surfaces!AJ18</f>
        <v>11.419966393789052</v>
      </c>
      <c r="O47" s="23">
        <f>(G47*1000000000)/Surfaces!AK18</f>
        <v>11.285613847979768</v>
      </c>
      <c r="P47" s="23">
        <f>(H47*1000000000)/Surfaces!AL18</f>
        <v>14.845956311925766</v>
      </c>
      <c r="Q47" s="23">
        <f>(I47*1000000000)/Surfaces!AM18</f>
        <v>11.54017656635525</v>
      </c>
    </row>
    <row r="48" spans="1:17" x14ac:dyDescent="0.3">
      <c r="A48">
        <v>2031</v>
      </c>
      <c r="B48" s="31">
        <f>'Swiss Climate Strategy'!$L48*'Swiss Climate Strategy splitCat'!$C$5*'Swiss Climate Strategy splitCat'!B$7</f>
        <v>0.33568858664703216</v>
      </c>
      <c r="C48" s="23">
        <f>'Swiss Climate Strategy'!$L48*'Swiss Climate Strategy splitCat'!$C$5*'Swiss Climate Strategy splitCat'!C$7</f>
        <v>0.10600692209906278</v>
      </c>
      <c r="D48" s="23">
        <f>'Swiss Climate Strategy'!$L48*'Swiss Climate Strategy splitCat'!$C$5*'Swiss Climate Strategy splitCat'!D$7</f>
        <v>0.38869204769656351</v>
      </c>
      <c r="E48" s="23">
        <f>'Swiss Climate Strategy'!$L48*'Swiss Climate Strategy splitCat'!$C$5*'Swiss Climate Strategy splitCat'!E$7</f>
        <v>8.8339101749218996E-2</v>
      </c>
      <c r="F48" s="23">
        <f>'Swiss Climate Strategy'!$L48*'Swiss Climate Strategy splitCat'!$C$5*'Swiss Climate Strategy splitCat'!F$7</f>
        <v>8.8339101749218996E-2</v>
      </c>
      <c r="G48" s="23">
        <f>'Swiss Climate Strategy'!$L48*'Swiss Climate Strategy splitCat'!$C$5*'Swiss Climate Strategy splitCat'!G$7</f>
        <v>0.24734948489781319</v>
      </c>
      <c r="H48" s="23">
        <f>'Swiss Climate Strategy'!$L48*'Swiss Climate Strategy splitCat'!$C$5*'Swiss Climate Strategy splitCat'!H$7</f>
        <v>0.22968166454796937</v>
      </c>
      <c r="I48" s="20">
        <f>'Swiss Climate Strategy'!$L48*'Swiss Climate Strategy splitCat'!$C$5*'Swiss Climate Strategy splitCat'!I$7</f>
        <v>0.28268512559750075</v>
      </c>
      <c r="J48" s="23">
        <f>(B48*1000000000)/Surfaces!AF19</f>
        <v>9.6840466999916046</v>
      </c>
      <c r="K48" s="23">
        <f>(C48*1000000000)/Surfaces!AG19</f>
        <v>10.921857180441657</v>
      </c>
      <c r="L48" s="23">
        <f>(D48*1000000000)/Surfaces!AH19</f>
        <v>31.147518625703992</v>
      </c>
      <c r="M48" s="23">
        <f>(E48*1000000000)/Surfaces!AI19</f>
        <v>10.618472258762726</v>
      </c>
      <c r="N48" s="23">
        <f>(F48*1000000000)/Surfaces!AJ19</f>
        <v>10.618472258762726</v>
      </c>
      <c r="O48" s="23">
        <f>(G48*1000000000)/Surfaces!AK19</f>
        <v>10.493549055718457</v>
      </c>
      <c r="P48" s="23">
        <f>(H48*1000000000)/Surfaces!AL19</f>
        <v>13.804013936391542</v>
      </c>
      <c r="Q48" s="23">
        <f>(I48*1000000000)/Surfaces!AM19</f>
        <v>10.730245650960224</v>
      </c>
    </row>
    <row r="49" spans="1:17" x14ac:dyDescent="0.3">
      <c r="A49">
        <v>2032</v>
      </c>
      <c r="B49" s="31">
        <f>'Swiss Climate Strategy'!$L49*'Swiss Climate Strategy splitCat'!$C$5*'Swiss Climate Strategy splitCat'!B$7</f>
        <v>0.31290338493418263</v>
      </c>
      <c r="C49" s="23">
        <f>'Swiss Climate Strategy'!$L49*'Swiss Climate Strategy splitCat'!$C$5*'Swiss Climate Strategy splitCat'!C$7</f>
        <v>9.8811595242373457E-2</v>
      </c>
      <c r="D49" s="23">
        <f>'Swiss Climate Strategy'!$L49*'Swiss Climate Strategy splitCat'!$C$5*'Swiss Climate Strategy splitCat'!D$7</f>
        <v>0.36230918255536937</v>
      </c>
      <c r="E49" s="23">
        <f>'Swiss Climate Strategy'!$L49*'Swiss Climate Strategy splitCat'!$C$5*'Swiss Climate Strategy splitCat'!E$7</f>
        <v>8.2342996035311228E-2</v>
      </c>
      <c r="F49" s="23">
        <f>'Swiss Climate Strategy'!$L49*'Swiss Climate Strategy splitCat'!$C$5*'Swiss Climate Strategy splitCat'!F$7</f>
        <v>8.2342996035311228E-2</v>
      </c>
      <c r="G49" s="23">
        <f>'Swiss Climate Strategy'!$L49*'Swiss Climate Strategy splitCat'!$C$5*'Swiss Climate Strategy splitCat'!G$7</f>
        <v>0.23056038889887145</v>
      </c>
      <c r="H49" s="23">
        <f>'Swiss Climate Strategy'!$L49*'Swiss Climate Strategy splitCat'!$C$5*'Swiss Climate Strategy splitCat'!H$7</f>
        <v>0.2140917896918092</v>
      </c>
      <c r="I49" s="20">
        <f>'Swiss Climate Strategy'!$L49*'Swiss Climate Strategy splitCat'!$C$5*'Swiss Climate Strategy splitCat'!I$7</f>
        <v>0.26349758731299594</v>
      </c>
      <c r="J49" s="23">
        <f>(B49*1000000000)/Surfaces!AF20</f>
        <v>8.9866789894627388</v>
      </c>
      <c r="K49" s="23">
        <f>(C49*1000000000)/Surfaces!AG20</f>
        <v>10.135352243754967</v>
      </c>
      <c r="L49" s="23">
        <f>(D49*1000000000)/Surfaces!AH20</f>
        <v>28.904523065523431</v>
      </c>
      <c r="M49" s="23">
        <f>(E49*1000000000)/Surfaces!AI20</f>
        <v>9.8538146814284424</v>
      </c>
      <c r="N49" s="23">
        <f>(F49*1000000000)/Surfaces!AJ20</f>
        <v>9.8538146814284424</v>
      </c>
      <c r="O49" s="23">
        <f>(G49*1000000000)/Surfaces!AK20</f>
        <v>9.7378874498822263</v>
      </c>
      <c r="P49" s="23">
        <f>(H49*1000000000)/Surfaces!AL20</f>
        <v>12.809959085856978</v>
      </c>
      <c r="Q49" s="23">
        <f>(I49*1000000000)/Surfaces!AM20</f>
        <v>9.9575390464961107</v>
      </c>
    </row>
    <row r="50" spans="1:17" x14ac:dyDescent="0.3">
      <c r="A50">
        <v>2033</v>
      </c>
      <c r="B50" s="31">
        <f>'Swiss Climate Strategy'!$L50*'Swiss Climate Strategy splitCat'!$C$5*'Swiss Climate Strategy splitCat'!B$7</f>
        <v>0.2922608253409032</v>
      </c>
      <c r="C50" s="23">
        <f>'Swiss Climate Strategy'!$L50*'Swiss Climate Strategy splitCat'!$C$5*'Swiss Climate Strategy splitCat'!C$7</f>
        <v>9.2292892212916797E-2</v>
      </c>
      <c r="D50" s="23">
        <f>'Swiss Climate Strategy'!$L50*'Swiss Climate Strategy splitCat'!$C$5*'Swiss Climate Strategy splitCat'!D$7</f>
        <v>0.3384072714473616</v>
      </c>
      <c r="E50" s="23">
        <f>'Swiss Climate Strategy'!$L50*'Swiss Climate Strategy splitCat'!$C$5*'Swiss Climate Strategy splitCat'!E$7</f>
        <v>7.6910743510764004E-2</v>
      </c>
      <c r="F50" s="23">
        <f>'Swiss Climate Strategy'!$L50*'Swiss Climate Strategy splitCat'!$C$5*'Swiss Climate Strategy splitCat'!F$7</f>
        <v>7.6910743510764004E-2</v>
      </c>
      <c r="G50" s="23">
        <f>'Swiss Climate Strategy'!$L50*'Swiss Climate Strategy splitCat'!$C$5*'Swiss Climate Strategy splitCat'!G$7</f>
        <v>0.21535008183013923</v>
      </c>
      <c r="H50" s="23">
        <f>'Swiss Climate Strategy'!$L50*'Swiss Climate Strategy splitCat'!$C$5*'Swiss Climate Strategy splitCat'!H$7</f>
        <v>0.19996793312798641</v>
      </c>
      <c r="I50" s="20">
        <f>'Swiss Climate Strategy'!$L50*'Swiss Climate Strategy splitCat'!$C$5*'Swiss Climate Strategy splitCat'!I$7</f>
        <v>0.24611437923444482</v>
      </c>
      <c r="J50" s="23">
        <f>(B50*1000000000)/Surfaces!AF21</f>
        <v>8.3565021797914802</v>
      </c>
      <c r="K50" s="23">
        <f>(C50*1000000000)/Surfaces!AG21</f>
        <v>9.4246265185618174</v>
      </c>
      <c r="L50" s="23">
        <f>(D50*1000000000)/Surfaces!AH21</f>
        <v>26.877638589972594</v>
      </c>
      <c r="M50" s="23">
        <f>(E50*1000000000)/Surfaces!AI21</f>
        <v>9.1628313374906565</v>
      </c>
      <c r="N50" s="23">
        <f>(F50*1000000000)/Surfaces!AJ21</f>
        <v>9.1628313374906565</v>
      </c>
      <c r="O50" s="23">
        <f>(G50*1000000000)/Surfaces!AK21</f>
        <v>9.0550333217554737</v>
      </c>
      <c r="P50" s="23">
        <f>(H50*1000000000)/Surfaces!AL21</f>
        <v>11.911680738737854</v>
      </c>
      <c r="Q50" s="23">
        <f>(I50*1000000000)/Surfaces!AM21</f>
        <v>9.2592821936747693</v>
      </c>
    </row>
    <row r="51" spans="1:17" x14ac:dyDescent="0.3">
      <c r="A51">
        <v>2034</v>
      </c>
      <c r="B51" s="31">
        <f>'Swiss Climate Strategy'!$L51*'Swiss Climate Strategy splitCat'!$C$5*'Swiss Climate Strategy splitCat'!B$7</f>
        <v>0.27279591319341734</v>
      </c>
      <c r="C51" s="23">
        <f>'Swiss Climate Strategy'!$L51*'Swiss Climate Strategy splitCat'!$C$5*'Swiss Climate Strategy splitCat'!C$7</f>
        <v>8.6146077850552838E-2</v>
      </c>
      <c r="D51" s="23">
        <f>'Swiss Climate Strategy'!$L51*'Swiss Climate Strategy splitCat'!$C$5*'Swiss Climate Strategy splitCat'!D$7</f>
        <v>0.31586895211869376</v>
      </c>
      <c r="E51" s="23">
        <f>'Swiss Climate Strategy'!$L51*'Swiss Climate Strategy splitCat'!$C$5*'Swiss Climate Strategy splitCat'!E$7</f>
        <v>7.1788398208794041E-2</v>
      </c>
      <c r="F51" s="23">
        <f>'Swiss Climate Strategy'!$L51*'Swiss Climate Strategy splitCat'!$C$5*'Swiss Climate Strategy splitCat'!F$7</f>
        <v>7.1788398208794041E-2</v>
      </c>
      <c r="G51" s="23">
        <f>'Swiss Climate Strategy'!$L51*'Swiss Climate Strategy splitCat'!$C$5*'Swiss Climate Strategy splitCat'!G$7</f>
        <v>0.20100751498462333</v>
      </c>
      <c r="H51" s="23">
        <f>'Swiss Climate Strategy'!$L51*'Swiss Climate Strategy splitCat'!$C$5*'Swiss Climate Strategy splitCat'!H$7</f>
        <v>0.1866498353428645</v>
      </c>
      <c r="I51" s="20">
        <f>'Swiss Climate Strategy'!$L51*'Swiss Climate Strategy splitCat'!$C$5*'Swiss Climate Strategy splitCat'!I$7</f>
        <v>0.22972287426814092</v>
      </c>
      <c r="J51" s="23">
        <f>(B51*1000000000)/Surfaces!AF22</f>
        <v>7.76520843911835</v>
      </c>
      <c r="K51" s="23">
        <f>(C51*1000000000)/Surfaces!AG22</f>
        <v>8.7577538787049054</v>
      </c>
      <c r="L51" s="23">
        <f>(D51*1000000000)/Surfaces!AH22</f>
        <v>24.975816617047329</v>
      </c>
      <c r="M51" s="23">
        <f>(E51*1000000000)/Surfaces!AI22</f>
        <v>8.5144829376297704</v>
      </c>
      <c r="N51" s="23">
        <f>(F51*1000000000)/Surfaces!AJ22</f>
        <v>8.5144829376297704</v>
      </c>
      <c r="O51" s="23">
        <f>(G51*1000000000)/Surfaces!AK22</f>
        <v>8.4143125501282441</v>
      </c>
      <c r="P51" s="23">
        <f>(H51*1000000000)/Surfaces!AL22</f>
        <v>11.068827818918702</v>
      </c>
      <c r="Q51" s="23">
        <f>(I51*1000000000)/Surfaces!AM22</f>
        <v>8.6041090738153461</v>
      </c>
    </row>
    <row r="52" spans="1:17" x14ac:dyDescent="0.3">
      <c r="A52">
        <v>2035</v>
      </c>
      <c r="B52" s="31">
        <f>'Swiss Climate Strategy'!$L52*'Swiss Climate Strategy splitCat'!$C$5*'Swiss Climate Strategy splitCat'!B$7</f>
        <v>0.25456897358884056</v>
      </c>
      <c r="C52" s="23">
        <f>'Swiss Climate Strategy'!$L52*'Swiss Climate Strategy splitCat'!$C$5*'Swiss Climate Strategy splitCat'!C$7</f>
        <v>8.0390202185949652E-2</v>
      </c>
      <c r="D52" s="23">
        <f>'Swiss Climate Strategy'!$L52*'Swiss Climate Strategy splitCat'!$C$5*'Swiss Climate Strategy splitCat'!D$7</f>
        <v>0.29476407468181542</v>
      </c>
      <c r="E52" s="23">
        <f>'Swiss Climate Strategy'!$L52*'Swiss Climate Strategy splitCat'!$C$5*'Swiss Climate Strategy splitCat'!E$7</f>
        <v>6.6991835154958046E-2</v>
      </c>
      <c r="F52" s="23">
        <f>'Swiss Climate Strategy'!$L52*'Swiss Climate Strategy splitCat'!$C$5*'Swiss Climate Strategy splitCat'!F$7</f>
        <v>6.6991835154958046E-2</v>
      </c>
      <c r="G52" s="23">
        <f>'Swiss Climate Strategy'!$L52*'Swiss Climate Strategy splitCat'!$C$5*'Swiss Climate Strategy splitCat'!G$7</f>
        <v>0.18757713843388255</v>
      </c>
      <c r="H52" s="23">
        <f>'Swiss Climate Strategy'!$L52*'Swiss Climate Strategy splitCat'!$C$5*'Swiss Climate Strategy splitCat'!H$7</f>
        <v>0.17417877140289093</v>
      </c>
      <c r="I52" s="20">
        <f>'Swiss Climate Strategy'!$L52*'Swiss Climate Strategy splitCat'!$C$5*'Swiss Climate Strategy splitCat'!I$7</f>
        <v>0.21437387249586576</v>
      </c>
      <c r="J52" s="23">
        <f>(B52*1000000000)/Surfaces!AF23</f>
        <v>7.2140396746097482</v>
      </c>
      <c r="K52" s="23">
        <f>(C52*1000000000)/Surfaces!AG23</f>
        <v>8.1361349713643776</v>
      </c>
      <c r="L52" s="23">
        <f>(D52*1000000000)/Surfaces!AH23</f>
        <v>23.203051585002122</v>
      </c>
      <c r="M52" s="23">
        <f>(E52*1000000000)/Surfaces!AI23</f>
        <v>7.9101312221598112</v>
      </c>
      <c r="N52" s="23">
        <f>(F52*1000000000)/Surfaces!AJ23</f>
        <v>7.9101312221598112</v>
      </c>
      <c r="O52" s="23">
        <f>(G52*1000000000)/Surfaces!AK23</f>
        <v>7.817070854840285</v>
      </c>
      <c r="P52" s="23">
        <f>(H52*1000000000)/Surfaces!AL23</f>
        <v>10.283170588807755</v>
      </c>
      <c r="Q52" s="23">
        <f>(I52*1000000000)/Surfaces!AM23</f>
        <v>7.9933957613404427</v>
      </c>
    </row>
    <row r="53" spans="1:17" x14ac:dyDescent="0.3">
      <c r="A53">
        <v>2036</v>
      </c>
      <c r="B53" s="31">
        <f>'Swiss Climate Strategy'!$L53*'Swiss Climate Strategy splitCat'!$C$5*'Swiss Climate Strategy splitCat'!B$7</f>
        <v>0.23620589347528745</v>
      </c>
      <c r="C53" s="23">
        <f>'Swiss Climate Strategy'!$L53*'Swiss Climate Strategy splitCat'!$C$5*'Swiss Climate Strategy splitCat'!C$7</f>
        <v>7.459133478166971E-2</v>
      </c>
      <c r="D53" s="23">
        <f>'Swiss Climate Strategy'!$L53*'Swiss Climate Strategy splitCat'!$C$5*'Swiss Climate Strategy splitCat'!D$7</f>
        <v>0.27350156086612232</v>
      </c>
      <c r="E53" s="23">
        <f>'Swiss Climate Strategy'!$L53*'Swiss Climate Strategy splitCat'!$C$5*'Swiss Climate Strategy splitCat'!E$7</f>
        <v>6.2159445651391435E-2</v>
      </c>
      <c r="F53" s="23">
        <f>'Swiss Climate Strategy'!$L53*'Swiss Climate Strategy splitCat'!$C$5*'Swiss Climate Strategy splitCat'!F$7</f>
        <v>6.2159445651391435E-2</v>
      </c>
      <c r="G53" s="23">
        <f>'Swiss Climate Strategy'!$L53*'Swiss Climate Strategy splitCat'!$C$5*'Swiss Climate Strategy splitCat'!G$7</f>
        <v>0.17404644782389603</v>
      </c>
      <c r="H53" s="23">
        <f>'Swiss Climate Strategy'!$L53*'Swiss Climate Strategy splitCat'!$C$5*'Swiss Climate Strategy splitCat'!H$7</f>
        <v>0.16161455869361774</v>
      </c>
      <c r="I53" s="20">
        <f>'Swiss Climate Strategy'!$L53*'Swiss Climate Strategy splitCat'!$C$5*'Swiss Climate Strategy splitCat'!I$7</f>
        <v>0.19891022608445258</v>
      </c>
      <c r="J53" s="23">
        <f>(B53*1000000000)/Surfaces!AF24</f>
        <v>6.6637413234041958</v>
      </c>
      <c r="K53" s="23">
        <f>(C53*1000000000)/Surfaces!AG24</f>
        <v>7.5154977331626247</v>
      </c>
      <c r="L53" s="23">
        <f>(D53*1000000000)/Surfaces!AH24</f>
        <v>21.433086127908233</v>
      </c>
      <c r="M53" s="23">
        <f>(E53*1000000000)/Surfaces!AI24</f>
        <v>7.3067339072414432</v>
      </c>
      <c r="N53" s="23">
        <f>(F53*1000000000)/Surfaces!AJ24</f>
        <v>7.3067339072414432</v>
      </c>
      <c r="O53" s="23">
        <f>(G53*1000000000)/Surfaces!AK24</f>
        <v>7.2207723318621317</v>
      </c>
      <c r="P53" s="23">
        <f>(H53*1000000000)/Surfaces!AL24</f>
        <v>9.4987540794138781</v>
      </c>
      <c r="Q53" s="23">
        <f>(I53*1000000000)/Surfaces!AM24</f>
        <v>7.3836468957387211</v>
      </c>
    </row>
    <row r="54" spans="1:17" x14ac:dyDescent="0.3">
      <c r="A54">
        <v>2037</v>
      </c>
      <c r="B54" s="31">
        <f>'Swiss Climate Strategy'!$L54*'Swiss Climate Strategy splitCat'!$C$5*'Swiss Climate Strategy splitCat'!B$7</f>
        <v>0.21864621744476101</v>
      </c>
      <c r="C54" s="23">
        <f>'Swiss Climate Strategy'!$L54*'Swiss Climate Strategy splitCat'!$C$5*'Swiss Climate Strategy splitCat'!C$7</f>
        <v>6.9046173929924529E-2</v>
      </c>
      <c r="D54" s="23">
        <f>'Swiss Climate Strategy'!$L54*'Swiss Climate Strategy splitCat'!$C$5*'Swiss Climate Strategy splitCat'!D$7</f>
        <v>0.25316930440972329</v>
      </c>
      <c r="E54" s="23">
        <f>'Swiss Climate Strategy'!$L54*'Swiss Climate Strategy splitCat'!$C$5*'Swiss Climate Strategy splitCat'!E$7</f>
        <v>5.7538478274937112E-2</v>
      </c>
      <c r="F54" s="23">
        <f>'Swiss Climate Strategy'!$L54*'Swiss Climate Strategy splitCat'!$C$5*'Swiss Climate Strategy splitCat'!F$7</f>
        <v>5.7538478274937112E-2</v>
      </c>
      <c r="G54" s="23">
        <f>'Swiss Climate Strategy'!$L54*'Swiss Climate Strategy splitCat'!$C$5*'Swiss Climate Strategy splitCat'!G$7</f>
        <v>0.16110773916982393</v>
      </c>
      <c r="H54" s="23">
        <f>'Swiss Climate Strategy'!$L54*'Swiss Climate Strategy splitCat'!$C$5*'Swiss Climate Strategy splitCat'!H$7</f>
        <v>0.14960004351483649</v>
      </c>
      <c r="I54" s="20">
        <f>'Swiss Climate Strategy'!$L54*'Swiss Climate Strategy splitCat'!$C$5*'Swiss Climate Strategy splitCat'!I$7</f>
        <v>0.18412313047979875</v>
      </c>
      <c r="J54" s="23">
        <f>(B54*1000000000)/Surfaces!AF25</f>
        <v>6.1407348978318881</v>
      </c>
      <c r="K54" s="23">
        <f>(C54*1000000000)/Surfaces!AG25</f>
        <v>6.9256408622164152</v>
      </c>
      <c r="L54" s="23">
        <f>(D54*1000000000)/Surfaces!AH25</f>
        <v>19.750901718172742</v>
      </c>
      <c r="M54" s="23">
        <f>(E54*1000000000)/Surfaces!AI25</f>
        <v>6.7332619493770709</v>
      </c>
      <c r="N54" s="23">
        <f>(F54*1000000000)/Surfaces!AJ25</f>
        <v>6.7332619493770709</v>
      </c>
      <c r="O54" s="23">
        <f>(G54*1000000000)/Surfaces!AK25</f>
        <v>6.654047102913812</v>
      </c>
      <c r="P54" s="23">
        <f>(H54*1000000000)/Surfaces!AL25</f>
        <v>8.7532405341901924</v>
      </c>
      <c r="Q54" s="23">
        <f>(I54*1000000000)/Surfaces!AM25</f>
        <v>6.8041383909494622</v>
      </c>
    </row>
    <row r="55" spans="1:17" x14ac:dyDescent="0.3">
      <c r="A55">
        <v>2038</v>
      </c>
      <c r="B55" s="31">
        <f>'Swiss Climate Strategy'!$L55*'Swiss Climate Strategy splitCat'!$C$5*'Swiss Climate Strategy splitCat'!B$7</f>
        <v>0.20250688254336532</v>
      </c>
      <c r="C55" s="23">
        <f>'Swiss Climate Strategy'!$L55*'Swiss Climate Strategy splitCat'!$C$5*'Swiss Climate Strategy splitCat'!C$7</f>
        <v>6.3949541855799569E-2</v>
      </c>
      <c r="D55" s="23">
        <f>'Swiss Climate Strategy'!$L55*'Swiss Climate Strategy splitCat'!$C$5*'Swiss Climate Strategy splitCat'!D$7</f>
        <v>0.23448165347126509</v>
      </c>
      <c r="E55" s="23">
        <f>'Swiss Climate Strategy'!$L55*'Swiss Climate Strategy splitCat'!$C$5*'Swiss Climate Strategy splitCat'!E$7</f>
        <v>5.3291284879832979E-2</v>
      </c>
      <c r="F55" s="23">
        <f>'Swiss Climate Strategy'!$L55*'Swiss Climate Strategy splitCat'!$C$5*'Swiss Climate Strategy splitCat'!F$7</f>
        <v>5.3291284879832979E-2</v>
      </c>
      <c r="G55" s="23">
        <f>'Swiss Climate Strategy'!$L55*'Swiss Climate Strategy splitCat'!$C$5*'Swiss Climate Strategy splitCat'!G$7</f>
        <v>0.14921559766353235</v>
      </c>
      <c r="H55" s="23">
        <f>'Swiss Climate Strategy'!$L55*'Swiss Climate Strategy splitCat'!$C$5*'Swiss Climate Strategy splitCat'!H$7</f>
        <v>0.13855734068756576</v>
      </c>
      <c r="I55" s="20">
        <f>'Swiss Climate Strategy'!$L55*'Swiss Climate Strategy splitCat'!$C$5*'Swiss Climate Strategy splitCat'!I$7</f>
        <v>0.17053211161546553</v>
      </c>
      <c r="J55" s="23">
        <f>(B55*1000000000)/Surfaces!AF26</f>
        <v>5.6619478606043767</v>
      </c>
      <c r="K55" s="23">
        <f>(C55*1000000000)/Surfaces!AG26</f>
        <v>6.3856554818846352</v>
      </c>
      <c r="L55" s="23">
        <f>(D55*1000000000)/Surfaces!AH26</f>
        <v>18.210943411300629</v>
      </c>
      <c r="M55" s="23">
        <f>(E55*1000000000)/Surfaces!AI26</f>
        <v>6.2082761629433962</v>
      </c>
      <c r="N55" s="23">
        <f>(F55*1000000000)/Surfaces!AJ26</f>
        <v>6.2082761629433962</v>
      </c>
      <c r="O55" s="23">
        <f>(G55*1000000000)/Surfaces!AK26</f>
        <v>6.1352376198499439</v>
      </c>
      <c r="P55" s="23">
        <f>(H55*1000000000)/Surfaces!AL26</f>
        <v>8.0707590118264143</v>
      </c>
      <c r="Q55" s="23">
        <f>(I55*1000000000)/Surfaces!AM26</f>
        <v>6.2736264383427995</v>
      </c>
    </row>
    <row r="56" spans="1:17" x14ac:dyDescent="0.3">
      <c r="A56">
        <v>2039</v>
      </c>
      <c r="B56" s="31">
        <f>'Swiss Climate Strategy'!$L56*'Swiss Climate Strategy splitCat'!$C$5*'Swiss Climate Strategy splitCat'!B$7</f>
        <v>0.18689444306804803</v>
      </c>
      <c r="C56" s="23">
        <f>'Swiss Climate Strategy'!$L56*'Swiss Climate Strategy splitCat'!$C$5*'Swiss Climate Strategy splitCat'!C$7</f>
        <v>5.9019297810962539E-2</v>
      </c>
      <c r="D56" s="23">
        <f>'Swiss Climate Strategy'!$L56*'Swiss Climate Strategy splitCat'!$C$5*'Swiss Climate Strategy splitCat'!D$7</f>
        <v>0.21640409197352931</v>
      </c>
      <c r="E56" s="23">
        <f>'Swiss Climate Strategy'!$L56*'Swiss Climate Strategy splitCat'!$C$5*'Swiss Climate Strategy splitCat'!E$7</f>
        <v>4.9182748175802121E-2</v>
      </c>
      <c r="F56" s="23">
        <f>'Swiss Climate Strategy'!$L56*'Swiss Climate Strategy splitCat'!$C$5*'Swiss Climate Strategy splitCat'!F$7</f>
        <v>4.9182748175802121E-2</v>
      </c>
      <c r="G56" s="23">
        <f>'Swiss Climate Strategy'!$L56*'Swiss Climate Strategy splitCat'!$C$5*'Swiss Climate Strategy splitCat'!G$7</f>
        <v>0.13771169489224594</v>
      </c>
      <c r="H56" s="23">
        <f>'Swiss Climate Strategy'!$L56*'Swiss Climate Strategy splitCat'!$C$5*'Swiss Climate Strategy splitCat'!H$7</f>
        <v>0.12787514525708552</v>
      </c>
      <c r="I56" s="20">
        <f>'Swiss Climate Strategy'!$L56*'Swiss Climate Strategy splitCat'!$C$5*'Swiss Climate Strategy splitCat'!I$7</f>
        <v>0.15738479416256676</v>
      </c>
      <c r="J56" s="23">
        <f>(B56*1000000000)/Surfaces!AF27</f>
        <v>5.201959476681596</v>
      </c>
      <c r="K56" s="23">
        <f>(C56*1000000000)/Surfaces!AG27</f>
        <v>5.8668715902424005</v>
      </c>
      <c r="L56" s="23">
        <f>(D56*1000000000)/Surfaces!AH27</f>
        <v>16.731448609209814</v>
      </c>
      <c r="M56" s="23">
        <f>(E56*1000000000)/Surfaces!AI27</f>
        <v>5.7039029349578909</v>
      </c>
      <c r="N56" s="23">
        <f>(F56*1000000000)/Surfaces!AJ27</f>
        <v>5.7039029349578909</v>
      </c>
      <c r="O56" s="23">
        <f>(G56*1000000000)/Surfaces!AK27</f>
        <v>5.6367981945466212</v>
      </c>
      <c r="P56" s="23">
        <f>(H56*1000000000)/Surfaces!AL27</f>
        <v>7.4150738154452593</v>
      </c>
      <c r="Q56" s="23">
        <f>(I56*1000000000)/Surfaces!AM27</f>
        <v>5.7639440184837616</v>
      </c>
    </row>
    <row r="57" spans="1:17" x14ac:dyDescent="0.3">
      <c r="A57">
        <v>2040</v>
      </c>
      <c r="B57" s="31">
        <f>'Swiss Climate Strategy'!$L57*'Swiss Climate Strategy splitCat'!$C$5*'Swiss Climate Strategy splitCat'!B$7</f>
        <v>0.17204213772948129</v>
      </c>
      <c r="C57" s="23">
        <f>'Swiss Climate Strategy'!$L57*'Swiss Climate Strategy splitCat'!$C$5*'Swiss Climate Strategy splitCat'!C$7</f>
        <v>5.4329096125099348E-2</v>
      </c>
      <c r="D57" s="23">
        <f>'Swiss Climate Strategy'!$L57*'Swiss Climate Strategy splitCat'!$C$5*'Swiss Climate Strategy splitCat'!D$7</f>
        <v>0.19920668579203096</v>
      </c>
      <c r="E57" s="23">
        <f>'Swiss Climate Strategy'!$L57*'Swiss Climate Strategy splitCat'!$C$5*'Swiss Climate Strategy splitCat'!E$7</f>
        <v>4.5274246770916127E-2</v>
      </c>
      <c r="F57" s="23">
        <f>'Swiss Climate Strategy'!$L57*'Swiss Climate Strategy splitCat'!$C$5*'Swiss Climate Strategy splitCat'!F$7</f>
        <v>4.5274246770916127E-2</v>
      </c>
      <c r="G57" s="23">
        <f>'Swiss Climate Strategy'!$L57*'Swiss Climate Strategy splitCat'!$C$5*'Swiss Climate Strategy splitCat'!G$7</f>
        <v>0.12676789095856517</v>
      </c>
      <c r="H57" s="23">
        <f>'Swiss Climate Strategy'!$L57*'Swiss Climate Strategy splitCat'!$C$5*'Swiss Climate Strategy splitCat'!H$7</f>
        <v>0.11771304160438194</v>
      </c>
      <c r="I57" s="20">
        <f>'Swiss Climate Strategy'!$L57*'Swiss Climate Strategy splitCat'!$C$5*'Swiss Climate Strategy splitCat'!I$7</f>
        <v>0.14487758966693162</v>
      </c>
      <c r="J57" s="23">
        <f>(B57*1000000000)/Surfaces!AF28</f>
        <v>4.7670179569499505</v>
      </c>
      <c r="K57" s="23">
        <f>(C57*1000000000)/Surfaces!AG28</f>
        <v>5.3763360416728752</v>
      </c>
      <c r="L57" s="23">
        <f>(D57*1000000000)/Surfaces!AH28</f>
        <v>15.332513896622649</v>
      </c>
      <c r="M57" s="23">
        <f>(E57*1000000000)/Surfaces!AI28</f>
        <v>5.2269933738486305</v>
      </c>
      <c r="N57" s="23">
        <f>(F57*1000000000)/Surfaces!AJ28</f>
        <v>5.2269933738486305</v>
      </c>
      <c r="O57" s="23">
        <f>(G57*1000000000)/Surfaces!AK28</f>
        <v>5.1654993341562925</v>
      </c>
      <c r="P57" s="23">
        <f>(H57*1000000000)/Surfaces!AL28</f>
        <v>6.7950913860032198</v>
      </c>
      <c r="Q57" s="23">
        <f>(I57*1000000000)/Surfaces!AM28</f>
        <v>5.2820143567312483</v>
      </c>
    </row>
    <row r="58" spans="1:17" x14ac:dyDescent="0.3">
      <c r="A58">
        <v>2041</v>
      </c>
      <c r="B58" s="31">
        <f>'Swiss Climate Strategy'!$L58*'Swiss Climate Strategy splitCat'!$C$5*'Swiss Climate Strategy splitCat'!B$7</f>
        <v>0.15612417964255421</v>
      </c>
      <c r="C58" s="23">
        <f>'Swiss Climate Strategy'!$L58*'Swiss Climate Strategy splitCat'!$C$5*'Swiss Climate Strategy splitCat'!C$7</f>
        <v>4.9302372518701322E-2</v>
      </c>
      <c r="D58" s="23">
        <f>'Swiss Climate Strategy'!$L58*'Swiss Climate Strategy splitCat'!$C$5*'Swiss Climate Strategy splitCat'!D$7</f>
        <v>0.18077536590190485</v>
      </c>
      <c r="E58" s="23">
        <f>'Swiss Climate Strategy'!$L58*'Swiss Climate Strategy splitCat'!$C$5*'Swiss Climate Strategy splitCat'!E$7</f>
        <v>4.108531043225111E-2</v>
      </c>
      <c r="F58" s="23">
        <f>'Swiss Climate Strategy'!$L58*'Swiss Climate Strategy splitCat'!$C$5*'Swiss Climate Strategy splitCat'!F$7</f>
        <v>4.108531043225111E-2</v>
      </c>
      <c r="G58" s="23">
        <f>'Swiss Climate Strategy'!$L58*'Swiss Climate Strategy splitCat'!$C$5*'Swiss Climate Strategy splitCat'!G$7</f>
        <v>0.1150388692103031</v>
      </c>
      <c r="H58" s="23">
        <f>'Swiss Climate Strategy'!$L58*'Swiss Climate Strategy splitCat'!$C$5*'Swiss Climate Strategy splitCat'!H$7</f>
        <v>0.10682180712385288</v>
      </c>
      <c r="I58" s="20">
        <f>'Swiss Climate Strategy'!$L58*'Swiss Climate Strategy splitCat'!$C$5*'Swiss Climate Strategy splitCat'!I$7</f>
        <v>0.13147299338320353</v>
      </c>
      <c r="J58" s="23">
        <f>(B58*1000000000)/Surfaces!AF29</f>
        <v>4.3064605508689446</v>
      </c>
      <c r="K58" s="23">
        <f>(C58*1000000000)/Surfaces!AG29</f>
        <v>4.856910395716854</v>
      </c>
      <c r="L58" s="23">
        <f>(D58*1000000000)/Surfaces!AH29</f>
        <v>13.851188906303623</v>
      </c>
      <c r="M58" s="23">
        <f>(E58*1000000000)/Surfaces!AI29</f>
        <v>4.7219962180580541</v>
      </c>
      <c r="N58" s="23">
        <f>(F58*1000000000)/Surfaces!AJ29</f>
        <v>4.7219962180580541</v>
      </c>
      <c r="O58" s="23">
        <f>(G58*1000000000)/Surfaces!AK29</f>
        <v>4.6664433213750165</v>
      </c>
      <c r="P58" s="23">
        <f>(H58*1000000000)/Surfaces!AL29</f>
        <v>6.1385950834754697</v>
      </c>
      <c r="Q58" s="23">
        <f>(I58*1000000000)/Surfaces!AM29</f>
        <v>4.7717014414060328</v>
      </c>
    </row>
    <row r="59" spans="1:17" x14ac:dyDescent="0.3">
      <c r="A59">
        <v>2042</v>
      </c>
      <c r="B59" s="31">
        <f>'Swiss Climate Strategy'!$L59*'Swiss Climate Strategy splitCat'!$C$5*'Swiss Climate Strategy splitCat'!B$7</f>
        <v>0.14231574044094242</v>
      </c>
      <c r="C59" s="23">
        <f>'Swiss Climate Strategy'!$L59*'Swiss Climate Strategy splitCat'!$C$5*'Swiss Climate Strategy splitCat'!C$7</f>
        <v>4.4941812770823923E-2</v>
      </c>
      <c r="D59" s="23">
        <f>'Swiss Climate Strategy'!$L59*'Swiss Climate Strategy splitCat'!$C$5*'Swiss Climate Strategy splitCat'!D$7</f>
        <v>0.16478664682635438</v>
      </c>
      <c r="E59" s="23">
        <f>'Swiss Climate Strategy'!$L59*'Swiss Climate Strategy splitCat'!$C$5*'Swiss Climate Strategy splitCat'!E$7</f>
        <v>3.7451510642353268E-2</v>
      </c>
      <c r="F59" s="23">
        <f>'Swiss Climate Strategy'!$L59*'Swiss Climate Strategy splitCat'!$C$5*'Swiss Climate Strategy splitCat'!F$7</f>
        <v>3.7451510642353268E-2</v>
      </c>
      <c r="G59" s="23">
        <f>'Swiss Climate Strategy'!$L59*'Swiss Climate Strategy splitCat'!$C$5*'Swiss Climate Strategy splitCat'!G$7</f>
        <v>0.10486422979858917</v>
      </c>
      <c r="H59" s="23">
        <f>'Swiss Climate Strategy'!$L59*'Swiss Climate Strategy splitCat'!$C$5*'Swiss Climate Strategy splitCat'!H$7</f>
        <v>9.7373927670118501E-2</v>
      </c>
      <c r="I59" s="20">
        <f>'Swiss Climate Strategy'!$L59*'Swiss Climate Strategy splitCat'!$C$5*'Swiss Climate Strategy splitCat'!I$7</f>
        <v>0.11984483405553047</v>
      </c>
      <c r="J59" s="23">
        <f>(B59*1000000000)/Surfaces!AF30</f>
        <v>3.9078567200893395</v>
      </c>
      <c r="K59" s="23">
        <f>(C59*1000000000)/Surfaces!AG30</f>
        <v>4.4073572031082771</v>
      </c>
      <c r="L59" s="23">
        <f>(D59*1000000000)/Surfaces!AH30</f>
        <v>12.56912980145694</v>
      </c>
      <c r="M59" s="23">
        <f>(E59*1000000000)/Surfaces!AI30</f>
        <v>4.2849306141330485</v>
      </c>
      <c r="N59" s="23">
        <f>(F59*1000000000)/Surfaces!AJ30</f>
        <v>4.2849306141330485</v>
      </c>
      <c r="O59" s="23">
        <f>(G59*1000000000)/Surfaces!AK30</f>
        <v>4.234519665731483</v>
      </c>
      <c r="P59" s="23">
        <f>(H59*1000000000)/Surfaces!AL30</f>
        <v>5.570409798372963</v>
      </c>
      <c r="Q59" s="23">
        <f>(I59*1000000000)/Surfaces!AM30</f>
        <v>4.3300351469133957</v>
      </c>
    </row>
    <row r="60" spans="1:17" x14ac:dyDescent="0.3">
      <c r="A60">
        <v>2043</v>
      </c>
      <c r="B60" s="31">
        <f>'Swiss Climate Strategy'!$L60*'Swiss Climate Strategy splitCat'!$C$5*'Swiss Climate Strategy splitCat'!B$7</f>
        <v>0.12567666081575321</v>
      </c>
      <c r="C60" s="23">
        <f>'Swiss Climate Strategy'!$L60*'Swiss Climate Strategy splitCat'!$C$5*'Swiss Climate Strategy splitCat'!C$7</f>
        <v>3.9687366573395749E-2</v>
      </c>
      <c r="D60" s="23">
        <f>'Swiss Climate Strategy'!$L60*'Swiss Climate Strategy splitCat'!$C$5*'Swiss Climate Strategy splitCat'!D$7</f>
        <v>0.1455203441024511</v>
      </c>
      <c r="E60" s="23">
        <f>'Swiss Climate Strategy'!$L60*'Swiss Climate Strategy splitCat'!$C$5*'Swiss Climate Strategy splitCat'!E$7</f>
        <v>3.3072805477829793E-2</v>
      </c>
      <c r="F60" s="23">
        <f>'Swiss Climate Strategy'!$L60*'Swiss Climate Strategy splitCat'!$C$5*'Swiss Climate Strategy splitCat'!F$7</f>
        <v>3.3072805477829793E-2</v>
      </c>
      <c r="G60" s="23">
        <f>'Swiss Climate Strategy'!$L60*'Swiss Climate Strategy splitCat'!$C$5*'Swiss Climate Strategy splitCat'!G$7</f>
        <v>9.2603855337923424E-2</v>
      </c>
      <c r="H60" s="23">
        <f>'Swiss Climate Strategy'!$L60*'Swiss Climate Strategy splitCat'!$C$5*'Swiss Climate Strategy splitCat'!H$7</f>
        <v>8.5989294242357461E-2</v>
      </c>
      <c r="I60" s="20">
        <f>'Swiss Climate Strategy'!$L60*'Swiss Climate Strategy splitCat'!$C$5*'Swiss Climate Strategy splitCat'!I$7</f>
        <v>0.10583297752905534</v>
      </c>
      <c r="J60" s="23">
        <f>(B60*1000000000)/Surfaces!AF31</f>
        <v>3.4353646718359734</v>
      </c>
      <c r="K60" s="23">
        <f>(C60*1000000000)/Surfaces!AG31</f>
        <v>3.8744714344014737</v>
      </c>
      <c r="L60" s="23">
        <f>(D60*1000000000)/Surfaces!AH31</f>
        <v>11.049418535144946</v>
      </c>
      <c r="M60" s="23">
        <f>(E60*1000000000)/Surfaces!AI31</f>
        <v>3.766847227890322</v>
      </c>
      <c r="N60" s="23">
        <f>(F60*1000000000)/Surfaces!AJ31</f>
        <v>3.766847227890322</v>
      </c>
      <c r="O60" s="23">
        <f>(G60*1000000000)/Surfaces!AK31</f>
        <v>3.7225313781504359</v>
      </c>
      <c r="P60" s="23">
        <f>(H60*1000000000)/Surfaces!AL31</f>
        <v>4.8969013962574186</v>
      </c>
      <c r="Q60" s="23">
        <f>(I60*1000000000)/Surfaces!AM31</f>
        <v>3.8064982513417993</v>
      </c>
    </row>
    <row r="61" spans="1:17" x14ac:dyDescent="0.3">
      <c r="A61">
        <v>2044</v>
      </c>
      <c r="B61" s="31">
        <f>'Swiss Climate Strategy'!$L61*'Swiss Climate Strategy splitCat'!$C$5*'Swiss Climate Strategy splitCat'!B$7</f>
        <v>0.10967784968889402</v>
      </c>
      <c r="C61" s="23">
        <f>'Swiss Climate Strategy'!$L61*'Swiss Climate Strategy splitCat'!$C$5*'Swiss Climate Strategy splitCat'!C$7</f>
        <v>3.4635110428071797E-2</v>
      </c>
      <c r="D61" s="23">
        <f>'Swiss Climate Strategy'!$L61*'Swiss Climate Strategy splitCat'!$C$5*'Swiss Climate Strategy splitCat'!D$7</f>
        <v>0.12699540490292993</v>
      </c>
      <c r="E61" s="23">
        <f>'Swiss Climate Strategy'!$L61*'Swiss Climate Strategy splitCat'!$C$5*'Swiss Climate Strategy splitCat'!E$7</f>
        <v>2.8862592023393165E-2</v>
      </c>
      <c r="F61" s="23">
        <f>'Swiss Climate Strategy'!$L61*'Swiss Climate Strategy splitCat'!$C$5*'Swiss Climate Strategy splitCat'!F$7</f>
        <v>2.8862592023393165E-2</v>
      </c>
      <c r="G61" s="23">
        <f>'Swiss Climate Strategy'!$L61*'Swiss Climate Strategy splitCat'!$C$5*'Swiss Climate Strategy splitCat'!G$7</f>
        <v>8.0815257665500864E-2</v>
      </c>
      <c r="H61" s="23">
        <f>'Swiss Climate Strategy'!$L61*'Swiss Climate Strategy splitCat'!$C$5*'Swiss Climate Strategy splitCat'!H$7</f>
        <v>7.5042739260822222E-2</v>
      </c>
      <c r="I61" s="20">
        <f>'Swiss Climate Strategy'!$L61*'Swiss Climate Strategy splitCat'!$C$5*'Swiss Climate Strategy splitCat'!I$7</f>
        <v>9.2360294474858121E-2</v>
      </c>
      <c r="J61" s="23">
        <f>(B61*1000000000)/Surfaces!AF32</f>
        <v>2.984467541098669</v>
      </c>
      <c r="K61" s="23">
        <f>(C61*1000000000)/Surfaces!AG32</f>
        <v>3.3659408358255662</v>
      </c>
      <c r="L61" s="23">
        <f>(D61*1000000000)/Surfaces!AH32</f>
        <v>9.5991646058729128</v>
      </c>
      <c r="M61" s="23">
        <f>(E61*1000000000)/Surfaces!AI32</f>
        <v>3.2724424792748565</v>
      </c>
      <c r="N61" s="23">
        <f>(F61*1000000000)/Surfaces!AJ32</f>
        <v>3.2724424792748565</v>
      </c>
      <c r="O61" s="23">
        <f>(G61*1000000000)/Surfaces!AK32</f>
        <v>3.2339431559892695</v>
      </c>
      <c r="P61" s="23">
        <f>(H61*1000000000)/Surfaces!AL32</f>
        <v>4.2541752230573131</v>
      </c>
      <c r="Q61" s="23">
        <f>(I61*1000000000)/Surfaces!AM32</f>
        <v>3.3068892422145915</v>
      </c>
    </row>
    <row r="62" spans="1:17" x14ac:dyDescent="0.3">
      <c r="A62">
        <v>2045</v>
      </c>
      <c r="B62" s="31">
        <f>'Swiss Climate Strategy'!$L62*'Swiss Climate Strategy splitCat'!$C$5*'Swiss Climate Strategy splitCat'!B$7</f>
        <v>9.4368492277998844E-2</v>
      </c>
      <c r="C62" s="23">
        <f>'Swiss Climate Strategy'!$L62*'Swiss Climate Strategy splitCat'!$C$5*'Swiss Climate Strategy splitCat'!C$7</f>
        <v>2.9800576508841738E-2</v>
      </c>
      <c r="D62" s="23">
        <f>'Swiss Climate Strategy'!$L62*'Swiss Climate Strategy splitCat'!$C$5*'Swiss Climate Strategy splitCat'!D$7</f>
        <v>0.10926878053241972</v>
      </c>
      <c r="E62" s="23">
        <f>'Swiss Climate Strategy'!$L62*'Swiss Climate Strategy splitCat'!$C$5*'Swiss Climate Strategy splitCat'!E$7</f>
        <v>2.4833813757368119E-2</v>
      </c>
      <c r="F62" s="23">
        <f>'Swiss Climate Strategy'!$L62*'Swiss Climate Strategy splitCat'!$C$5*'Swiss Climate Strategy splitCat'!F$7</f>
        <v>2.4833813757368119E-2</v>
      </c>
      <c r="G62" s="23">
        <f>'Swiss Climate Strategy'!$L62*'Swiss Climate Strategy splitCat'!$C$5*'Swiss Climate Strategy splitCat'!G$7</f>
        <v>6.9534678520630736E-2</v>
      </c>
      <c r="H62" s="23">
        <f>'Swiss Climate Strategy'!$L62*'Swiss Climate Strategy splitCat'!$C$5*'Swiss Climate Strategy splitCat'!H$7</f>
        <v>6.4567915769157103E-2</v>
      </c>
      <c r="I62" s="20">
        <f>'Swiss Climate Strategy'!$L62*'Swiss Climate Strategy splitCat'!$C$5*'Swiss Climate Strategy splitCat'!I$7</f>
        <v>7.9468204023577974E-2</v>
      </c>
      <c r="J62" s="23">
        <f>(B62*1000000000)/Surfaces!AF33</f>
        <v>2.5562419149137674</v>
      </c>
      <c r="K62" s="23">
        <f>(C62*1000000000)/Surfaces!AG33</f>
        <v>2.8829796032862034</v>
      </c>
      <c r="L62" s="23">
        <f>(D62*1000000000)/Surfaces!AH33</f>
        <v>8.2218307204828776</v>
      </c>
      <c r="M62" s="23">
        <f>(E62*1000000000)/Surfaces!AI33</f>
        <v>2.8028968365282538</v>
      </c>
      <c r="N62" s="23">
        <f>(F62*1000000000)/Surfaces!AJ33</f>
        <v>2.8028968365282538</v>
      </c>
      <c r="O62" s="23">
        <f>(G62*1000000000)/Surfaces!AK33</f>
        <v>2.7699215796279213</v>
      </c>
      <c r="P62" s="23">
        <f>(H62*1000000000)/Surfaces!AL33</f>
        <v>3.64376588748673</v>
      </c>
      <c r="Q62" s="23">
        <f>(I62*1000000000)/Surfaces!AM33</f>
        <v>2.832401013754867</v>
      </c>
    </row>
    <row r="63" spans="1:17" x14ac:dyDescent="0.3">
      <c r="A63">
        <v>2046</v>
      </c>
      <c r="B63" s="31">
        <f>'Swiss Climate Strategy'!$L63*'Swiss Climate Strategy splitCat'!$C$5*'Swiss Climate Strategy splitCat'!B$7</f>
        <v>7.4450455515576067E-2</v>
      </c>
      <c r="C63" s="23">
        <f>'Swiss Climate Strategy'!$L63*'Swiss Climate Strategy splitCat'!$C$5*'Swiss Climate Strategy splitCat'!C$7</f>
        <v>2.3510670162813493E-2</v>
      </c>
      <c r="D63" s="23">
        <f>'Swiss Climate Strategy'!$L63*'Swiss Climate Strategy splitCat'!$C$5*'Swiss Climate Strategy splitCat'!D$7</f>
        <v>8.6205790596982815E-2</v>
      </c>
      <c r="E63" s="23">
        <f>'Swiss Climate Strategy'!$L63*'Swiss Climate Strategy splitCat'!$C$5*'Swiss Climate Strategy splitCat'!E$7</f>
        <v>1.9592225135677915E-2</v>
      </c>
      <c r="F63" s="23">
        <f>'Swiss Climate Strategy'!$L63*'Swiss Climate Strategy splitCat'!$C$5*'Swiss Climate Strategy splitCat'!F$7</f>
        <v>1.9592225135677915E-2</v>
      </c>
      <c r="G63" s="23">
        <f>'Swiss Climate Strategy'!$L63*'Swiss Climate Strategy splitCat'!$C$5*'Swiss Climate Strategy splitCat'!G$7</f>
        <v>5.4858230379898162E-2</v>
      </c>
      <c r="H63" s="23">
        <f>'Swiss Climate Strategy'!$L63*'Swiss Climate Strategy splitCat'!$C$5*'Swiss Climate Strategy splitCat'!H$7</f>
        <v>5.0939785352762577E-2</v>
      </c>
      <c r="I63" s="20">
        <f>'Swiss Climate Strategy'!$L63*'Swiss Climate Strategy splitCat'!$C$5*'Swiss Climate Strategy splitCat'!I$7</f>
        <v>6.2695120434169319E-2</v>
      </c>
      <c r="J63" s="23">
        <f>(B63*1000000000)/Surfaces!AF34</f>
        <v>2.0075513217720276</v>
      </c>
      <c r="K63" s="23">
        <f>(C63*1000000000)/Surfaces!AG34</f>
        <v>2.2641556260586775</v>
      </c>
      <c r="L63" s="23">
        <f>(D63*1000000000)/Surfaces!AH34</f>
        <v>6.4570364150562307</v>
      </c>
      <c r="M63" s="23">
        <f>(E63*1000000000)/Surfaces!AI34</f>
        <v>2.2012624142237147</v>
      </c>
      <c r="N63" s="23">
        <f>(F63*1000000000)/Surfaces!AJ34</f>
        <v>2.2012624142237147</v>
      </c>
      <c r="O63" s="23">
        <f>(G63*1000000000)/Surfaces!AK34</f>
        <v>2.1753652093504945</v>
      </c>
      <c r="P63" s="23">
        <f>(H63*1000000000)/Surfaces!AL34</f>
        <v>2.8616411384908291</v>
      </c>
      <c r="Q63" s="23">
        <f>(I63*1000000000)/Surfaces!AM34</f>
        <v>2.2244335975313327</v>
      </c>
    </row>
    <row r="64" spans="1:17" x14ac:dyDescent="0.3">
      <c r="A64">
        <v>2047</v>
      </c>
      <c r="B64" s="31">
        <f>'Swiss Climate Strategy'!$L64*'Swiss Climate Strategy splitCat'!$C$5*'Swiss Climate Strategy splitCat'!B$7</f>
        <v>5.7426591476893378E-2</v>
      </c>
      <c r="C64" s="23">
        <f>'Swiss Climate Strategy'!$L64*'Swiss Climate Strategy splitCat'!$C$5*'Swiss Climate Strategy splitCat'!C$7</f>
        <v>1.813471309796633E-2</v>
      </c>
      <c r="D64" s="23">
        <f>'Swiss Climate Strategy'!$L64*'Swiss Climate Strategy splitCat'!$C$5*'Swiss Climate Strategy splitCat'!D$7</f>
        <v>6.6493948025876548E-2</v>
      </c>
      <c r="E64" s="23">
        <f>'Swiss Climate Strategy'!$L64*'Swiss Climate Strategy splitCat'!$C$5*'Swiss Climate Strategy splitCat'!E$7</f>
        <v>1.5112260914971943E-2</v>
      </c>
      <c r="F64" s="23">
        <f>'Swiss Climate Strategy'!$L64*'Swiss Climate Strategy splitCat'!$C$5*'Swiss Climate Strategy splitCat'!F$7</f>
        <v>1.5112260914971943E-2</v>
      </c>
      <c r="G64" s="23">
        <f>'Swiss Climate Strategy'!$L64*'Swiss Climate Strategy splitCat'!$C$5*'Swiss Climate Strategy splitCat'!G$7</f>
        <v>4.2314330561921444E-2</v>
      </c>
      <c r="H64" s="23">
        <f>'Swiss Climate Strategy'!$L64*'Swiss Climate Strategy splitCat'!$C$5*'Swiss Climate Strategy splitCat'!H$7</f>
        <v>3.9291878378927052E-2</v>
      </c>
      <c r="I64" s="20">
        <f>'Swiss Climate Strategy'!$L64*'Swiss Climate Strategy splitCat'!$C$5*'Swiss Climate Strategy splitCat'!I$7</f>
        <v>4.8359234927910215E-2</v>
      </c>
      <c r="J64" s="23">
        <f>(B64*1000000000)/Surfaces!AF35</f>
        <v>1.5414666555289651</v>
      </c>
      <c r="K64" s="23">
        <f>(C64*1000000000)/Surfaces!AG35</f>
        <v>1.7384962280401861</v>
      </c>
      <c r="L64" s="23">
        <f>(D64*1000000000)/Surfaces!AH35</f>
        <v>4.9579336873738651</v>
      </c>
      <c r="M64" s="23">
        <f>(E64*1000000000)/Surfaces!AI35</f>
        <v>1.6902046661501811</v>
      </c>
      <c r="N64" s="23">
        <f>(F64*1000000000)/Surfaces!AJ35</f>
        <v>1.6902046661501811</v>
      </c>
      <c r="O64" s="23">
        <f>(G64*1000000000)/Surfaces!AK35</f>
        <v>1.670319905371944</v>
      </c>
      <c r="P64" s="23">
        <f>(H64*1000000000)/Surfaces!AL35</f>
        <v>2.1972660659952354</v>
      </c>
      <c r="Q64" s="23">
        <f>(I64*1000000000)/Surfaces!AM35</f>
        <v>1.7079962942149198</v>
      </c>
    </row>
    <row r="65" spans="1:17" x14ac:dyDescent="0.3">
      <c r="A65">
        <v>2048</v>
      </c>
      <c r="B65" s="31">
        <f>'Swiss Climate Strategy'!$L65*'Swiss Climate Strategy splitCat'!$C$5*'Swiss Climate Strategy splitCat'!B$7</f>
        <v>4.2848147534596995E-2</v>
      </c>
      <c r="C65" s="23">
        <f>'Swiss Climate Strategy'!$L65*'Swiss Climate Strategy splitCat'!$C$5*'Swiss Climate Strategy splitCat'!C$7</f>
        <v>1.3530993958293788E-2</v>
      </c>
      <c r="D65" s="23">
        <f>'Swiss Climate Strategy'!$L65*'Swiss Climate Strategy splitCat'!$C$5*'Swiss Climate Strategy splitCat'!D$7</f>
        <v>4.9613644513743893E-2</v>
      </c>
      <c r="E65" s="23">
        <f>'Swiss Climate Strategy'!$L65*'Swiss Climate Strategy splitCat'!$C$5*'Swiss Climate Strategy splitCat'!E$7</f>
        <v>1.1275828298578157E-2</v>
      </c>
      <c r="F65" s="23">
        <f>'Swiss Climate Strategy'!$L65*'Swiss Climate Strategy splitCat'!$C$5*'Swiss Climate Strategy splitCat'!F$7</f>
        <v>1.1275828298578157E-2</v>
      </c>
      <c r="G65" s="23">
        <f>'Swiss Climate Strategy'!$L65*'Swiss Climate Strategy splitCat'!$C$5*'Swiss Climate Strategy splitCat'!G$7</f>
        <v>3.1572319236018845E-2</v>
      </c>
      <c r="H65" s="23">
        <f>'Swiss Climate Strategy'!$L65*'Swiss Climate Strategy splitCat'!$C$5*'Swiss Climate Strategy splitCat'!H$7</f>
        <v>2.9317153576303209E-2</v>
      </c>
      <c r="I65" s="20">
        <f>'Swiss Climate Strategy'!$L65*'Swiss Climate Strategy splitCat'!$C$5*'Swiss Climate Strategy splitCat'!I$7</f>
        <v>3.6082650555450103E-2</v>
      </c>
      <c r="J65" s="23">
        <f>(B65*1000000000)/Surfaces!AF36</f>
        <v>1.1449129152932682</v>
      </c>
      <c r="K65" s="23">
        <f>(C65*1000000000)/Surfaces!AG36</f>
        <v>1.2912551676239867</v>
      </c>
      <c r="L65" s="23">
        <f>(D65*1000000000)/Surfaces!AH36</f>
        <v>3.6824684410017405</v>
      </c>
      <c r="M65" s="23">
        <f>(E65*1000000000)/Surfaces!AI36</f>
        <v>1.2553869685233205</v>
      </c>
      <c r="N65" s="23">
        <f>(F65*1000000000)/Surfaces!AJ36</f>
        <v>1.2553869685233205</v>
      </c>
      <c r="O65" s="23">
        <f>(G65*1000000000)/Surfaces!AK36</f>
        <v>1.240617710070105</v>
      </c>
      <c r="P65" s="23">
        <f>(H65*1000000000)/Surfaces!AL36</f>
        <v>1.632003059080317</v>
      </c>
      <c r="Q65" s="23">
        <f>(I65*1000000000)/Surfaces!AM36</f>
        <v>1.2686015681919871</v>
      </c>
    </row>
    <row r="66" spans="1:17" x14ac:dyDescent="0.3">
      <c r="A66">
        <v>2049</v>
      </c>
      <c r="B66" s="31">
        <f>'Swiss Climate Strategy'!$L66*'Swiss Climate Strategy splitCat'!$C$5*'Swiss Climate Strategy splitCat'!B$7</f>
        <v>3.0794427238737678E-2</v>
      </c>
      <c r="C66" s="23">
        <f>'Swiss Climate Strategy'!$L66*'Swiss Climate Strategy splitCat'!$C$5*'Swiss Climate Strategy splitCat'!C$7</f>
        <v>9.7245559701276876E-3</v>
      </c>
      <c r="D66" s="23">
        <f>'Swiss Climate Strategy'!$L66*'Swiss Climate Strategy splitCat'!$C$5*'Swiss Climate Strategy splitCat'!D$7</f>
        <v>3.5656705223801523E-2</v>
      </c>
      <c r="E66" s="23">
        <f>'Swiss Climate Strategy'!$L66*'Swiss Climate Strategy splitCat'!$C$5*'Swiss Climate Strategy splitCat'!E$7</f>
        <v>8.1037966417730738E-3</v>
      </c>
      <c r="F66" s="23">
        <f>'Swiss Climate Strategy'!$L66*'Swiss Climate Strategy splitCat'!$C$5*'Swiss Climate Strategy splitCat'!F$7</f>
        <v>8.1037966417730738E-3</v>
      </c>
      <c r="G66" s="23">
        <f>'Swiss Climate Strategy'!$L66*'Swiss Climate Strategy splitCat'!$C$5*'Swiss Climate Strategy splitCat'!G$7</f>
        <v>2.2690630596964606E-2</v>
      </c>
      <c r="H66" s="23">
        <f>'Swiss Climate Strategy'!$L66*'Swiss Climate Strategy splitCat'!$C$5*'Swiss Climate Strategy splitCat'!H$7</f>
        <v>2.1069871268609989E-2</v>
      </c>
      <c r="I66" s="20">
        <f>'Swiss Climate Strategy'!$L66*'Swiss Climate Strategy splitCat'!$C$5*'Swiss Climate Strategy splitCat'!I$7</f>
        <v>2.5932149253673833E-2</v>
      </c>
      <c r="J66" s="23">
        <f>(B66*1000000000)/Surfaces!AF37</f>
        <v>0.81908586151330298</v>
      </c>
      <c r="K66" s="23">
        <f>(C66*1000000000)/Surfaces!AG37</f>
        <v>0.92378104681951456</v>
      </c>
      <c r="L66" s="23">
        <f>(D66*1000000000)/Surfaces!AH37</f>
        <v>2.6344866890778755</v>
      </c>
      <c r="M66" s="23">
        <f>(E66*1000000000)/Surfaces!AI37</f>
        <v>0.89812046218563935</v>
      </c>
      <c r="N66" s="23">
        <f>(F66*1000000000)/Surfaces!AJ37</f>
        <v>0.89812046218563935</v>
      </c>
      <c r="O66" s="23">
        <f>(G66*1000000000)/Surfaces!AK37</f>
        <v>0.88755433910110237</v>
      </c>
      <c r="P66" s="23">
        <f>(H66*1000000000)/Surfaces!AL37</f>
        <v>1.1675566008413309</v>
      </c>
      <c r="Q66" s="23">
        <f>(I66*1000000000)/Surfaces!AM37</f>
        <v>0.90757436178759332</v>
      </c>
    </row>
    <row r="67" spans="1:17" ht="15" thickBot="1" x14ac:dyDescent="0.35">
      <c r="A67">
        <v>2050</v>
      </c>
      <c r="B67" s="224">
        <f>'Swiss Climate Strategy'!$L67*'Swiss Climate Strategy splitCat'!$C$5*'Swiss Climate Strategy splitCat'!B$7</f>
        <v>2.1486561201124937E-2</v>
      </c>
      <c r="C67" s="227">
        <f>'Swiss Climate Strategy'!$L67*'Swiss Climate Strategy splitCat'!$C$5*'Swiss Climate Strategy splitCat'!C$7</f>
        <v>6.7852298529868221E-3</v>
      </c>
      <c r="D67" s="227">
        <f>'Swiss Climate Strategy'!$L67*'Swiss Climate Strategy splitCat'!$C$5*'Swiss Climate Strategy splitCat'!D$7</f>
        <v>2.4879176127618349E-2</v>
      </c>
      <c r="E67" s="227">
        <f>'Swiss Climate Strategy'!$L67*'Swiss Climate Strategy splitCat'!$C$5*'Swiss Climate Strategy splitCat'!E$7</f>
        <v>5.6543582108223526E-3</v>
      </c>
      <c r="F67" s="227">
        <f>'Swiss Climate Strategy'!$L67*'Swiss Climate Strategy splitCat'!$C$5*'Swiss Climate Strategy splitCat'!F$7</f>
        <v>5.6543582108223526E-3</v>
      </c>
      <c r="G67" s="227">
        <f>'Swiss Climate Strategy'!$L67*'Swiss Climate Strategy splitCat'!$C$5*'Swiss Climate Strategy splitCat'!G$7</f>
        <v>1.5832202990302587E-2</v>
      </c>
      <c r="H67" s="227">
        <f>'Swiss Climate Strategy'!$L67*'Swiss Climate Strategy splitCat'!$C$5*'Swiss Climate Strategy splitCat'!H$7</f>
        <v>1.4701331348138117E-2</v>
      </c>
      <c r="I67" s="225">
        <f>'Swiss Climate Strategy'!$L67*'Swiss Climate Strategy splitCat'!$C$5*'Swiss Climate Strategy splitCat'!I$7</f>
        <v>1.8093946274631529E-2</v>
      </c>
      <c r="J67" s="23">
        <f>(B67*1000000000)/Surfaces!AF38</f>
        <v>0.56890371294735553</v>
      </c>
      <c r="K67" s="23">
        <f>(C67*1000000000)/Surfaces!AG38</f>
        <v>0.64162072888799493</v>
      </c>
      <c r="L67" s="23">
        <f>(D67*1000000000)/Surfaces!AH38</f>
        <v>1.8298072638657636</v>
      </c>
      <c r="M67" s="23">
        <f>(E67*1000000000)/Surfaces!AI38</f>
        <v>0.62379793086332858</v>
      </c>
      <c r="N67" s="23">
        <f>(F67*1000000000)/Surfaces!AJ38</f>
        <v>0.62379793086332858</v>
      </c>
      <c r="O67" s="23">
        <f>(G67*1000000000)/Surfaces!AK38</f>
        <v>0.61645913167670108</v>
      </c>
      <c r="P67" s="23">
        <f>(H67*1000000000)/Surfaces!AL38</f>
        <v>0.81093731012232717</v>
      </c>
      <c r="Q67" s="23">
        <f>(I67*1000000000)/Surfaces!AM38</f>
        <v>0.63036422487241628</v>
      </c>
    </row>
  </sheetData>
  <mergeCells count="1">
    <mergeCell ref="B4:I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22</vt:i4>
      </vt:variant>
    </vt:vector>
  </HeadingPairs>
  <TitlesOfParts>
    <vt:vector size="22" baseType="lpstr">
      <vt:lpstr>Introduction_EN</vt:lpstr>
      <vt:lpstr>Introduction_FR</vt:lpstr>
      <vt:lpstr>Intro_Cycle de Vie</vt:lpstr>
      <vt:lpstr>Outil Cibles</vt:lpstr>
      <vt:lpstr>Background graphCON (2)</vt:lpstr>
      <vt:lpstr>Budget statique équivalent</vt:lpstr>
      <vt:lpstr>EssentielTrack</vt:lpstr>
      <vt:lpstr>Swiss Climate Strategy</vt:lpstr>
      <vt:lpstr>Swiss Climate Strategy splitCat</vt:lpstr>
      <vt:lpstr>Surfaces_ratios</vt:lpstr>
      <vt:lpstr>Background graphCON</vt:lpstr>
      <vt:lpstr>Background graphEXPL_CH</vt:lpstr>
      <vt:lpstr>Background graphEXPL_1.5</vt:lpstr>
      <vt:lpstr>Background cumul_CH</vt:lpstr>
      <vt:lpstr>Background cumul_1.5</vt:lpstr>
      <vt:lpstr>Global-Swiss Carbon Budgets</vt:lpstr>
      <vt:lpstr>Surfaces</vt:lpstr>
      <vt:lpstr>Industry details</vt:lpstr>
      <vt:lpstr>1.5°C</vt:lpstr>
      <vt:lpstr>2°C</vt:lpstr>
      <vt:lpstr>CHECK</vt:lpstr>
      <vt:lpstr>Feuil1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Priore Yasmine</dc:creator>
  <cp:keywords/>
  <dc:description/>
  <cp:lastModifiedBy>Priore Yasmine</cp:lastModifiedBy>
  <cp:revision/>
  <dcterms:created xsi:type="dcterms:W3CDTF">2015-06-05T18:19:34Z</dcterms:created>
  <dcterms:modified xsi:type="dcterms:W3CDTF">2024-04-30T13:46:58Z</dcterms:modified>
  <cp:category/>
  <cp:contentStatus/>
</cp:coreProperties>
</file>