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https://hessoit-my.sharepoint.com/personal/thomas_jusselme_hes-so_ch/Documents/04.Mandats/08.BFFSA_Climat/04.Développements/WP1.3/"/>
    </mc:Choice>
  </mc:AlternateContent>
  <xr:revisionPtr revIDLastSave="21" documentId="8_{4626533C-4FF8-4420-95A1-F947FFDDD72C}" xr6:coauthVersionLast="47" xr6:coauthVersionMax="47" xr10:uidLastSave="{315C804A-A29C-45F1-B708-95486ED9B249}"/>
  <bookViews>
    <workbookView xWindow="-120" yWindow="-120" windowWidth="25440" windowHeight="15270" activeTab="10" xr2:uid="{B03A7B44-A31F-4B61-8E2C-086B5A23A987}"/>
  </bookViews>
  <sheets>
    <sheet name="Info" sheetId="24" r:id="rId1"/>
    <sheet name="Aide" sheetId="42" r:id="rId2"/>
    <sheet name="Outil simplifié" sheetId="29" r:id="rId3"/>
    <sheet name="Hypothèses" sheetId="33" r:id="rId4"/>
    <sheet name="Proposition calcul PV" sheetId="44" state="hidden" r:id="rId5"/>
    <sheet name="Liste" sheetId="40" state="hidden" r:id="rId6"/>
    <sheet name="Cibles" sheetId="38" state="hidden" r:id="rId7"/>
    <sheet name="Graphes_Background" sheetId="32" state="hidden" r:id="rId8"/>
    <sheet name="List of materials" sheetId="37" state="hidden" r:id="rId9"/>
    <sheet name="Exploitation" sheetId="34" state="hidden" r:id="rId10"/>
    <sheet name="Outil détaillé" sheetId="30" r:id="rId11"/>
    <sheet name="Décomposition" sheetId="31" r:id="rId12"/>
    <sheet name="Travaux préparatoires" sheetId="11" state="hidden" r:id="rId13"/>
    <sheet name="Enveloppe du bâtiment sout." sheetId="5" r:id="rId14"/>
    <sheet name="Enveloppe du bâtiment hors terr" sheetId="7" state="hidden" r:id="rId15"/>
    <sheet name="Eléments de constr. inté. et ex" sheetId="8" state="hidden" r:id="rId16"/>
    <sheet name="Installations" sheetId="10" state="hidden" r:id="rId17"/>
    <sheet name="Baumaterialien Matériaux" sheetId="3" state="hidden" r:id="rId18"/>
    <sheet name="Gebäudetechnik Technique du bât" sheetId="4" state="hidden" r:id="rId19"/>
    <sheet name="Energie Energie" sheetId="36" state="hidden" r:id="rId20"/>
    <sheet name="Transporte Transports" sheetId="6" state="hidden" r:id="rId21"/>
  </sheets>
  <definedNames>
    <definedName name="_xlnm._FilterDatabase" localSheetId="17" hidden="1">#REF!</definedName>
    <definedName name="_xlnm._FilterDatabase" localSheetId="14" hidden="1">#REF!</definedName>
    <definedName name="_xlnm._FilterDatabase" localSheetId="18" hidden="1">#REF!</definedName>
    <definedName name="_xlnm._FilterDatabase" localSheetId="8" hidden="1">'List of materials'!$B$1:$B$69</definedName>
    <definedName name="_xlnm._FilterDatabase" localSheetId="20" hidden="1">#REF!</definedName>
    <definedName name="_xlnm._FilterDatabase" hidden="1">#REF!</definedName>
    <definedName name="_xlchart.v1.0" hidden="1">Graphes_Background!$B$2:$C$22</definedName>
    <definedName name="_xlchart.v1.1" hidden="1">Graphes_Background!$D$2:$D$22</definedName>
    <definedName name="Extract" localSheetId="5">Liste!#REF!</definedName>
    <definedName name="Print_Area" localSheetId="1">Aide!$A$1:$P$65</definedName>
    <definedName name="Print_Area" localSheetId="3">Hypothèses!$A$1:$M$22</definedName>
    <definedName name="Print_Area" localSheetId="0">Info!$A$1:$N$23</definedName>
    <definedName name="Print_Area" localSheetId="10">'Outil détaillé'!$B$1:$M$72</definedName>
    <definedName name="Print_Area" localSheetId="2">'Outil simplifié'!$A$1:$N$129</definedName>
    <definedName name="UmrechnungsfaktorkWh">#REF!</definedName>
    <definedName name="Z_0111E7B5_3E0B_11D4_8303_000102284B93_.wvu.PrintArea" localSheetId="17" hidden="1">#REF!</definedName>
    <definedName name="Z_0111E7B5_3E0B_11D4_8303_000102284B93_.wvu.PrintArea" localSheetId="14" hidden="1">#REF!</definedName>
    <definedName name="Z_0111E7B5_3E0B_11D4_8303_000102284B93_.wvu.PrintArea" localSheetId="18" hidden="1">#REF!</definedName>
    <definedName name="Z_0111E7B5_3E0B_11D4_8303_000102284B93_.wvu.PrintArea" localSheetId="20" hidden="1">#REF!</definedName>
    <definedName name="Z_0111E7B5_3E0B_11D4_8303_000102284B93_.wvu.PrintArea" hidden="1">#REF!</definedName>
    <definedName name="Z_011E7B5_3E0B_11D4_8303_000102284B94" localSheetId="17" hidden="1">#REF!</definedName>
    <definedName name="Z_011E7B5_3E0B_11D4_8303_000102284B94" localSheetId="14" hidden="1">#REF!</definedName>
    <definedName name="Z_011E7B5_3E0B_11D4_8303_000102284B94" localSheetId="18" hidden="1">#REF!</definedName>
    <definedName name="Z_011E7B5_3E0B_11D4_8303_000102284B94" localSheetId="20" hidden="1">#REF!</definedName>
    <definedName name="Z_011E7B5_3E0B_11D4_8303_000102284B94" hidden="1">#REF!</definedName>
    <definedName name="Z_54A7C567_FA7D_467E_B353_ECB5E61AE756_.wvu.Cols" localSheetId="17" hidden="1">'Baumaterialien Matériaux'!$B:$B,'Baumaterialien Matériaux'!$D:$E,'Baumaterialien Matériaux'!$K:$O,'Baumaterialien Matériaux'!$AE:$AE</definedName>
    <definedName name="Z_54A7C567_FA7D_467E_B353_ECB5E61AE756_.wvu.Cols" localSheetId="19" hidden="1">'Energie Energie'!$B:$B,'Energie Energie'!$G:$G,'Energie Energie'!$J:$J</definedName>
    <definedName name="Z_54A7C567_FA7D_467E_B353_ECB5E61AE756_.wvu.Cols" localSheetId="18" hidden="1">'Gebäudetechnik Technique du bât'!$D:$E</definedName>
    <definedName name="Z_54A7C567_FA7D_467E_B353_ECB5E61AE756_.wvu.FilterData" localSheetId="8" hidden="1">'List of materials'!$B$1:$E$31</definedName>
    <definedName name="Z_54A7C567_FA7D_467E_B353_ECB5E61AE756_.wvu.PrintArea" localSheetId="3" hidden="1">Hypothèses!$A$1:$M$22</definedName>
    <definedName name="Z_54A7C567_FA7D_467E_B353_ECB5E61AE756_.wvu.PrintArea" localSheetId="2" hidden="1">'Outil simplifié'!$A$6:$P$127</definedName>
    <definedName name="Z_54A7C567_FA7D_467E_B353_ECB5E61AE756_.wvu.Rows" localSheetId="17" hidden="1">'Baumaterialien Matériaux'!$3:$3</definedName>
    <definedName name="Z_54A7C567_FA7D_467E_B353_ECB5E61AE756_.wvu.Rows" localSheetId="19" hidden="1">'Energie Energie'!$3:$3</definedName>
    <definedName name="Z_54A7C567_FA7D_467E_B353_ECB5E61AE756_.wvu.Rows" localSheetId="18" hidden="1">'Gebäudetechnik Technique du bât'!$3:$3</definedName>
    <definedName name="Z_54A7C567_FA7D_467E_B353_ECB5E61AE756_.wvu.Rows" localSheetId="20" hidden="1">'Transporte Transports'!$3:$3</definedName>
    <definedName name="Z_9FA74287_E657_475B_BF4B_3C8C757714AE_.wvu.Cols" localSheetId="17" hidden="1">'Baumaterialien Matériaux'!$D:$E</definedName>
    <definedName name="Z_9FA74287_E657_475B_BF4B_3C8C757714AE_.wvu.Cols" localSheetId="11" hidden="1">Décomposition!#REF!</definedName>
    <definedName name="Z_9FA74287_E657_475B_BF4B_3C8C757714AE_.wvu.Cols" localSheetId="18" hidden="1">'Gebäudetechnik Technique du bât'!$D:$E</definedName>
    <definedName name="Z_9FA74287_E657_475B_BF4B_3C8C757714AE_.wvu.PrintArea" localSheetId="3" hidden="1">Hypothèses!$A$1:$M$22</definedName>
    <definedName name="Z_9FA74287_E657_475B_BF4B_3C8C757714AE_.wvu.Rows" localSheetId="17" hidden="1">'Baumaterialien Matériaux'!$3:$3</definedName>
    <definedName name="Z_9FA74287_E657_475B_BF4B_3C8C757714AE_.wvu.Rows" localSheetId="18" hidden="1">'Gebäudetechnik Technique du bât'!$3:$3</definedName>
    <definedName name="Z_9FA74287_E657_475B_BF4B_3C8C757714AE_.wvu.Rows" localSheetId="2" hidden="1">'Outil simplifié'!$18:$24</definedName>
    <definedName name="Z_9FA74287_E657_475B_BF4B_3C8C757714AE_.wvu.Rows" localSheetId="20" hidden="1">'Transporte Transports'!$3:$3</definedName>
    <definedName name="Z_B32447E2_AB5B_4CBB_881B_FF11349CA4D6_.wvu.Cols" localSheetId="17" hidden="1">'Baumaterialien Matériaux'!$D:$E</definedName>
    <definedName name="Z_B32447E2_AB5B_4CBB_881B_FF11349CA4D6_.wvu.Cols" localSheetId="11" hidden="1">Décomposition!#REF!</definedName>
    <definedName name="Z_B32447E2_AB5B_4CBB_881B_FF11349CA4D6_.wvu.Cols" localSheetId="18" hidden="1">'Gebäudetechnik Technique du bât'!$D:$E</definedName>
    <definedName name="Z_B32447E2_AB5B_4CBB_881B_FF11349CA4D6_.wvu.PrintArea" localSheetId="3" hidden="1">Hypothèses!$A$1:$M$22</definedName>
    <definedName name="Z_B32447E2_AB5B_4CBB_881B_FF11349CA4D6_.wvu.Rows" localSheetId="17" hidden="1">'Baumaterialien Matériaux'!$3:$3</definedName>
    <definedName name="Z_B32447E2_AB5B_4CBB_881B_FF11349CA4D6_.wvu.Rows" localSheetId="18" hidden="1">'Gebäudetechnik Technique du bât'!$3:$3</definedName>
    <definedName name="Z_B32447E2_AB5B_4CBB_881B_FF11349CA4D6_.wvu.Rows" localSheetId="2" hidden="1">'Outil simplifié'!$18:$24</definedName>
    <definedName name="Z_B32447E2_AB5B_4CBB_881B_FF11349CA4D6_.wvu.Rows" localSheetId="20" hidden="1">'Transporte Transports'!$3:$3</definedName>
    <definedName name="Z_EC51EC7F_3C0B_4CF9_8F20_C7FD08174DA8_.wvu.PrintArea" localSheetId="17" hidden="1">'Baumaterialien Matériaux'!$C$1:$AD$304</definedName>
    <definedName name="Z_EC51EC7F_3C0B_4CF9_8F20_C7FD08174DA8_.wvu.PrintArea" localSheetId="18" hidden="1">'Gebäudetechnik Technique du bât'!$C$1:$X$52</definedName>
    <definedName name="Z_EC51EC7F_3C0B_4CF9_8F20_C7FD08174DA8_.wvu.PrintArea" localSheetId="20" hidden="1">'Transporte Transports'!$C$1:$AA$79</definedName>
    <definedName name="Z_EC51EC7F_3C0B_4CF9_8F20_C7FD08174DA8_.wvu.PrintTitles" localSheetId="17" hidden="1">'Baumaterialien Matériaux'!$1:$9</definedName>
    <definedName name="Z_EC51EC7F_3C0B_4CF9_8F20_C7FD08174DA8_.wvu.PrintTitles" localSheetId="18" hidden="1">'Gebäudetechnik Technique du bât'!$1:$9</definedName>
    <definedName name="Z_EC51EC7F_3C0B_4CF9_8F20_C7FD08174DA8_.wvu.PrintTitles" localSheetId="20" hidden="1">'Transporte Transports'!$1:$9</definedName>
    <definedName name="_xlnm.Print_Area" localSheetId="1">Aide!$A$1:$P$95</definedName>
    <definedName name="_xlnm.Print_Area" localSheetId="3">Hypothèses!$A$1:$M$22</definedName>
    <definedName name="_xlnm.Print_Area" localSheetId="10">'Outil détaillé'!$B$1:$M$72</definedName>
    <definedName name="_xlnm.Print_Area" localSheetId="2">'Outil simplifié'!$A$1:$N$131</definedName>
  </definedNames>
  <calcPr calcId="191028"/>
  <customWorkbookViews>
    <customWorkbookView name="Imprimer" guid="{B32447E2-AB5B-4CBB-881B-FF11349CA4D6}" maximized="1" xWindow="-2569" yWindow="-120" windowWidth="2578" windowHeight="1408" tabRatio="573" activeSheetId="33"/>
    <customWorkbookView name="x" guid="{9FA74287-E657-475B-BF4B-3C8C757714AE}" maximized="1" xWindow="-2569" yWindow="-120" windowWidth="2578" windowHeight="1408" tabRatio="573" activeSheetId="33"/>
    <customWorkbookView name="OutilImpr" guid="{54A7C567-FA7D-467E-B353-ECB5E61AE756}" maximized="1" xWindow="-8" yWindow="-8" windowWidth="1936" windowHeight="1048" activeSheetId="29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7" i="30" l="1"/>
  <c r="K11" i="30" l="1"/>
  <c r="F23" i="30" l="1"/>
  <c r="P101" i="7"/>
  <c r="O101" i="7"/>
  <c r="N101" i="7"/>
  <c r="M101" i="7"/>
  <c r="L101" i="7"/>
  <c r="E101" i="7"/>
  <c r="D101" i="7"/>
  <c r="P100" i="7"/>
  <c r="O100" i="7"/>
  <c r="N100" i="7"/>
  <c r="M100" i="7"/>
  <c r="M102" i="7" s="1"/>
  <c r="L100" i="7"/>
  <c r="E100" i="7"/>
  <c r="D100" i="7"/>
  <c r="P99" i="7"/>
  <c r="P102" i="7" s="1"/>
  <c r="O99" i="7"/>
  <c r="O102" i="7" s="1"/>
  <c r="N99" i="7"/>
  <c r="N102" i="7" s="1"/>
  <c r="M99" i="7"/>
  <c r="L99" i="7"/>
  <c r="L102" i="7" s="1"/>
  <c r="R102" i="7" s="1"/>
  <c r="E99" i="7"/>
  <c r="D99" i="7"/>
  <c r="P106" i="7"/>
  <c r="O106" i="7"/>
  <c r="N106" i="7"/>
  <c r="M106" i="7"/>
  <c r="L106" i="7"/>
  <c r="E106" i="7"/>
  <c r="D106" i="7"/>
  <c r="P105" i="7"/>
  <c r="O105" i="7"/>
  <c r="N105" i="7"/>
  <c r="M105" i="7"/>
  <c r="L105" i="7"/>
  <c r="E105" i="7"/>
  <c r="D105" i="7"/>
  <c r="P104" i="7"/>
  <c r="O104" i="7"/>
  <c r="N104" i="7"/>
  <c r="M104" i="7"/>
  <c r="L104" i="7"/>
  <c r="E104" i="7"/>
  <c r="D104" i="7"/>
  <c r="K66" i="30"/>
  <c r="E10" i="11"/>
  <c r="E11" i="11"/>
  <c r="E12" i="11"/>
  <c r="E13" i="11"/>
  <c r="E14" i="11"/>
  <c r="E15" i="11"/>
  <c r="E16" i="11"/>
  <c r="E9" i="11"/>
  <c r="E20" i="11"/>
  <c r="E21" i="11"/>
  <c r="E22" i="11"/>
  <c r="E23" i="11"/>
  <c r="E19" i="11"/>
  <c r="G79" i="8"/>
  <c r="L79" i="8" s="1"/>
  <c r="E79" i="8"/>
  <c r="D79" i="8"/>
  <c r="P78" i="8"/>
  <c r="O78" i="8"/>
  <c r="N78" i="8"/>
  <c r="M78" i="8"/>
  <c r="L78" i="8"/>
  <c r="P77" i="8"/>
  <c r="O77" i="8"/>
  <c r="N77" i="8"/>
  <c r="M77" i="8"/>
  <c r="L77" i="8"/>
  <c r="L107" i="7" l="1"/>
  <c r="M107" i="7"/>
  <c r="N107" i="7"/>
  <c r="O107" i="7"/>
  <c r="P107" i="7"/>
  <c r="L80" i="8"/>
  <c r="P79" i="8"/>
  <c r="P80" i="8" s="1"/>
  <c r="M79" i="8"/>
  <c r="M80" i="8" s="1"/>
  <c r="R80" i="8" s="1"/>
  <c r="N79" i="8"/>
  <c r="N80" i="8" s="1"/>
  <c r="O79" i="8"/>
  <c r="O80" i="8" s="1"/>
  <c r="R107" i="7" l="1"/>
  <c r="W36" i="10"/>
  <c r="W35" i="10"/>
  <c r="W34" i="10"/>
  <c r="W30" i="10"/>
  <c r="W29" i="10"/>
  <c r="W31" i="10"/>
  <c r="W28" i="10"/>
  <c r="W25" i="10"/>
  <c r="W23" i="10"/>
  <c r="W21" i="10"/>
  <c r="W17" i="10"/>
  <c r="W12" i="10"/>
  <c r="W10" i="10"/>
  <c r="W8" i="10"/>
  <c r="W5" i="10"/>
  <c r="W4" i="10"/>
  <c r="W3" i="10"/>
  <c r="X5" i="10"/>
  <c r="R83" i="5"/>
  <c r="R71" i="5"/>
  <c r="R60" i="5"/>
  <c r="R50" i="5"/>
  <c r="R41" i="5"/>
  <c r="R32" i="5"/>
  <c r="R23" i="5"/>
  <c r="R15" i="5"/>
  <c r="R7" i="5"/>
  <c r="R9" i="11"/>
  <c r="R10" i="11"/>
  <c r="R11" i="11"/>
  <c r="R12" i="11"/>
  <c r="R13" i="11"/>
  <c r="R14" i="11"/>
  <c r="R15" i="11"/>
  <c r="R16" i="11"/>
  <c r="R19" i="11"/>
  <c r="R20" i="11"/>
  <c r="R21" i="11"/>
  <c r="R22" i="11"/>
  <c r="R23" i="11"/>
  <c r="R4" i="11"/>
  <c r="Z6" i="37"/>
  <c r="Z7" i="37"/>
  <c r="Z8" i="37"/>
  <c r="Z9" i="37"/>
  <c r="Z12" i="37"/>
  <c r="B2" i="37" a="1"/>
  <c r="B2" i="37" s="1"/>
  <c r="R82" i="37"/>
  <c r="R122" i="37"/>
  <c r="R182" i="37"/>
  <c r="R202" i="37"/>
  <c r="V1" i="37"/>
  <c r="U1" i="37"/>
  <c r="Q47" i="37"/>
  <c r="R47" i="37" s="1"/>
  <c r="Q48" i="37"/>
  <c r="R48" i="37" s="1"/>
  <c r="Q49" i="37"/>
  <c r="R49" i="37" s="1"/>
  <c r="Q50" i="37"/>
  <c r="R50" i="37" s="1"/>
  <c r="Q51" i="37"/>
  <c r="R51" i="37" s="1"/>
  <c r="Q52" i="37"/>
  <c r="R52" i="37" s="1"/>
  <c r="Q53" i="37"/>
  <c r="R53" i="37" s="1"/>
  <c r="Q54" i="37"/>
  <c r="R54" i="37" s="1"/>
  <c r="Q55" i="37"/>
  <c r="R55" i="37" s="1"/>
  <c r="Q56" i="37"/>
  <c r="R56" i="37" s="1"/>
  <c r="Q57" i="37"/>
  <c r="R57" i="37" s="1"/>
  <c r="Q58" i="37"/>
  <c r="R58" i="37" s="1"/>
  <c r="Q59" i="37"/>
  <c r="R59" i="37" s="1"/>
  <c r="Q60" i="37"/>
  <c r="R60" i="37" s="1"/>
  <c r="Q61" i="37"/>
  <c r="R61" i="37" s="1"/>
  <c r="Q62" i="37"/>
  <c r="R62" i="37" s="1"/>
  <c r="Q63" i="37"/>
  <c r="R63" i="37" s="1"/>
  <c r="Q64" i="37"/>
  <c r="R64" i="37" s="1"/>
  <c r="Q65" i="37"/>
  <c r="R65" i="37" s="1"/>
  <c r="Q66" i="37"/>
  <c r="R66" i="37" s="1"/>
  <c r="Q67" i="37"/>
  <c r="R67" i="37" s="1"/>
  <c r="Q68" i="37"/>
  <c r="R68" i="37" s="1"/>
  <c r="Q69" i="37"/>
  <c r="R69" i="37" s="1"/>
  <c r="Q70" i="37"/>
  <c r="R70" i="37" s="1"/>
  <c r="Q71" i="37"/>
  <c r="R71" i="37" s="1"/>
  <c r="Q72" i="37"/>
  <c r="R72" i="37" s="1"/>
  <c r="Q73" i="37"/>
  <c r="R73" i="37" s="1"/>
  <c r="Q74" i="37"/>
  <c r="R74" i="37" s="1"/>
  <c r="Q75" i="37"/>
  <c r="R75" i="37" s="1"/>
  <c r="Q76" i="37"/>
  <c r="R76" i="37" s="1"/>
  <c r="Q77" i="37"/>
  <c r="R77" i="37" s="1"/>
  <c r="Q78" i="37"/>
  <c r="R78" i="37" s="1"/>
  <c r="Q79" i="37"/>
  <c r="R79" i="37" s="1"/>
  <c r="Q80" i="37"/>
  <c r="R80" i="37" s="1"/>
  <c r="Q81" i="37"/>
  <c r="R81" i="37" s="1"/>
  <c r="Q82" i="37"/>
  <c r="Q83" i="37"/>
  <c r="R83" i="37" s="1"/>
  <c r="Q84" i="37"/>
  <c r="R84" i="37" s="1"/>
  <c r="Q85" i="37"/>
  <c r="R85" i="37" s="1"/>
  <c r="Q86" i="37"/>
  <c r="R86" i="37" s="1"/>
  <c r="Q87" i="37"/>
  <c r="R87" i="37" s="1"/>
  <c r="Q88" i="37"/>
  <c r="R88" i="37" s="1"/>
  <c r="Q89" i="37"/>
  <c r="R89" i="37" s="1"/>
  <c r="Q90" i="37"/>
  <c r="R90" i="37" s="1"/>
  <c r="Q91" i="37"/>
  <c r="R91" i="37" s="1"/>
  <c r="Q92" i="37"/>
  <c r="R92" i="37" s="1"/>
  <c r="Q93" i="37"/>
  <c r="R93" i="37" s="1"/>
  <c r="Q94" i="37"/>
  <c r="R94" i="37" s="1"/>
  <c r="Q95" i="37"/>
  <c r="R95" i="37" s="1"/>
  <c r="Q96" i="37"/>
  <c r="R96" i="37" s="1"/>
  <c r="Q97" i="37"/>
  <c r="R97" i="37" s="1"/>
  <c r="Q98" i="37"/>
  <c r="R98" i="37" s="1"/>
  <c r="Q99" i="37"/>
  <c r="R99" i="37" s="1"/>
  <c r="Q100" i="37"/>
  <c r="R100" i="37" s="1"/>
  <c r="Q101" i="37"/>
  <c r="R101" i="37" s="1"/>
  <c r="Q102" i="37"/>
  <c r="R102" i="37" s="1"/>
  <c r="Q103" i="37"/>
  <c r="R103" i="37" s="1"/>
  <c r="Q104" i="37"/>
  <c r="R104" i="37" s="1"/>
  <c r="Q105" i="37"/>
  <c r="R105" i="37" s="1"/>
  <c r="Q106" i="37"/>
  <c r="R106" i="37" s="1"/>
  <c r="Q107" i="37"/>
  <c r="R107" i="37" s="1"/>
  <c r="Q108" i="37"/>
  <c r="R108" i="37" s="1"/>
  <c r="Q109" i="37"/>
  <c r="R109" i="37" s="1"/>
  <c r="Q110" i="37"/>
  <c r="R110" i="37" s="1"/>
  <c r="Q111" i="37"/>
  <c r="R111" i="37" s="1"/>
  <c r="Q112" i="37"/>
  <c r="R112" i="37" s="1"/>
  <c r="Q113" i="37"/>
  <c r="R113" i="37" s="1"/>
  <c r="Q114" i="37"/>
  <c r="R114" i="37" s="1"/>
  <c r="Q115" i="37"/>
  <c r="R115" i="37" s="1"/>
  <c r="Q116" i="37"/>
  <c r="R116" i="37" s="1"/>
  <c r="Q117" i="37"/>
  <c r="R117" i="37" s="1"/>
  <c r="Q118" i="37"/>
  <c r="R118" i="37" s="1"/>
  <c r="Q119" i="37"/>
  <c r="R119" i="37" s="1"/>
  <c r="Q120" i="37"/>
  <c r="R120" i="37" s="1"/>
  <c r="Q121" i="37"/>
  <c r="R121" i="37" s="1"/>
  <c r="Q122" i="37"/>
  <c r="Q123" i="37"/>
  <c r="R123" i="37" s="1"/>
  <c r="Q124" i="37"/>
  <c r="R124" i="37" s="1"/>
  <c r="Q125" i="37"/>
  <c r="R125" i="37" s="1"/>
  <c r="Q126" i="37"/>
  <c r="R126" i="37" s="1"/>
  <c r="Q127" i="37"/>
  <c r="R127" i="37" s="1"/>
  <c r="Q128" i="37"/>
  <c r="R128" i="37" s="1"/>
  <c r="Q129" i="37"/>
  <c r="R129" i="37" s="1"/>
  <c r="Q130" i="37"/>
  <c r="R130" i="37" s="1"/>
  <c r="Q131" i="37"/>
  <c r="R131" i="37" s="1"/>
  <c r="Q132" i="37"/>
  <c r="R132" i="37" s="1"/>
  <c r="Q133" i="37"/>
  <c r="R133" i="37" s="1"/>
  <c r="Q134" i="37"/>
  <c r="R134" i="37" s="1"/>
  <c r="Q135" i="37"/>
  <c r="R135" i="37" s="1"/>
  <c r="Q136" i="37"/>
  <c r="R136" i="37" s="1"/>
  <c r="Q137" i="37"/>
  <c r="R137" i="37" s="1"/>
  <c r="Q138" i="37"/>
  <c r="R138" i="37" s="1"/>
  <c r="Q139" i="37"/>
  <c r="R139" i="37" s="1"/>
  <c r="Q140" i="37"/>
  <c r="R140" i="37" s="1"/>
  <c r="Q141" i="37"/>
  <c r="R141" i="37" s="1"/>
  <c r="Q142" i="37"/>
  <c r="R142" i="37" s="1"/>
  <c r="Q143" i="37"/>
  <c r="R143" i="37" s="1"/>
  <c r="Q144" i="37"/>
  <c r="R144" i="37" s="1"/>
  <c r="Q145" i="37"/>
  <c r="R145" i="37" s="1"/>
  <c r="Q146" i="37"/>
  <c r="R146" i="37" s="1"/>
  <c r="Q147" i="37"/>
  <c r="R147" i="37" s="1"/>
  <c r="Q148" i="37"/>
  <c r="R148" i="37" s="1"/>
  <c r="Q149" i="37"/>
  <c r="R149" i="37" s="1"/>
  <c r="Q150" i="37"/>
  <c r="R150" i="37" s="1"/>
  <c r="Q151" i="37"/>
  <c r="R151" i="37" s="1"/>
  <c r="Q152" i="37"/>
  <c r="R152" i="37" s="1"/>
  <c r="Q153" i="37"/>
  <c r="R153" i="37" s="1"/>
  <c r="Q154" i="37"/>
  <c r="R154" i="37" s="1"/>
  <c r="Q155" i="37"/>
  <c r="R155" i="37" s="1"/>
  <c r="Q156" i="37"/>
  <c r="R156" i="37" s="1"/>
  <c r="Q157" i="37"/>
  <c r="R157" i="37" s="1"/>
  <c r="Q158" i="37"/>
  <c r="R158" i="37" s="1"/>
  <c r="Q159" i="37"/>
  <c r="R159" i="37" s="1"/>
  <c r="Q160" i="37"/>
  <c r="R160" i="37" s="1"/>
  <c r="Q161" i="37"/>
  <c r="R161" i="37" s="1"/>
  <c r="Q162" i="37"/>
  <c r="R162" i="37" s="1"/>
  <c r="Q163" i="37"/>
  <c r="R163" i="37" s="1"/>
  <c r="Q164" i="37"/>
  <c r="R164" i="37" s="1"/>
  <c r="Q165" i="37"/>
  <c r="R165" i="37" s="1"/>
  <c r="Q166" i="37"/>
  <c r="R166" i="37" s="1"/>
  <c r="Q167" i="37"/>
  <c r="R167" i="37" s="1"/>
  <c r="Q168" i="37"/>
  <c r="R168" i="37" s="1"/>
  <c r="Q169" i="37"/>
  <c r="R169" i="37" s="1"/>
  <c r="Q170" i="37"/>
  <c r="R170" i="37" s="1"/>
  <c r="Q171" i="37"/>
  <c r="R171" i="37" s="1"/>
  <c r="Q172" i="37"/>
  <c r="R172" i="37" s="1"/>
  <c r="Q173" i="37"/>
  <c r="R173" i="37" s="1"/>
  <c r="Q174" i="37"/>
  <c r="R174" i="37" s="1"/>
  <c r="Q175" i="37"/>
  <c r="R175" i="37" s="1"/>
  <c r="Q176" i="37"/>
  <c r="R176" i="37" s="1"/>
  <c r="Q177" i="37"/>
  <c r="R177" i="37" s="1"/>
  <c r="Q178" i="37"/>
  <c r="R178" i="37" s="1"/>
  <c r="Q179" i="37"/>
  <c r="R179" i="37" s="1"/>
  <c r="Q180" i="37"/>
  <c r="R180" i="37" s="1"/>
  <c r="Q181" i="37"/>
  <c r="R181" i="37" s="1"/>
  <c r="Q182" i="37"/>
  <c r="Q183" i="37"/>
  <c r="R183" i="37" s="1"/>
  <c r="Q184" i="37"/>
  <c r="R184" i="37" s="1"/>
  <c r="Q185" i="37"/>
  <c r="R185" i="37" s="1"/>
  <c r="Q186" i="37"/>
  <c r="R186" i="37" s="1"/>
  <c r="Q187" i="37"/>
  <c r="R187" i="37" s="1"/>
  <c r="Q188" i="37"/>
  <c r="R188" i="37" s="1"/>
  <c r="Q189" i="37"/>
  <c r="R189" i="37" s="1"/>
  <c r="Q190" i="37"/>
  <c r="R190" i="37" s="1"/>
  <c r="Q191" i="37"/>
  <c r="R191" i="37" s="1"/>
  <c r="Q192" i="37"/>
  <c r="R192" i="37" s="1"/>
  <c r="Q193" i="37"/>
  <c r="R193" i="37" s="1"/>
  <c r="Q194" i="37"/>
  <c r="R194" i="37" s="1"/>
  <c r="Q195" i="37"/>
  <c r="R195" i="37" s="1"/>
  <c r="Q196" i="37"/>
  <c r="R196" i="37" s="1"/>
  <c r="Q197" i="37"/>
  <c r="R197" i="37" s="1"/>
  <c r="Q198" i="37"/>
  <c r="R198" i="37" s="1"/>
  <c r="Q199" i="37"/>
  <c r="R199" i="37" s="1"/>
  <c r="Q200" i="37"/>
  <c r="R200" i="37" s="1"/>
  <c r="Q201" i="37"/>
  <c r="R201" i="37" s="1"/>
  <c r="Q202" i="37"/>
  <c r="Q203" i="37"/>
  <c r="R203" i="37" s="1"/>
  <c r="Q204" i="37"/>
  <c r="R204" i="37" s="1"/>
  <c r="Q205" i="37"/>
  <c r="R205" i="37" s="1"/>
  <c r="Q206" i="37"/>
  <c r="R206" i="37" s="1"/>
  <c r="Q207" i="37"/>
  <c r="R207" i="37" s="1"/>
  <c r="Q208" i="37"/>
  <c r="R208" i="37" s="1"/>
  <c r="Q209" i="37"/>
  <c r="R209" i="37" s="1"/>
  <c r="Q210" i="37"/>
  <c r="R210" i="37" s="1"/>
  <c r="Q211" i="37"/>
  <c r="R211" i="37" s="1"/>
  <c r="Q212" i="37"/>
  <c r="R212" i="37" s="1"/>
  <c r="Q213" i="37"/>
  <c r="R213" i="37" s="1"/>
  <c r="Q214" i="37"/>
  <c r="R214" i="37" s="1"/>
  <c r="Q215" i="37"/>
  <c r="R215" i="37" s="1"/>
  <c r="Q216" i="37"/>
  <c r="R216" i="37" s="1"/>
  <c r="Q217" i="37"/>
  <c r="R217" i="37" s="1"/>
  <c r="Q218" i="37"/>
  <c r="R218" i="37" s="1"/>
  <c r="Q219" i="37"/>
  <c r="R219" i="37" s="1"/>
  <c r="Q220" i="37"/>
  <c r="R220" i="37" s="1"/>
  <c r="Q221" i="37"/>
  <c r="R221" i="37" s="1"/>
  <c r="Q222" i="37"/>
  <c r="R222" i="37" s="1"/>
  <c r="Q223" i="37"/>
  <c r="R223" i="37" s="1"/>
  <c r="I23" i="29" a="1"/>
  <c r="I23" i="29" s="1"/>
  <c r="I22" i="29" a="1"/>
  <c r="I22" i="29" s="1"/>
  <c r="E119" i="8"/>
  <c r="D119" i="8"/>
  <c r="E114" i="8"/>
  <c r="D114" i="8"/>
  <c r="K52" i="8"/>
  <c r="J52" i="8"/>
  <c r="E53" i="8"/>
  <c r="D53" i="8"/>
  <c r="E52" i="8"/>
  <c r="D52" i="8"/>
  <c r="E51" i="8"/>
  <c r="D51" i="8"/>
  <c r="E50" i="8"/>
  <c r="D50" i="8"/>
  <c r="E36" i="8"/>
  <c r="D36" i="8"/>
  <c r="E35" i="8"/>
  <c r="D35" i="8"/>
  <c r="E32" i="8"/>
  <c r="D32" i="8"/>
  <c r="E31" i="8"/>
  <c r="D31" i="8"/>
  <c r="E30" i="8"/>
  <c r="D30" i="8"/>
  <c r="E11" i="8"/>
  <c r="D11" i="8"/>
  <c r="E10" i="8"/>
  <c r="D10" i="8"/>
  <c r="F32" i="30"/>
  <c r="P31" i="8"/>
  <c r="O31" i="8"/>
  <c r="N31" i="8"/>
  <c r="M31" i="8"/>
  <c r="L31" i="8"/>
  <c r="G32" i="8"/>
  <c r="P32" i="8" s="1"/>
  <c r="G30" i="8"/>
  <c r="N30" i="8" s="1"/>
  <c r="E17" i="40"/>
  <c r="E16" i="40"/>
  <c r="G145" i="8"/>
  <c r="G141" i="8"/>
  <c r="G137" i="8"/>
  <c r="I63" i="40" a="1"/>
  <c r="I63" i="40" s="1"/>
  <c r="I62" i="40"/>
  <c r="P133" i="8"/>
  <c r="O133" i="8"/>
  <c r="N133" i="8"/>
  <c r="M133" i="8"/>
  <c r="L133" i="8"/>
  <c r="E133" i="8"/>
  <c r="D133" i="8"/>
  <c r="G132" i="8"/>
  <c r="P132" i="8" s="1"/>
  <c r="E132" i="8"/>
  <c r="D132" i="8"/>
  <c r="P129" i="8"/>
  <c r="O129" i="8"/>
  <c r="N129" i="8"/>
  <c r="M129" i="8"/>
  <c r="L129" i="8"/>
  <c r="E129" i="8"/>
  <c r="D129" i="8"/>
  <c r="G128" i="8"/>
  <c r="P128" i="8" s="1"/>
  <c r="E128" i="8"/>
  <c r="D128" i="8"/>
  <c r="P125" i="8"/>
  <c r="O125" i="8"/>
  <c r="N125" i="8"/>
  <c r="M125" i="8"/>
  <c r="L125" i="8"/>
  <c r="E125" i="8"/>
  <c r="D125" i="8"/>
  <c r="G124" i="8"/>
  <c r="N124" i="8" s="1"/>
  <c r="E124" i="8"/>
  <c r="D124" i="8"/>
  <c r="D225" i="31"/>
  <c r="D220" i="31"/>
  <c r="D206" i="31"/>
  <c r="D192" i="31"/>
  <c r="F50" i="30"/>
  <c r="E50" i="30" s="1"/>
  <c r="E220" i="31" s="1"/>
  <c r="F49" i="30"/>
  <c r="E49" i="30" s="1"/>
  <c r="F48" i="30"/>
  <c r="E48" i="30" s="1"/>
  <c r="E206" i="31" s="1"/>
  <c r="F47" i="30"/>
  <c r="E47" i="30" s="1"/>
  <c r="F46" i="30"/>
  <c r="E46" i="30" s="1"/>
  <c r="E192" i="31" s="1"/>
  <c r="F45" i="30"/>
  <c r="K63" i="40" a="1"/>
  <c r="K63" i="40" s="1"/>
  <c r="J63" i="40" a="1"/>
  <c r="J63" i="40" s="1"/>
  <c r="K62" i="40"/>
  <c r="G63" i="40" a="1"/>
  <c r="G63" i="40" s="1"/>
  <c r="H63" i="40" a="1"/>
  <c r="H63" i="40" s="1"/>
  <c r="H62" i="40"/>
  <c r="D145" i="8"/>
  <c r="E145" i="8"/>
  <c r="G119" i="8"/>
  <c r="P119" i="8" s="1"/>
  <c r="G114" i="8"/>
  <c r="P114" i="8" s="1"/>
  <c r="G113" i="8"/>
  <c r="P113" i="8" s="1"/>
  <c r="G118" i="8"/>
  <c r="P118" i="8" s="1"/>
  <c r="G117" i="8"/>
  <c r="M117" i="8" s="1"/>
  <c r="G112" i="8"/>
  <c r="P112" i="8" s="1"/>
  <c r="E113" i="8"/>
  <c r="D113" i="8"/>
  <c r="E118" i="8"/>
  <c r="D118" i="8"/>
  <c r="E117" i="8"/>
  <c r="D117" i="8"/>
  <c r="E112" i="8"/>
  <c r="D112" i="8"/>
  <c r="P52" i="8"/>
  <c r="O52" i="8"/>
  <c r="N52" i="8"/>
  <c r="M52" i="8"/>
  <c r="L52" i="8"/>
  <c r="G53" i="8"/>
  <c r="O53" i="8" s="1"/>
  <c r="G51" i="8"/>
  <c r="P51" i="8" s="1"/>
  <c r="G50" i="8"/>
  <c r="O50" i="8" s="1"/>
  <c r="G110" i="8"/>
  <c r="P110" i="8" s="1"/>
  <c r="D110" i="8"/>
  <c r="B106" i="8"/>
  <c r="G104" i="8"/>
  <c r="O104" i="8" s="1"/>
  <c r="E104" i="8"/>
  <c r="D104" i="8"/>
  <c r="P103" i="8"/>
  <c r="O103" i="8"/>
  <c r="N103" i="8"/>
  <c r="M103" i="8"/>
  <c r="L103" i="8"/>
  <c r="E103" i="8"/>
  <c r="D103" i="8"/>
  <c r="P102" i="8"/>
  <c r="O102" i="8"/>
  <c r="N102" i="8"/>
  <c r="M102" i="8"/>
  <c r="L102" i="8"/>
  <c r="E102" i="8"/>
  <c r="D102" i="8"/>
  <c r="G101" i="8"/>
  <c r="P101" i="8" s="1"/>
  <c r="E101" i="8"/>
  <c r="D101" i="8"/>
  <c r="P98" i="8"/>
  <c r="O98" i="8"/>
  <c r="N98" i="8"/>
  <c r="M98" i="8"/>
  <c r="L98" i="8"/>
  <c r="E98" i="8"/>
  <c r="D98" i="8"/>
  <c r="P97" i="8"/>
  <c r="O97" i="8"/>
  <c r="N97" i="8"/>
  <c r="M97" i="8"/>
  <c r="M99" i="8" s="1"/>
  <c r="L97" i="8"/>
  <c r="L99" i="8" s="1"/>
  <c r="R99" i="8" s="1"/>
  <c r="E97" i="8"/>
  <c r="D97" i="8"/>
  <c r="A63" i="40" a="1"/>
  <c r="A63" i="40" s="1"/>
  <c r="B63" i="40" a="1"/>
  <c r="B63" i="40" s="1"/>
  <c r="B62" i="40"/>
  <c r="G27" i="8"/>
  <c r="G36" i="8"/>
  <c r="P36" i="8" s="1"/>
  <c r="G35" i="8"/>
  <c r="P35" i="8" s="1"/>
  <c r="G11" i="8"/>
  <c r="P11" i="8" s="1"/>
  <c r="G10" i="8"/>
  <c r="P10" i="8" s="1"/>
  <c r="N99" i="8" l="1"/>
  <c r="O99" i="8"/>
  <c r="P99" i="8"/>
  <c r="P115" i="8"/>
  <c r="P37" i="8"/>
  <c r="L114" i="8"/>
  <c r="M114" i="8"/>
  <c r="O114" i="8"/>
  <c r="O30" i="8"/>
  <c r="P30" i="8"/>
  <c r="P33" i="8" s="1"/>
  <c r="N114" i="8"/>
  <c r="L30" i="8"/>
  <c r="M30" i="8"/>
  <c r="L32" i="8"/>
  <c r="M32" i="8"/>
  <c r="N32" i="8"/>
  <c r="N33" i="8" s="1"/>
  <c r="O32" i="8"/>
  <c r="P12" i="8"/>
  <c r="L119" i="8"/>
  <c r="M119" i="8"/>
  <c r="N119" i="8"/>
  <c r="O119" i="8"/>
  <c r="J50" i="8"/>
  <c r="K50" i="8"/>
  <c r="J51" i="8"/>
  <c r="K51" i="8"/>
  <c r="P134" i="8"/>
  <c r="P130" i="8"/>
  <c r="L128" i="8"/>
  <c r="L130" i="8" s="1"/>
  <c r="L132" i="8"/>
  <c r="L134" i="8" s="1"/>
  <c r="M128" i="8"/>
  <c r="M130" i="8" s="1"/>
  <c r="M132" i="8"/>
  <c r="M134" i="8" s="1"/>
  <c r="M124" i="8"/>
  <c r="O124" i="8"/>
  <c r="N128" i="8"/>
  <c r="N130" i="8" s="1"/>
  <c r="N132" i="8"/>
  <c r="N134" i="8" s="1"/>
  <c r="O128" i="8"/>
  <c r="O130" i="8" s="1"/>
  <c r="P124" i="8"/>
  <c r="O132" i="8"/>
  <c r="O134" i="8" s="1"/>
  <c r="L124" i="8"/>
  <c r="N53" i="8"/>
  <c r="M53" i="8"/>
  <c r="P50" i="8"/>
  <c r="L51" i="8"/>
  <c r="M51" i="8"/>
  <c r="N51" i="8"/>
  <c r="M112" i="8"/>
  <c r="N112" i="8"/>
  <c r="M118" i="8"/>
  <c r="P117" i="8"/>
  <c r="L118" i="8"/>
  <c r="N117" i="8"/>
  <c r="L117" i="8"/>
  <c r="L50" i="8"/>
  <c r="M50" i="8"/>
  <c r="N113" i="8"/>
  <c r="O117" i="8"/>
  <c r="N50" i="8"/>
  <c r="O113" i="8"/>
  <c r="L113" i="8"/>
  <c r="M113" i="8"/>
  <c r="O51" i="8"/>
  <c r="N118" i="8"/>
  <c r="O118" i="8"/>
  <c r="L53" i="8"/>
  <c r="L112" i="8"/>
  <c r="L110" i="8"/>
  <c r="M110" i="8"/>
  <c r="P53" i="8"/>
  <c r="O112" i="8"/>
  <c r="O110" i="8"/>
  <c r="N110" i="8"/>
  <c r="P104" i="8"/>
  <c r="P105" i="8" s="1"/>
  <c r="L101" i="8"/>
  <c r="M101" i="8"/>
  <c r="N101" i="8"/>
  <c r="L104" i="8"/>
  <c r="O101" i="8"/>
  <c r="O105" i="8" s="1"/>
  <c r="M104" i="8"/>
  <c r="N104" i="8"/>
  <c r="L35" i="8"/>
  <c r="M35" i="8"/>
  <c r="N35" i="8"/>
  <c r="O35" i="8"/>
  <c r="L36" i="8"/>
  <c r="M36" i="8"/>
  <c r="N36" i="8"/>
  <c r="O36" i="8"/>
  <c r="L10" i="8"/>
  <c r="M10" i="8"/>
  <c r="N10" i="8"/>
  <c r="O10" i="8"/>
  <c r="L11" i="8"/>
  <c r="M11" i="8"/>
  <c r="N11" i="8"/>
  <c r="O11" i="8"/>
  <c r="L33" i="8" l="1"/>
  <c r="M33" i="8"/>
  <c r="R33" i="8" s="1"/>
  <c r="O115" i="8"/>
  <c r="N115" i="8"/>
  <c r="O33" i="8"/>
  <c r="M115" i="8"/>
  <c r="L115" i="8"/>
  <c r="R53" i="8"/>
  <c r="L12" i="8"/>
  <c r="N105" i="8"/>
  <c r="O12" i="8"/>
  <c r="N12" i="8"/>
  <c r="M12" i="8"/>
  <c r="R12" i="8"/>
  <c r="N37" i="8"/>
  <c r="M37" i="8"/>
  <c r="R134" i="8"/>
  <c r="L37" i="8"/>
  <c r="O37" i="8"/>
  <c r="M105" i="8"/>
  <c r="L105" i="8"/>
  <c r="G144" i="7"/>
  <c r="L144" i="7" s="1"/>
  <c r="D144" i="7"/>
  <c r="E144" i="7"/>
  <c r="E136" i="7"/>
  <c r="D136" i="7"/>
  <c r="E135" i="7"/>
  <c r="D135" i="7"/>
  <c r="G136" i="7"/>
  <c r="P136" i="7" s="1"/>
  <c r="G135" i="7"/>
  <c r="P135" i="7" s="1"/>
  <c r="P137" i="7" l="1"/>
  <c r="R105" i="8"/>
  <c r="R37" i="8"/>
  <c r="P144" i="7"/>
  <c r="O144" i="7"/>
  <c r="N144" i="7"/>
  <c r="M144" i="7"/>
  <c r="L135" i="7"/>
  <c r="M135" i="7"/>
  <c r="N135" i="7"/>
  <c r="O135" i="7"/>
  <c r="L136" i="7"/>
  <c r="M136" i="7"/>
  <c r="N136" i="7"/>
  <c r="O136" i="7"/>
  <c r="O137" i="7" l="1"/>
  <c r="N137" i="7"/>
  <c r="M137" i="7"/>
  <c r="L137" i="7"/>
  <c r="D205" i="7"/>
  <c r="E201" i="7"/>
  <c r="D201" i="7"/>
  <c r="E199" i="7"/>
  <c r="D199" i="7"/>
  <c r="D192" i="7"/>
  <c r="E188" i="7"/>
  <c r="D188" i="7"/>
  <c r="E186" i="7"/>
  <c r="D186" i="7"/>
  <c r="D71" i="31"/>
  <c r="I45" i="40" a="1"/>
  <c r="I45" i="40" s="1"/>
  <c r="B45" i="40" a="1"/>
  <c r="B45" i="40" s="1"/>
  <c r="D77" i="7"/>
  <c r="E77" i="7"/>
  <c r="G77" i="7"/>
  <c r="N77" i="7" s="1"/>
  <c r="D78" i="7"/>
  <c r="E78" i="7"/>
  <c r="G78" i="7"/>
  <c r="N78" i="7" s="1"/>
  <c r="D79" i="7"/>
  <c r="E79" i="7"/>
  <c r="L79" i="7"/>
  <c r="M79" i="7"/>
  <c r="N79" i="7"/>
  <c r="O79" i="7"/>
  <c r="P79" i="7"/>
  <c r="E89" i="7"/>
  <c r="D89" i="7"/>
  <c r="E85" i="7"/>
  <c r="D85" i="7"/>
  <c r="E83" i="7"/>
  <c r="D83" i="7"/>
  <c r="E87" i="7"/>
  <c r="D87" i="7"/>
  <c r="G89" i="7"/>
  <c r="N89" i="7" s="1"/>
  <c r="G83" i="7"/>
  <c r="M83" i="7" s="1"/>
  <c r="G85" i="7"/>
  <c r="P85" i="7" s="1"/>
  <c r="G87" i="7"/>
  <c r="N87" i="7" s="1"/>
  <c r="B196" i="7"/>
  <c r="P138" i="8"/>
  <c r="O138" i="8"/>
  <c r="N138" i="8"/>
  <c r="M138" i="8"/>
  <c r="L138" i="8"/>
  <c r="E138" i="8"/>
  <c r="D138" i="8"/>
  <c r="P137" i="8"/>
  <c r="E137" i="8"/>
  <c r="D137" i="8"/>
  <c r="P146" i="8"/>
  <c r="O146" i="8"/>
  <c r="N146" i="8"/>
  <c r="M146" i="8"/>
  <c r="L146" i="8"/>
  <c r="E146" i="8"/>
  <c r="D146" i="8"/>
  <c r="P145" i="8"/>
  <c r="F53" i="30"/>
  <c r="G152" i="8"/>
  <c r="E152" i="8"/>
  <c r="D152" i="8"/>
  <c r="P151" i="8"/>
  <c r="O151" i="8"/>
  <c r="N151" i="8"/>
  <c r="M151" i="8"/>
  <c r="L151" i="8"/>
  <c r="E151" i="8"/>
  <c r="D151" i="8"/>
  <c r="P150" i="8"/>
  <c r="O150" i="8"/>
  <c r="N150" i="8"/>
  <c r="M150" i="8"/>
  <c r="L150" i="8"/>
  <c r="E150" i="8"/>
  <c r="D150" i="8"/>
  <c r="K35" i="29"/>
  <c r="D233" i="31"/>
  <c r="D229" i="31"/>
  <c r="B183" i="7"/>
  <c r="A198" i="7"/>
  <c r="A199" i="7"/>
  <c r="A200" i="7"/>
  <c r="A201" i="7"/>
  <c r="A202" i="7"/>
  <c r="A203" i="7"/>
  <c r="A204" i="7"/>
  <c r="A205" i="7"/>
  <c r="A197" i="7"/>
  <c r="G45" i="40" a="1"/>
  <c r="G45" i="40" s="1"/>
  <c r="F45" i="40" a="1"/>
  <c r="F45" i="40" s="1"/>
  <c r="G205" i="7"/>
  <c r="P205" i="7" s="1"/>
  <c r="G188" i="7"/>
  <c r="N188" i="7" s="1"/>
  <c r="G186" i="7"/>
  <c r="N186" i="7" s="1"/>
  <c r="G184" i="7"/>
  <c r="P184" i="7" s="1"/>
  <c r="E184" i="7"/>
  <c r="D184" i="7"/>
  <c r="D197" i="7"/>
  <c r="E197" i="7"/>
  <c r="G197" i="7"/>
  <c r="L197" i="7" s="1"/>
  <c r="R137" i="7" l="1"/>
  <c r="P139" i="8"/>
  <c r="P152" i="8"/>
  <c r="P153" i="8" s="1"/>
  <c r="L152" i="8"/>
  <c r="L153" i="8" s="1"/>
  <c r="M152" i="8"/>
  <c r="M153" i="8" s="1"/>
  <c r="N152" i="8"/>
  <c r="N153" i="8" s="1"/>
  <c r="O152" i="8"/>
  <c r="O153" i="8" s="1"/>
  <c r="L188" i="7"/>
  <c r="P188" i="7"/>
  <c r="M188" i="7"/>
  <c r="O188" i="7"/>
  <c r="L78" i="7"/>
  <c r="L205" i="7"/>
  <c r="M205" i="7"/>
  <c r="O186" i="7"/>
  <c r="P186" i="7"/>
  <c r="N205" i="7"/>
  <c r="O205" i="7"/>
  <c r="M78" i="7"/>
  <c r="L186" i="7"/>
  <c r="M186" i="7"/>
  <c r="P78" i="7"/>
  <c r="M77" i="7"/>
  <c r="O87" i="7"/>
  <c r="O78" i="7"/>
  <c r="L77" i="7"/>
  <c r="N80" i="7"/>
  <c r="P77" i="7"/>
  <c r="O77" i="7"/>
  <c r="P87" i="7"/>
  <c r="N83" i="7"/>
  <c r="P83" i="7"/>
  <c r="M85" i="7"/>
  <c r="P89" i="7"/>
  <c r="O83" i="7"/>
  <c r="L85" i="7"/>
  <c r="O89" i="7"/>
  <c r="N85" i="7"/>
  <c r="O85" i="7"/>
  <c r="L87" i="7"/>
  <c r="L89" i="7"/>
  <c r="M87" i="7"/>
  <c r="M89" i="7"/>
  <c r="L83" i="7"/>
  <c r="R83" i="7" s="1"/>
  <c r="O197" i="7"/>
  <c r="L137" i="8"/>
  <c r="L139" i="8" s="1"/>
  <c r="M137" i="8"/>
  <c r="M139" i="8" s="1"/>
  <c r="N137" i="8"/>
  <c r="N139" i="8" s="1"/>
  <c r="O137" i="8"/>
  <c r="O139" i="8" s="1"/>
  <c r="P147" i="8"/>
  <c r="L145" i="8"/>
  <c r="L147" i="8" s="1"/>
  <c r="M145" i="8"/>
  <c r="M147" i="8" s="1"/>
  <c r="N145" i="8"/>
  <c r="N147" i="8" s="1"/>
  <c r="O145" i="8"/>
  <c r="O147" i="8" s="1"/>
  <c r="P197" i="7"/>
  <c r="N197" i="7"/>
  <c r="M197" i="7"/>
  <c r="L184" i="7"/>
  <c r="M184" i="7"/>
  <c r="N184" i="7"/>
  <c r="O184" i="7"/>
  <c r="L80" i="7" l="1"/>
  <c r="M80" i="7"/>
  <c r="R153" i="8"/>
  <c r="R139" i="8"/>
  <c r="R147" i="8"/>
  <c r="R89" i="7"/>
  <c r="R85" i="7"/>
  <c r="R87" i="7"/>
  <c r="P80" i="7"/>
  <c r="O80" i="7"/>
  <c r="G199" i="7"/>
  <c r="G201" i="7"/>
  <c r="G192" i="7"/>
  <c r="R80" i="7" l="1"/>
  <c r="M192" i="7"/>
  <c r="P192" i="7"/>
  <c r="L192" i="7"/>
  <c r="O192" i="7"/>
  <c r="N192" i="7"/>
  <c r="N201" i="7"/>
  <c r="O201" i="7"/>
  <c r="M201" i="7"/>
  <c r="P201" i="7"/>
  <c r="L201" i="7"/>
  <c r="N199" i="7"/>
  <c r="M199" i="7"/>
  <c r="O199" i="7"/>
  <c r="L199" i="7"/>
  <c r="P199" i="7"/>
  <c r="D267" i="31"/>
  <c r="D153" i="31"/>
  <c r="J43" i="30"/>
  <c r="J39" i="30"/>
  <c r="D87" i="31"/>
  <c r="D62" i="31"/>
  <c r="D54" i="31"/>
  <c r="D42" i="31"/>
  <c r="D32" i="31"/>
  <c r="D96" i="31"/>
  <c r="D81" i="31"/>
  <c r="D76" i="31"/>
  <c r="M8" i="10"/>
  <c r="T8" i="10" s="1"/>
  <c r="L8" i="10"/>
  <c r="S8" i="10" s="1"/>
  <c r="K8" i="10"/>
  <c r="R8" i="10" s="1"/>
  <c r="J8" i="10"/>
  <c r="E8" i="10"/>
  <c r="M12" i="10"/>
  <c r="T12" i="10" s="1"/>
  <c r="L12" i="10"/>
  <c r="S12" i="10" s="1"/>
  <c r="K12" i="10"/>
  <c r="R12" i="10" s="1"/>
  <c r="J12" i="10"/>
  <c r="E12" i="10"/>
  <c r="D2" i="30"/>
  <c r="Q12" i="10" l="1"/>
  <c r="Q8" i="10"/>
  <c r="E2" i="44"/>
  <c r="G17" i="40" l="1"/>
  <c r="C32" i="29" s="1" a="1"/>
  <c r="C32" i="29" s="1"/>
  <c r="F28" i="30" s="1"/>
  <c r="E28" i="30" s="1"/>
  <c r="D29" i="30" s="1"/>
  <c r="G16" i="40"/>
  <c r="B12" i="34" s="1"/>
  <c r="B91" i="7"/>
  <c r="B3" i="5"/>
  <c r="N24" i="34"/>
  <c r="J12" i="29"/>
  <c r="I12" i="29"/>
  <c r="F72" i="30"/>
  <c r="F70" i="30"/>
  <c r="F65" i="30"/>
  <c r="F61" i="30"/>
  <c r="F56" i="30"/>
  <c r="F55" i="30"/>
  <c r="F14" i="30"/>
  <c r="F12" i="30"/>
  <c r="B17" i="40"/>
  <c r="B16" i="40"/>
  <c r="H17" i="40"/>
  <c r="C31" i="29" s="1" a="1"/>
  <c r="C31" i="29" s="1"/>
  <c r="F26" i="30" s="1"/>
  <c r="H16" i="40"/>
  <c r="D17" i="40"/>
  <c r="C35" i="29" s="1" a="1"/>
  <c r="C35" i="29" s="1"/>
  <c r="F31" i="30" s="1"/>
  <c r="D16" i="40"/>
  <c r="F17" i="40"/>
  <c r="C36" i="29" s="1" a="1"/>
  <c r="C36" i="29" s="1"/>
  <c r="F37" i="30" s="1"/>
  <c r="F16" i="40"/>
  <c r="C30" i="29" a="1"/>
  <c r="C30" i="29" s="1"/>
  <c r="F21" i="30" s="1"/>
  <c r="E21" i="30" s="1"/>
  <c r="C33" i="29" a="1"/>
  <c r="C33" i="29" s="1"/>
  <c r="C4" i="38" a="1"/>
  <c r="C4" i="38" s="1"/>
  <c r="B11" i="34"/>
  <c r="M28" i="34" a="1"/>
  <c r="M28" i="34" s="1"/>
  <c r="L28" i="34" a="1"/>
  <c r="L28" i="34" s="1"/>
  <c r="B45" i="34"/>
  <c r="B44" i="34"/>
  <c r="B43" i="34"/>
  <c r="E71" i="31" l="1"/>
  <c r="F52" i="30" a="1"/>
  <c r="F52" i="30" s="1"/>
  <c r="F51" i="30" s="1" a="1"/>
  <c r="F51" i="30" s="1"/>
  <c r="E51" i="30" s="1"/>
  <c r="E225" i="31" s="1"/>
  <c r="F29" i="30"/>
  <c r="E29" i="30" s="1"/>
  <c r="E106" i="31" s="1"/>
  <c r="D106" i="31"/>
  <c r="F35" i="30"/>
  <c r="F41" i="30" s="1"/>
  <c r="F36" i="30"/>
  <c r="E52" i="30" l="1"/>
  <c r="E229" i="31" s="1"/>
  <c r="K25" i="34"/>
  <c r="L10" i="29"/>
  <c r="I10" i="29"/>
  <c r="M10" i="29"/>
  <c r="I11" i="29"/>
  <c r="C17" i="40"/>
  <c r="C29" i="29" s="1" a="1"/>
  <c r="C29" i="29" s="1"/>
  <c r="F20" i="30" s="1"/>
  <c r="C16" i="40"/>
  <c r="C28" i="29" a="1"/>
  <c r="C28" i="29" s="1"/>
  <c r="A9" i="40"/>
  <c r="A10" i="40"/>
  <c r="A11" i="40"/>
  <c r="D24" i="33"/>
  <c r="D39" i="33" s="1"/>
  <c r="D25" i="33"/>
  <c r="D27" i="33"/>
  <c r="D30" i="33"/>
  <c r="G37" i="33"/>
  <c r="D28" i="33" l="1"/>
  <c r="D42" i="33"/>
  <c r="K33" i="30" s="1"/>
  <c r="D31" i="33"/>
  <c r="D32" i="33" s="1"/>
  <c r="F30" i="33" s="1"/>
  <c r="K36" i="30"/>
  <c r="E26" i="33"/>
  <c r="F26" i="33" s="1"/>
  <c r="F27" i="33" s="1"/>
  <c r="N25" i="34" a="1"/>
  <c r="N25" i="34" s="1"/>
  <c r="N28" i="34" s="1" a="1"/>
  <c r="N28" i="34" s="1"/>
  <c r="F18" i="30"/>
  <c r="E18" i="30" s="1"/>
  <c r="D29" i="33"/>
  <c r="D26" i="33" s="1"/>
  <c r="D35" i="33" l="1"/>
  <c r="D34" i="33"/>
  <c r="D37" i="33" l="1"/>
  <c r="D36" i="33"/>
  <c r="D38" i="33"/>
  <c r="G12" i="7"/>
  <c r="G16" i="7"/>
  <c r="P16" i="7" s="1"/>
  <c r="G17" i="7"/>
  <c r="P17" i="7" s="1"/>
  <c r="E17" i="7"/>
  <c r="D17" i="7"/>
  <c r="E16" i="7"/>
  <c r="D16" i="7"/>
  <c r="K9" i="30" l="1"/>
  <c r="K6" i="30"/>
  <c r="P18" i="7"/>
  <c r="L17" i="7"/>
  <c r="M17" i="7"/>
  <c r="N17" i="7"/>
  <c r="O17" i="7"/>
  <c r="L16" i="7"/>
  <c r="M16" i="7"/>
  <c r="N16" i="7"/>
  <c r="O16" i="7"/>
  <c r="N18" i="7" l="1"/>
  <c r="M18" i="7"/>
  <c r="L18" i="7"/>
  <c r="R18" i="7" s="1"/>
  <c r="O18" i="7"/>
  <c r="D10" i="11" l="1"/>
  <c r="M3" i="10"/>
  <c r="M4" i="10"/>
  <c r="M10" i="10"/>
  <c r="M15" i="10"/>
  <c r="M16" i="10"/>
  <c r="M19" i="10"/>
  <c r="M20" i="10"/>
  <c r="M23" i="10"/>
  <c r="M28" i="10"/>
  <c r="M29" i="10"/>
  <c r="M30" i="10"/>
  <c r="M31" i="10"/>
  <c r="M34" i="10"/>
  <c r="M35" i="10"/>
  <c r="M36" i="10"/>
  <c r="E4" i="10"/>
  <c r="E5" i="10"/>
  <c r="E10" i="10"/>
  <c r="E15" i="10"/>
  <c r="E16" i="10"/>
  <c r="E19" i="10"/>
  <c r="E20" i="10"/>
  <c r="E23" i="10"/>
  <c r="E25" i="10"/>
  <c r="E28" i="10"/>
  <c r="E29" i="10"/>
  <c r="E30" i="10"/>
  <c r="E31" i="10"/>
  <c r="E34" i="10"/>
  <c r="E35" i="10"/>
  <c r="E36" i="10"/>
  <c r="E3" i="10"/>
  <c r="E186" i="8"/>
  <c r="E185" i="8"/>
  <c r="E184" i="8"/>
  <c r="E183" i="8"/>
  <c r="E180" i="8"/>
  <c r="E179" i="8"/>
  <c r="E178" i="8"/>
  <c r="E177" i="8"/>
  <c r="E174" i="8"/>
  <c r="E173" i="8"/>
  <c r="E172" i="8"/>
  <c r="E171" i="8"/>
  <c r="E168" i="8"/>
  <c r="E167" i="8"/>
  <c r="E166" i="8"/>
  <c r="E162" i="8"/>
  <c r="E161" i="8"/>
  <c r="E158" i="8"/>
  <c r="E157" i="8"/>
  <c r="E156" i="8"/>
  <c r="E142" i="8"/>
  <c r="E141" i="8"/>
  <c r="E108" i="8"/>
  <c r="E94" i="8"/>
  <c r="E93" i="8"/>
  <c r="E90" i="8"/>
  <c r="E89" i="8"/>
  <c r="E83" i="8"/>
  <c r="E71" i="8"/>
  <c r="E72" i="8"/>
  <c r="E73" i="8"/>
  <c r="E74" i="8"/>
  <c r="E70" i="8"/>
  <c r="E69" i="8"/>
  <c r="E68" i="8"/>
  <c r="E63" i="8"/>
  <c r="E62" i="8"/>
  <c r="E61" i="8"/>
  <c r="E57" i="8"/>
  <c r="E56" i="8"/>
  <c r="E55" i="8"/>
  <c r="E47" i="8"/>
  <c r="E46" i="8"/>
  <c r="E45" i="8"/>
  <c r="E41" i="8"/>
  <c r="E42" i="8"/>
  <c r="E40" i="8"/>
  <c r="E27" i="8"/>
  <c r="E26" i="8"/>
  <c r="E25" i="8"/>
  <c r="E19" i="8"/>
  <c r="E18" i="8"/>
  <c r="E15" i="8"/>
  <c r="E14" i="8"/>
  <c r="E6" i="8"/>
  <c r="E7" i="8"/>
  <c r="E5" i="8"/>
  <c r="G45" i="5"/>
  <c r="G44" i="5"/>
  <c r="G43" i="5"/>
  <c r="G36" i="5"/>
  <c r="G35" i="5"/>
  <c r="G34" i="5"/>
  <c r="G19" i="5"/>
  <c r="G18" i="5"/>
  <c r="G17" i="5"/>
  <c r="G11" i="5"/>
  <c r="G10" i="5" s="1"/>
  <c r="G9" i="5"/>
  <c r="P20" i="5"/>
  <c r="O20" i="5"/>
  <c r="N20" i="5"/>
  <c r="M20" i="5"/>
  <c r="L20" i="5"/>
  <c r="E20" i="5"/>
  <c r="D20" i="5"/>
  <c r="P12" i="5"/>
  <c r="O12" i="5"/>
  <c r="N12" i="5"/>
  <c r="M12" i="5"/>
  <c r="L12" i="5"/>
  <c r="E12" i="5"/>
  <c r="D12" i="5"/>
  <c r="P21" i="5"/>
  <c r="O21" i="5"/>
  <c r="N21" i="5"/>
  <c r="M21" i="5"/>
  <c r="L21" i="5"/>
  <c r="E21" i="5"/>
  <c r="D21" i="5"/>
  <c r="P13" i="5"/>
  <c r="O13" i="5"/>
  <c r="N13" i="5"/>
  <c r="M13" i="5"/>
  <c r="L13" i="5"/>
  <c r="E13" i="5"/>
  <c r="D13" i="5"/>
  <c r="M17" i="10" l="1"/>
  <c r="M21" i="10"/>
  <c r="G111" i="7"/>
  <c r="G110" i="7"/>
  <c r="G13" i="7"/>
  <c r="N4" i="29" l="1"/>
  <c r="K14" i="29"/>
  <c r="D22" i="34" s="1"/>
  <c r="F13" i="29"/>
  <c r="F12" i="29" s="1"/>
  <c r="B4" i="38" a="1"/>
  <c r="B4" i="38" s="1"/>
  <c r="G59" i="32"/>
  <c r="F59" i="32"/>
  <c r="E59" i="32"/>
  <c r="D59" i="32"/>
  <c r="C59" i="32"/>
  <c r="K24" i="29" l="1"/>
  <c r="L23" i="29" a="1"/>
  <c r="L23" i="29" s="1"/>
  <c r="K23" i="29" a="1"/>
  <c r="K23" i="29" s="1"/>
  <c r="F33" i="32" s="1"/>
  <c r="M2" i="30"/>
  <c r="F17" i="29"/>
  <c r="O14" i="34" l="1"/>
  <c r="P40" i="5" l="1"/>
  <c r="AI11" i="3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9" i="11"/>
  <c r="P26" i="8"/>
  <c r="P27" i="8"/>
  <c r="P46" i="8"/>
  <c r="P47" i="8"/>
  <c r="P56" i="8"/>
  <c r="P83" i="8"/>
  <c r="P89" i="8"/>
  <c r="P90" i="8"/>
  <c r="P93" i="8"/>
  <c r="P94" i="8"/>
  <c r="P142" i="8"/>
  <c r="P166" i="8"/>
  <c r="P167" i="8"/>
  <c r="P168" i="8"/>
  <c r="P174" i="8"/>
  <c r="P177" i="8"/>
  <c r="P178" i="8"/>
  <c r="P180" i="8"/>
  <c r="P184" i="8"/>
  <c r="P185" i="8"/>
  <c r="P186" i="8"/>
  <c r="O186" i="8"/>
  <c r="O185" i="8"/>
  <c r="O184" i="8"/>
  <c r="O180" i="8"/>
  <c r="O178" i="8"/>
  <c r="O177" i="8"/>
  <c r="O174" i="8"/>
  <c r="O168" i="8"/>
  <c r="O167" i="8"/>
  <c r="O166" i="8"/>
  <c r="O142" i="8"/>
  <c r="O94" i="8"/>
  <c r="O93" i="8"/>
  <c r="O95" i="8" s="1"/>
  <c r="O90" i="8"/>
  <c r="O89" i="8"/>
  <c r="O91" i="8" s="1"/>
  <c r="O83" i="8"/>
  <c r="O56" i="8"/>
  <c r="O47" i="8"/>
  <c r="O46" i="8"/>
  <c r="O27" i="8"/>
  <c r="O26" i="8"/>
  <c r="P179" i="7"/>
  <c r="P178" i="7"/>
  <c r="P167" i="7"/>
  <c r="P165" i="7"/>
  <c r="P164" i="7"/>
  <c r="P172" i="7"/>
  <c r="P170" i="7"/>
  <c r="P159" i="7"/>
  <c r="P157" i="7"/>
  <c r="P143" i="7"/>
  <c r="P150" i="7"/>
  <c r="P149" i="7"/>
  <c r="P115" i="7"/>
  <c r="P111" i="7"/>
  <c r="P110" i="7"/>
  <c r="P109" i="7"/>
  <c r="P96" i="7"/>
  <c r="P95" i="7"/>
  <c r="P94" i="7"/>
  <c r="P48" i="7"/>
  <c r="P47" i="7"/>
  <c r="P46" i="7"/>
  <c r="P74" i="7"/>
  <c r="P73" i="7"/>
  <c r="P72" i="7"/>
  <c r="P71" i="7"/>
  <c r="P68" i="7"/>
  <c r="P67" i="7"/>
  <c r="P66" i="7"/>
  <c r="P65" i="7"/>
  <c r="P62" i="7"/>
  <c r="P61" i="7"/>
  <c r="P60" i="7"/>
  <c r="P56" i="7"/>
  <c r="P55" i="7"/>
  <c r="P54" i="7"/>
  <c r="P53" i="7"/>
  <c r="P52" i="7"/>
  <c r="P51" i="7"/>
  <c r="P41" i="7"/>
  <c r="P40" i="7"/>
  <c r="P39" i="7"/>
  <c r="P38" i="7"/>
  <c r="P37" i="7"/>
  <c r="P36" i="7"/>
  <c r="P32" i="7"/>
  <c r="P30" i="7"/>
  <c r="P29" i="7"/>
  <c r="P28" i="7"/>
  <c r="P27" i="7"/>
  <c r="P13" i="7"/>
  <c r="P12" i="7"/>
  <c r="P8" i="7"/>
  <c r="O179" i="7"/>
  <c r="O178" i="7"/>
  <c r="O167" i="7"/>
  <c r="O165" i="7"/>
  <c r="O164" i="7"/>
  <c r="O172" i="7"/>
  <c r="O170" i="7"/>
  <c r="O158" i="7"/>
  <c r="O156" i="7"/>
  <c r="O143" i="7"/>
  <c r="O150" i="7"/>
  <c r="O149" i="7"/>
  <c r="O115" i="7"/>
  <c r="O111" i="7"/>
  <c r="O110" i="7"/>
  <c r="O109" i="7"/>
  <c r="O96" i="7"/>
  <c r="O95" i="7"/>
  <c r="O94" i="7"/>
  <c r="O48" i="7"/>
  <c r="O47" i="7"/>
  <c r="O46" i="7"/>
  <c r="O74" i="7"/>
  <c r="O73" i="7"/>
  <c r="O72" i="7"/>
  <c r="O71" i="7"/>
  <c r="O68" i="7"/>
  <c r="O67" i="7"/>
  <c r="O66" i="7"/>
  <c r="O65" i="7"/>
  <c r="O62" i="7"/>
  <c r="O61" i="7"/>
  <c r="O60" i="7"/>
  <c r="O56" i="7"/>
  <c r="O55" i="7"/>
  <c r="O54" i="7"/>
  <c r="O53" i="7"/>
  <c r="O52" i="7"/>
  <c r="O51" i="7"/>
  <c r="O41" i="7"/>
  <c r="O40" i="7"/>
  <c r="O39" i="7"/>
  <c r="O38" i="7"/>
  <c r="O37" i="7"/>
  <c r="O36" i="7"/>
  <c r="O32" i="7"/>
  <c r="O30" i="7"/>
  <c r="O29" i="7"/>
  <c r="O28" i="7"/>
  <c r="O27" i="7"/>
  <c r="O13" i="7"/>
  <c r="O12" i="7"/>
  <c r="O8" i="7"/>
  <c r="L25" i="31"/>
  <c r="L26" i="31"/>
  <c r="L27" i="31"/>
  <c r="L28" i="31"/>
  <c r="L29" i="31"/>
  <c r="L24" i="31"/>
  <c r="L11" i="31"/>
  <c r="L9" i="31"/>
  <c r="L6" i="31"/>
  <c r="N81" i="5"/>
  <c r="N77" i="5"/>
  <c r="N76" i="5"/>
  <c r="N69" i="5"/>
  <c r="N66" i="5"/>
  <c r="N65" i="5"/>
  <c r="N58" i="5"/>
  <c r="N57" i="5"/>
  <c r="N56" i="5"/>
  <c r="N49" i="5"/>
  <c r="N47" i="5"/>
  <c r="N46" i="5"/>
  <c r="N40" i="5"/>
  <c r="N31" i="5"/>
  <c r="N30" i="5"/>
  <c r="P30" i="5"/>
  <c r="P31" i="5"/>
  <c r="P46" i="5"/>
  <c r="P47" i="5"/>
  <c r="P49" i="5"/>
  <c r="P56" i="5"/>
  <c r="P57" i="5"/>
  <c r="P58" i="5"/>
  <c r="P65" i="5"/>
  <c r="P66" i="5"/>
  <c r="P69" i="5"/>
  <c r="P76" i="5"/>
  <c r="P77" i="5"/>
  <c r="P81" i="5"/>
  <c r="O81" i="5"/>
  <c r="O77" i="5"/>
  <c r="O76" i="5"/>
  <c r="O69" i="5"/>
  <c r="O66" i="5"/>
  <c r="O65" i="5"/>
  <c r="O58" i="5"/>
  <c r="O57" i="5"/>
  <c r="O56" i="5"/>
  <c r="O49" i="5"/>
  <c r="O47" i="5"/>
  <c r="O46" i="5"/>
  <c r="O40" i="5"/>
  <c r="O31" i="5"/>
  <c r="O30" i="5"/>
  <c r="A57" i="32"/>
  <c r="J57" i="32" s="1"/>
  <c r="A41" i="32"/>
  <c r="J41" i="32" s="1"/>
  <c r="G81" i="32"/>
  <c r="F81" i="32"/>
  <c r="E81" i="32"/>
  <c r="D81" i="32"/>
  <c r="C81" i="32"/>
  <c r="H22" i="32"/>
  <c r="H21" i="32"/>
  <c r="H20" i="32"/>
  <c r="H19" i="32"/>
  <c r="A64" i="32"/>
  <c r="A77" i="32"/>
  <c r="A69" i="32"/>
  <c r="B6" i="32"/>
  <c r="N37" i="32" s="1"/>
  <c r="A61" i="32"/>
  <c r="A60" i="32"/>
  <c r="C37" i="32"/>
  <c r="D37" i="32"/>
  <c r="E37" i="32"/>
  <c r="F37" i="32"/>
  <c r="G37" i="32"/>
  <c r="B9" i="38"/>
  <c r="N186" i="8"/>
  <c r="M186" i="8"/>
  <c r="L186" i="8"/>
  <c r="N185" i="8"/>
  <c r="M185" i="8"/>
  <c r="L185" i="8"/>
  <c r="N184" i="8"/>
  <c r="M184" i="8"/>
  <c r="L184" i="8"/>
  <c r="N180" i="8"/>
  <c r="M180" i="8"/>
  <c r="L180" i="8"/>
  <c r="N178" i="8"/>
  <c r="M178" i="8"/>
  <c r="L178" i="8"/>
  <c r="N177" i="8"/>
  <c r="M177" i="8"/>
  <c r="L177" i="8"/>
  <c r="N174" i="8"/>
  <c r="M174" i="8"/>
  <c r="L174" i="8"/>
  <c r="N168" i="8"/>
  <c r="M168" i="8"/>
  <c r="L168" i="8"/>
  <c r="N167" i="8"/>
  <c r="M167" i="8"/>
  <c r="L167" i="8"/>
  <c r="N166" i="8"/>
  <c r="M166" i="8"/>
  <c r="L166" i="8"/>
  <c r="N142" i="8"/>
  <c r="M142" i="8"/>
  <c r="L142" i="8"/>
  <c r="N83" i="8"/>
  <c r="M83" i="8"/>
  <c r="L83" i="8"/>
  <c r="N94" i="8"/>
  <c r="M94" i="8"/>
  <c r="L94" i="8"/>
  <c r="N93" i="8"/>
  <c r="M93" i="8"/>
  <c r="L93" i="8"/>
  <c r="N90" i="8"/>
  <c r="M90" i="8"/>
  <c r="L90" i="8"/>
  <c r="N89" i="8"/>
  <c r="M89" i="8"/>
  <c r="L89" i="8"/>
  <c r="N56" i="8"/>
  <c r="M56" i="8"/>
  <c r="L56" i="8"/>
  <c r="N47" i="8"/>
  <c r="M47" i="8"/>
  <c r="L47" i="8"/>
  <c r="N46" i="8"/>
  <c r="M46" i="8"/>
  <c r="L46" i="8"/>
  <c r="N27" i="8"/>
  <c r="M27" i="8"/>
  <c r="L27" i="8"/>
  <c r="N26" i="8"/>
  <c r="M26" i="8"/>
  <c r="L26" i="8"/>
  <c r="N8" i="7"/>
  <c r="N27" i="7"/>
  <c r="N28" i="7"/>
  <c r="N29" i="7"/>
  <c r="N30" i="7"/>
  <c r="N32" i="7"/>
  <c r="N36" i="7"/>
  <c r="N37" i="7"/>
  <c r="N38" i="7"/>
  <c r="N39" i="7"/>
  <c r="N40" i="7"/>
  <c r="N41" i="7"/>
  <c r="N51" i="7"/>
  <c r="N52" i="7"/>
  <c r="N53" i="7"/>
  <c r="N54" i="7"/>
  <c r="N55" i="7"/>
  <c r="N56" i="7"/>
  <c r="N60" i="7"/>
  <c r="N61" i="7"/>
  <c r="N62" i="7"/>
  <c r="N65" i="7"/>
  <c r="N66" i="7"/>
  <c r="N67" i="7"/>
  <c r="N68" i="7"/>
  <c r="N71" i="7"/>
  <c r="N72" i="7"/>
  <c r="N73" i="7"/>
  <c r="N74" i="7"/>
  <c r="N46" i="7"/>
  <c r="N47" i="7"/>
  <c r="N48" i="7"/>
  <c r="N94" i="7"/>
  <c r="N95" i="7"/>
  <c r="N96" i="7"/>
  <c r="N109" i="7"/>
  <c r="N110" i="7"/>
  <c r="N111" i="7"/>
  <c r="N115" i="7"/>
  <c r="N149" i="7"/>
  <c r="N150" i="7"/>
  <c r="N143" i="7"/>
  <c r="N156" i="7"/>
  <c r="N158" i="7"/>
  <c r="N170" i="7"/>
  <c r="N172" i="7"/>
  <c r="N164" i="7"/>
  <c r="N165" i="7"/>
  <c r="N167" i="7"/>
  <c r="N178" i="7"/>
  <c r="N179" i="7"/>
  <c r="G6" i="7"/>
  <c r="N6" i="7" s="1"/>
  <c r="L115" i="7"/>
  <c r="M115" i="7"/>
  <c r="L8" i="7"/>
  <c r="M8" i="7"/>
  <c r="L27" i="7"/>
  <c r="M27" i="7"/>
  <c r="L28" i="7"/>
  <c r="M28" i="7"/>
  <c r="L29" i="7"/>
  <c r="M29" i="7"/>
  <c r="L30" i="7"/>
  <c r="M30" i="7"/>
  <c r="L32" i="7"/>
  <c r="M32" i="7"/>
  <c r="L36" i="7"/>
  <c r="M36" i="7"/>
  <c r="L37" i="7"/>
  <c r="M37" i="7"/>
  <c r="L38" i="7"/>
  <c r="M38" i="7"/>
  <c r="L39" i="7"/>
  <c r="M39" i="7"/>
  <c r="L40" i="7"/>
  <c r="M40" i="7"/>
  <c r="L41" i="7"/>
  <c r="M41" i="7"/>
  <c r="L51" i="7"/>
  <c r="M51" i="7"/>
  <c r="L52" i="7"/>
  <c r="M52" i="7"/>
  <c r="L53" i="7"/>
  <c r="M53" i="7"/>
  <c r="L54" i="7"/>
  <c r="M54" i="7"/>
  <c r="L55" i="7"/>
  <c r="M55" i="7"/>
  <c r="L56" i="7"/>
  <c r="M56" i="7"/>
  <c r="L60" i="7"/>
  <c r="M60" i="7"/>
  <c r="L61" i="7"/>
  <c r="M61" i="7"/>
  <c r="L62" i="7"/>
  <c r="M62" i="7"/>
  <c r="L65" i="7"/>
  <c r="M65" i="7"/>
  <c r="L66" i="7"/>
  <c r="M66" i="7"/>
  <c r="L67" i="7"/>
  <c r="M67" i="7"/>
  <c r="L68" i="7"/>
  <c r="M68" i="7"/>
  <c r="L71" i="7"/>
  <c r="M71" i="7"/>
  <c r="L72" i="7"/>
  <c r="M72" i="7"/>
  <c r="L73" i="7"/>
  <c r="M73" i="7"/>
  <c r="L74" i="7"/>
  <c r="M74" i="7"/>
  <c r="L46" i="7"/>
  <c r="M46" i="7"/>
  <c r="L47" i="7"/>
  <c r="M47" i="7"/>
  <c r="L48" i="7"/>
  <c r="M48" i="7"/>
  <c r="L94" i="7"/>
  <c r="M94" i="7"/>
  <c r="L95" i="7"/>
  <c r="M95" i="7"/>
  <c r="L96" i="7"/>
  <c r="M96" i="7"/>
  <c r="L109" i="7"/>
  <c r="M109" i="7"/>
  <c r="L110" i="7"/>
  <c r="M110" i="7"/>
  <c r="L111" i="7"/>
  <c r="M111" i="7"/>
  <c r="L149" i="7"/>
  <c r="M149" i="7"/>
  <c r="L150" i="7"/>
  <c r="M150" i="7"/>
  <c r="L143" i="7"/>
  <c r="M143" i="7"/>
  <c r="L156" i="7"/>
  <c r="M156" i="7"/>
  <c r="L158" i="7"/>
  <c r="M158" i="7"/>
  <c r="L170" i="7"/>
  <c r="M170" i="7"/>
  <c r="L172" i="7"/>
  <c r="M172" i="7"/>
  <c r="L164" i="7"/>
  <c r="M164" i="7"/>
  <c r="L165" i="7"/>
  <c r="M165" i="7"/>
  <c r="L167" i="7"/>
  <c r="M167" i="7"/>
  <c r="L178" i="7"/>
  <c r="M178" i="7"/>
  <c r="L179" i="7"/>
  <c r="M179" i="7"/>
  <c r="L30" i="5"/>
  <c r="M30" i="5"/>
  <c r="L31" i="5"/>
  <c r="M31" i="5"/>
  <c r="L40" i="5"/>
  <c r="M40" i="5"/>
  <c r="L46" i="5"/>
  <c r="M46" i="5"/>
  <c r="L47" i="5"/>
  <c r="M47" i="5"/>
  <c r="L49" i="5"/>
  <c r="M49" i="5"/>
  <c r="L56" i="5"/>
  <c r="M56" i="5"/>
  <c r="L57" i="5"/>
  <c r="M57" i="5"/>
  <c r="L58" i="5"/>
  <c r="M58" i="5"/>
  <c r="L65" i="5"/>
  <c r="M65" i="5"/>
  <c r="L66" i="5"/>
  <c r="M66" i="5"/>
  <c r="L69" i="5"/>
  <c r="M69" i="5"/>
  <c r="L76" i="5"/>
  <c r="M76" i="5"/>
  <c r="L77" i="5"/>
  <c r="M77" i="5"/>
  <c r="L81" i="5"/>
  <c r="M81" i="5"/>
  <c r="O181" i="8" l="1"/>
  <c r="O169" i="8"/>
  <c r="P14" i="7"/>
  <c r="P181" i="8"/>
  <c r="N112" i="7"/>
  <c r="P112" i="7"/>
  <c r="L6" i="7"/>
  <c r="O97" i="7"/>
  <c r="M6" i="7"/>
  <c r="O6" i="7"/>
  <c r="M112" i="7"/>
  <c r="P6" i="7"/>
  <c r="P169" i="8"/>
  <c r="P97" i="7"/>
  <c r="P95" i="8"/>
  <c r="O14" i="7"/>
  <c r="P91" i="8"/>
  <c r="O112" i="7"/>
  <c r="L97" i="7"/>
  <c r="R97" i="7" s="1"/>
  <c r="N97" i="7"/>
  <c r="L112" i="7"/>
  <c r="M97" i="7"/>
  <c r="R112" i="7" l="1"/>
  <c r="P30" i="31"/>
  <c r="O30" i="31"/>
  <c r="P29" i="31"/>
  <c r="O29" i="31"/>
  <c r="O6" i="31"/>
  <c r="I1" i="31"/>
  <c r="L19" i="11"/>
  <c r="M19" i="11"/>
  <c r="L20" i="11"/>
  <c r="M20" i="11"/>
  <c r="L21" i="11"/>
  <c r="M21" i="11"/>
  <c r="L22" i="11"/>
  <c r="M22" i="11"/>
  <c r="L23" i="11"/>
  <c r="M23" i="11"/>
  <c r="L10" i="11"/>
  <c r="M10" i="11"/>
  <c r="L11" i="11"/>
  <c r="M11" i="11"/>
  <c r="L12" i="11"/>
  <c r="M12" i="11"/>
  <c r="L13" i="11"/>
  <c r="M13" i="11"/>
  <c r="L14" i="11"/>
  <c r="M14" i="11"/>
  <c r="L15" i="11"/>
  <c r="M15" i="11"/>
  <c r="L16" i="11"/>
  <c r="M16" i="11"/>
  <c r="M9" i="11"/>
  <c r="L9" i="11"/>
  <c r="L4" i="11"/>
  <c r="B9" i="44"/>
  <c r="E11" i="44"/>
  <c r="E3" i="44"/>
  <c r="E4" i="44"/>
  <c r="E5" i="44"/>
  <c r="E6" i="44"/>
  <c r="E7" i="44"/>
  <c r="E8" i="44"/>
  <c r="P6" i="31" l="1"/>
  <c r="O5" i="31"/>
  <c r="B24" i="34"/>
  <c r="P5" i="31" l="1"/>
  <c r="L36" i="10"/>
  <c r="L35" i="10"/>
  <c r="L34" i="10"/>
  <c r="L31" i="10"/>
  <c r="L30" i="10"/>
  <c r="L29" i="10"/>
  <c r="L28" i="10"/>
  <c r="L25" i="10"/>
  <c r="L23" i="10"/>
  <c r="L20" i="10"/>
  <c r="L19" i="10"/>
  <c r="L16" i="10"/>
  <c r="L15" i="10"/>
  <c r="L10" i="10"/>
  <c r="L5" i="10"/>
  <c r="L4" i="10"/>
  <c r="L3" i="10"/>
  <c r="K36" i="10"/>
  <c r="K35" i="10"/>
  <c r="K34" i="10"/>
  <c r="R34" i="10" s="1"/>
  <c r="K31" i="10"/>
  <c r="K30" i="10"/>
  <c r="K29" i="10"/>
  <c r="R29" i="10" s="1"/>
  <c r="K28" i="10"/>
  <c r="R28" i="10" s="1"/>
  <c r="K23" i="10"/>
  <c r="R23" i="10" s="1"/>
  <c r="K20" i="10"/>
  <c r="R20" i="10" s="1"/>
  <c r="K19" i="10"/>
  <c r="R19" i="10" s="1"/>
  <c r="R21" i="10" s="1"/>
  <c r="K16" i="10"/>
  <c r="R16" i="10" s="1"/>
  <c r="K15" i="10"/>
  <c r="R15" i="10" s="1"/>
  <c r="K10" i="10"/>
  <c r="R10" i="10" s="1"/>
  <c r="K4" i="10"/>
  <c r="R4" i="10" s="1"/>
  <c r="K3" i="10"/>
  <c r="R3" i="10" s="1"/>
  <c r="J36" i="10"/>
  <c r="J35" i="10"/>
  <c r="J34" i="10"/>
  <c r="J31" i="10"/>
  <c r="J30" i="10"/>
  <c r="J29" i="10"/>
  <c r="J28" i="10"/>
  <c r="J25" i="10"/>
  <c r="J23" i="10"/>
  <c r="J20" i="10"/>
  <c r="Q20" i="10" s="1"/>
  <c r="J19" i="10"/>
  <c r="Q19" i="10" s="1"/>
  <c r="J16" i="10"/>
  <c r="Q16" i="10" s="1"/>
  <c r="J15" i="10"/>
  <c r="Q15" i="10" s="1"/>
  <c r="J10" i="10"/>
  <c r="J5" i="10"/>
  <c r="J4" i="10"/>
  <c r="J3" i="10"/>
  <c r="E215" i="7"/>
  <c r="E214" i="7"/>
  <c r="E213" i="7"/>
  <c r="E210" i="7"/>
  <c r="E209" i="7"/>
  <c r="E208" i="7"/>
  <c r="E180" i="7"/>
  <c r="E179" i="7"/>
  <c r="E178" i="7"/>
  <c r="E177" i="7"/>
  <c r="E167" i="7"/>
  <c r="E166" i="7"/>
  <c r="E165" i="7"/>
  <c r="E164" i="7"/>
  <c r="E163" i="7"/>
  <c r="E174" i="7"/>
  <c r="E173" i="7"/>
  <c r="E172" i="7"/>
  <c r="E171" i="7"/>
  <c r="E170" i="7"/>
  <c r="E160" i="7"/>
  <c r="E159" i="7"/>
  <c r="E158" i="7"/>
  <c r="E157" i="7"/>
  <c r="E156" i="7"/>
  <c r="E155" i="7"/>
  <c r="E143" i="7"/>
  <c r="E142" i="7"/>
  <c r="E141" i="7"/>
  <c r="E126" i="7"/>
  <c r="E125" i="7"/>
  <c r="E150" i="7"/>
  <c r="E149" i="7"/>
  <c r="E148" i="7"/>
  <c r="E147" i="7"/>
  <c r="E132" i="7"/>
  <c r="E131" i="7"/>
  <c r="E130" i="7"/>
  <c r="E122" i="7"/>
  <c r="E121" i="7"/>
  <c r="E120" i="7"/>
  <c r="E115" i="7"/>
  <c r="E111" i="7"/>
  <c r="E110" i="7"/>
  <c r="E109" i="7"/>
  <c r="E96" i="7"/>
  <c r="E95" i="7"/>
  <c r="E94" i="7"/>
  <c r="E48" i="7"/>
  <c r="E47" i="7"/>
  <c r="E46" i="7"/>
  <c r="E45" i="7"/>
  <c r="E44" i="7"/>
  <c r="E74" i="7"/>
  <c r="E73" i="7"/>
  <c r="E72" i="7"/>
  <c r="E71" i="7"/>
  <c r="E68" i="7"/>
  <c r="E67" i="7"/>
  <c r="E66" i="7"/>
  <c r="E65" i="7"/>
  <c r="E62" i="7"/>
  <c r="E61" i="7"/>
  <c r="E60" i="7"/>
  <c r="E59" i="7"/>
  <c r="E56" i="7"/>
  <c r="E55" i="7"/>
  <c r="E54" i="7"/>
  <c r="E53" i="7"/>
  <c r="E52" i="7"/>
  <c r="E51" i="7"/>
  <c r="E41" i="7"/>
  <c r="E40" i="7"/>
  <c r="E39" i="7"/>
  <c r="E38" i="7"/>
  <c r="E37" i="7"/>
  <c r="E36" i="7"/>
  <c r="E35" i="7"/>
  <c r="E32" i="7"/>
  <c r="E31" i="7"/>
  <c r="E30" i="7"/>
  <c r="E29" i="7"/>
  <c r="E28" i="7"/>
  <c r="E27" i="7"/>
  <c r="E22" i="7"/>
  <c r="E21" i="7"/>
  <c r="E20" i="7"/>
  <c r="E9" i="7"/>
  <c r="E13" i="7"/>
  <c r="E12" i="7"/>
  <c r="E6" i="7"/>
  <c r="E5" i="7"/>
  <c r="E4" i="7"/>
  <c r="E82" i="5"/>
  <c r="E81" i="5"/>
  <c r="E80" i="5"/>
  <c r="E79" i="5"/>
  <c r="E78" i="5"/>
  <c r="E77" i="5"/>
  <c r="E76" i="5"/>
  <c r="E75" i="5"/>
  <c r="E74" i="5"/>
  <c r="E73" i="5"/>
  <c r="E70" i="5"/>
  <c r="E69" i="5"/>
  <c r="E68" i="5"/>
  <c r="E67" i="5"/>
  <c r="E66" i="5"/>
  <c r="E65" i="5"/>
  <c r="E64" i="5"/>
  <c r="E63" i="5"/>
  <c r="E62" i="5"/>
  <c r="E59" i="5"/>
  <c r="E58" i="5"/>
  <c r="E57" i="5"/>
  <c r="E56" i="5"/>
  <c r="E55" i="5"/>
  <c r="E54" i="5"/>
  <c r="E53" i="5"/>
  <c r="E49" i="5"/>
  <c r="E48" i="5"/>
  <c r="E47" i="5"/>
  <c r="E46" i="5"/>
  <c r="E45" i="5"/>
  <c r="E44" i="5"/>
  <c r="E43" i="5"/>
  <c r="E40" i="5"/>
  <c r="E39" i="5"/>
  <c r="E31" i="5"/>
  <c r="E30" i="5"/>
  <c r="E29" i="5"/>
  <c r="E28" i="5"/>
  <c r="E27" i="5"/>
  <c r="E22" i="5"/>
  <c r="E14" i="5"/>
  <c r="E6" i="5"/>
  <c r="E5" i="5"/>
  <c r="E4" i="5"/>
  <c r="J132" i="31"/>
  <c r="B11" i="32"/>
  <c r="O37" i="32" s="1"/>
  <c r="B19" i="32"/>
  <c r="P37" i="32" s="1"/>
  <c r="B3" i="32"/>
  <c r="M37" i="32" s="1"/>
  <c r="B2" i="32"/>
  <c r="L37" i="32" s="1"/>
  <c r="D5" i="11"/>
  <c r="G5" i="11"/>
  <c r="K61" i="30"/>
  <c r="K24" i="30"/>
  <c r="D87" i="11"/>
  <c r="F11" i="30"/>
  <c r="D23" i="31"/>
  <c r="G63" i="8"/>
  <c r="G62" i="8"/>
  <c r="G73" i="8"/>
  <c r="F63" i="40" a="1"/>
  <c r="F63" i="40" s="1"/>
  <c r="E63" i="40" a="1"/>
  <c r="E63" i="40" s="1"/>
  <c r="C47" i="5"/>
  <c r="C46" i="5"/>
  <c r="G48" i="5"/>
  <c r="G68" i="8"/>
  <c r="Q3" i="10" l="1"/>
  <c r="Q30" i="10"/>
  <c r="Q34" i="10"/>
  <c r="Q5" i="10"/>
  <c r="Q29" i="10"/>
  <c r="Q4" i="10"/>
  <c r="Q10" i="10"/>
  <c r="Q23" i="10"/>
  <c r="Q25" i="10"/>
  <c r="Q28" i="10"/>
  <c r="R35" i="10"/>
  <c r="Q35" i="10"/>
  <c r="O68" i="8"/>
  <c r="N68" i="8"/>
  <c r="M68" i="8"/>
  <c r="L68" i="8"/>
  <c r="P68" i="8"/>
  <c r="L73" i="8"/>
  <c r="P73" i="8"/>
  <c r="N73" i="8"/>
  <c r="M73" i="8"/>
  <c r="O73" i="8"/>
  <c r="M62" i="8"/>
  <c r="O62" i="8"/>
  <c r="N62" i="8"/>
  <c r="P62" i="8"/>
  <c r="L62" i="8"/>
  <c r="P63" i="8"/>
  <c r="O63" i="8"/>
  <c r="N63" i="8"/>
  <c r="M63" i="8"/>
  <c r="L63" i="8"/>
  <c r="R17" i="10"/>
  <c r="R30" i="10"/>
  <c r="Q21" i="10"/>
  <c r="Q17" i="10"/>
  <c r="O44" i="5"/>
  <c r="N44" i="5"/>
  <c r="P44" i="5"/>
  <c r="P45" i="5"/>
  <c r="O45" i="5"/>
  <c r="N45" i="5"/>
  <c r="P48" i="5"/>
  <c r="N48" i="5"/>
  <c r="O48" i="5"/>
  <c r="U37" i="32" a="1"/>
  <c r="U37" i="32" s="1"/>
  <c r="M45" i="5"/>
  <c r="L45" i="5"/>
  <c r="L44" i="5"/>
  <c r="M44" i="5"/>
  <c r="L48" i="5"/>
  <c r="M48" i="5"/>
  <c r="P28" i="31"/>
  <c r="O28" i="31"/>
  <c r="P25" i="31"/>
  <c r="O25" i="31"/>
  <c r="P24" i="31"/>
  <c r="O24" i="31"/>
  <c r="O26" i="31"/>
  <c r="P26" i="31"/>
  <c r="P27" i="31"/>
  <c r="O27" i="31"/>
  <c r="G61" i="8"/>
  <c r="N61" i="8" l="1"/>
  <c r="O61" i="8"/>
  <c r="O64" i="8" s="1"/>
  <c r="P61" i="8"/>
  <c r="P64" i="8" s="1"/>
  <c r="M61" i="8"/>
  <c r="L61" i="8"/>
  <c r="O43" i="5"/>
  <c r="O50" i="5" s="1"/>
  <c r="P43" i="5"/>
  <c r="P50" i="5" s="1"/>
  <c r="N43" i="5"/>
  <c r="N50" i="5" s="1"/>
  <c r="L43" i="5"/>
  <c r="L50" i="5" s="1"/>
  <c r="M43" i="5"/>
  <c r="M50" i="5" s="1"/>
  <c r="O23" i="31"/>
  <c r="P23" i="31"/>
  <c r="A5" i="32"/>
  <c r="C21" i="32"/>
  <c r="C5" i="32"/>
  <c r="D257" i="31"/>
  <c r="D252" i="31"/>
  <c r="D245" i="31"/>
  <c r="D239" i="31"/>
  <c r="K162" i="31"/>
  <c r="M64" i="8" l="1"/>
  <c r="L64" i="8"/>
  <c r="N64" i="8"/>
  <c r="F264" i="31"/>
  <c r="B165" i="8"/>
  <c r="B155" i="8"/>
  <c r="B87" i="8"/>
  <c r="B82" i="8"/>
  <c r="B66" i="8"/>
  <c r="B60" i="8"/>
  <c r="B39" i="8"/>
  <c r="F33" i="30"/>
  <c r="E33" i="30" s="1"/>
  <c r="E128" i="31" s="1"/>
  <c r="B3" i="8"/>
  <c r="B25" i="7"/>
  <c r="B3" i="7"/>
  <c r="F105" i="31" s="1"/>
  <c r="B52" i="5"/>
  <c r="B26" i="5"/>
  <c r="B18" i="11"/>
  <c r="B8" i="11"/>
  <c r="B3" i="11"/>
  <c r="D4" i="31"/>
  <c r="C178" i="31"/>
  <c r="A15" i="32" s="1"/>
  <c r="D179" i="31"/>
  <c r="D178" i="31"/>
  <c r="A51" i="32" s="1"/>
  <c r="E55" i="30"/>
  <c r="E239" i="31" s="1"/>
  <c r="D274" i="31"/>
  <c r="C274" i="31"/>
  <c r="A22" i="32" s="1"/>
  <c r="C271" i="31"/>
  <c r="A21" i="32" s="1"/>
  <c r="D265" i="31"/>
  <c r="D262" i="31"/>
  <c r="C265" i="31"/>
  <c r="A20" i="32" s="1"/>
  <c r="C262" i="31"/>
  <c r="A19" i="32" s="1"/>
  <c r="D169" i="31"/>
  <c r="D168" i="31"/>
  <c r="A50" i="32" s="1"/>
  <c r="J50" i="32" s="1"/>
  <c r="C168" i="31"/>
  <c r="A14" i="32" s="1"/>
  <c r="C251" i="31"/>
  <c r="A18" i="32" s="1"/>
  <c r="D182" i="31"/>
  <c r="A52" i="32" s="1"/>
  <c r="J52" i="32" s="1"/>
  <c r="C182" i="31"/>
  <c r="A16" i="32" s="1"/>
  <c r="C161" i="31"/>
  <c r="A13" i="32" s="1"/>
  <c r="C134" i="31"/>
  <c r="A12" i="32" s="1"/>
  <c r="D134" i="31"/>
  <c r="A48" i="32" s="1"/>
  <c r="J48" i="32" s="1"/>
  <c r="C238" i="31"/>
  <c r="A17" i="32" s="1"/>
  <c r="C109" i="31"/>
  <c r="A11" i="32" s="1"/>
  <c r="D109" i="31"/>
  <c r="D95" i="31"/>
  <c r="C95" i="31"/>
  <c r="A10" i="32" s="1"/>
  <c r="C86" i="31"/>
  <c r="A9" i="32" s="1"/>
  <c r="D86" i="31"/>
  <c r="C75" i="31"/>
  <c r="A8" i="32" s="1"/>
  <c r="D61" i="31"/>
  <c r="C61" i="31"/>
  <c r="A7" i="32" s="1"/>
  <c r="D53" i="31"/>
  <c r="C53" i="31"/>
  <c r="A6" i="32" s="1"/>
  <c r="D31" i="31"/>
  <c r="C31" i="31"/>
  <c r="A4" i="32" s="1"/>
  <c r="C14" i="31"/>
  <c r="A3" i="32" s="1"/>
  <c r="D15" i="31"/>
  <c r="D14" i="31"/>
  <c r="F14" i="31" s="1"/>
  <c r="D12" i="31"/>
  <c r="D10" i="31"/>
  <c r="D8" i="31"/>
  <c r="D5" i="31"/>
  <c r="C4" i="31"/>
  <c r="A2" i="32" s="1"/>
  <c r="D251" i="31"/>
  <c r="D162" i="31"/>
  <c r="D161" i="31"/>
  <c r="A49" i="32" s="1"/>
  <c r="D238" i="31"/>
  <c r="A53" i="32" s="1"/>
  <c r="J53" i="32" s="1"/>
  <c r="D128" i="31"/>
  <c r="D75" i="31"/>
  <c r="A44" i="32" s="1"/>
  <c r="J44" i="32" s="1"/>
  <c r="F62" i="40"/>
  <c r="M63" i="40" a="1"/>
  <c r="M63" i="40" s="1"/>
  <c r="E62" i="40"/>
  <c r="M62" i="40"/>
  <c r="G62" i="40"/>
  <c r="C62" i="40"/>
  <c r="L63" i="40" a="1"/>
  <c r="L63" i="40" s="1"/>
  <c r="L62" i="40"/>
  <c r="A62" i="40"/>
  <c r="H45" i="40" a="1"/>
  <c r="H45" i="40" s="1"/>
  <c r="H44" i="40"/>
  <c r="F44" i="40"/>
  <c r="E44" i="40"/>
  <c r="C44" i="40"/>
  <c r="C45" i="40" a="1"/>
  <c r="C45" i="40" s="1"/>
  <c r="B44" i="40"/>
  <c r="A44" i="40"/>
  <c r="E53" i="30"/>
  <c r="G179" i="8"/>
  <c r="G173" i="8"/>
  <c r="G172" i="8"/>
  <c r="G171" i="8"/>
  <c r="E56" i="30"/>
  <c r="E245" i="31" s="1"/>
  <c r="G162" i="8"/>
  <c r="G161" i="8"/>
  <c r="G158" i="8"/>
  <c r="G157" i="8"/>
  <c r="G156" i="8"/>
  <c r="F24" i="30"/>
  <c r="E9" i="30"/>
  <c r="E12" i="30"/>
  <c r="J24" i="30"/>
  <c r="K81" i="31" s="1"/>
  <c r="J33" i="30"/>
  <c r="K128" i="31" s="1"/>
  <c r="E72" i="30"/>
  <c r="E275" i="31" s="1"/>
  <c r="F275" i="31" s="1"/>
  <c r="F69" i="30"/>
  <c r="F67" i="30"/>
  <c r="F66" i="30"/>
  <c r="F64" i="30"/>
  <c r="F62" i="30"/>
  <c r="D63" i="40" a="1"/>
  <c r="D63" i="40" s="1"/>
  <c r="D62" i="40"/>
  <c r="F43" i="30"/>
  <c r="F39" i="30"/>
  <c r="E39" i="30" s="1"/>
  <c r="E162" i="31" s="1"/>
  <c r="D45" i="40" a="1"/>
  <c r="D45" i="40" s="1"/>
  <c r="D44" i="40"/>
  <c r="B34" i="40" a="1"/>
  <c r="B34" i="40" s="1"/>
  <c r="F106" i="31"/>
  <c r="O51" i="30" l="1"/>
  <c r="R64" i="8"/>
  <c r="O48" i="30"/>
  <c r="O46" i="30"/>
  <c r="O49" i="30"/>
  <c r="O50" i="30"/>
  <c r="O47" i="30"/>
  <c r="E23" i="31"/>
  <c r="K52" i="30"/>
  <c r="F75" i="31"/>
  <c r="O52" i="30"/>
  <c r="O53" i="30"/>
  <c r="O45" i="30"/>
  <c r="O14" i="30"/>
  <c r="O16" i="30"/>
  <c r="O18" i="30"/>
  <c r="O20" i="30"/>
  <c r="O26" i="30"/>
  <c r="O12" i="30"/>
  <c r="O42" i="30"/>
  <c r="O7" i="30"/>
  <c r="O13" i="30"/>
  <c r="O43" i="30"/>
  <c r="O44" i="30"/>
  <c r="O15" i="30"/>
  <c r="O17" i="30"/>
  <c r="O19" i="30"/>
  <c r="O59" i="30"/>
  <c r="O23" i="30"/>
  <c r="O64" i="30"/>
  <c r="O65" i="30"/>
  <c r="O66" i="30"/>
  <c r="O27" i="30"/>
  <c r="O68" i="30"/>
  <c r="O8" i="30"/>
  <c r="O70" i="30"/>
  <c r="O9" i="30"/>
  <c r="O71" i="30"/>
  <c r="O10" i="30"/>
  <c r="O72" i="30"/>
  <c r="O11" i="30"/>
  <c r="O57" i="30"/>
  <c r="O58" i="30"/>
  <c r="O22" i="30"/>
  <c r="O24" i="30"/>
  <c r="O25" i="30"/>
  <c r="O67" i="30"/>
  <c r="O28" i="30"/>
  <c r="O69" i="30"/>
  <c r="O34" i="30"/>
  <c r="O35" i="30"/>
  <c r="O40" i="30"/>
  <c r="O41" i="30"/>
  <c r="O6" i="30"/>
  <c r="O39" i="30"/>
  <c r="O62" i="30"/>
  <c r="O38" i="30"/>
  <c r="O37" i="30"/>
  <c r="O60" i="30"/>
  <c r="O33" i="30"/>
  <c r="O56" i="30"/>
  <c r="O32" i="30"/>
  <c r="O30" i="30"/>
  <c r="O61" i="30"/>
  <c r="O55" i="30"/>
  <c r="O36" i="30"/>
  <c r="O31" i="30"/>
  <c r="O54" i="30"/>
  <c r="O29" i="30"/>
  <c r="O63" i="30"/>
  <c r="P156" i="8"/>
  <c r="O156" i="8"/>
  <c r="N156" i="8"/>
  <c r="M156" i="8"/>
  <c r="L156" i="8"/>
  <c r="N158" i="8"/>
  <c r="M158" i="8"/>
  <c r="L158" i="8"/>
  <c r="P158" i="8"/>
  <c r="O158" i="8"/>
  <c r="N161" i="8"/>
  <c r="M161" i="8"/>
  <c r="L161" i="8"/>
  <c r="P161" i="8"/>
  <c r="O161" i="8"/>
  <c r="O162" i="8"/>
  <c r="P162" i="8"/>
  <c r="N162" i="8"/>
  <c r="M162" i="8"/>
  <c r="L162" i="8"/>
  <c r="O171" i="8"/>
  <c r="N171" i="8"/>
  <c r="P171" i="8"/>
  <c r="L171" i="8"/>
  <c r="M171" i="8"/>
  <c r="O172" i="8"/>
  <c r="N172" i="8"/>
  <c r="M172" i="8"/>
  <c r="L172" i="8"/>
  <c r="P172" i="8"/>
  <c r="P173" i="8"/>
  <c r="M173" i="8"/>
  <c r="L173" i="8"/>
  <c r="O173" i="8"/>
  <c r="N173" i="8"/>
  <c r="P179" i="8"/>
  <c r="M179" i="8"/>
  <c r="L179" i="8"/>
  <c r="O179" i="8"/>
  <c r="N179" i="8"/>
  <c r="P157" i="8"/>
  <c r="O157" i="8"/>
  <c r="L157" i="8"/>
  <c r="N157" i="8"/>
  <c r="M157" i="8"/>
  <c r="N141" i="8"/>
  <c r="N143" i="8" s="1"/>
  <c r="M141" i="8"/>
  <c r="M143" i="8" s="1"/>
  <c r="P141" i="8"/>
  <c r="P143" i="8" s="1"/>
  <c r="O141" i="8"/>
  <c r="O143" i="8" s="1"/>
  <c r="L141" i="8"/>
  <c r="L143" i="8" s="1"/>
  <c r="R143" i="8" s="1"/>
  <c r="C18" i="32"/>
  <c r="A54" i="32"/>
  <c r="J54" i="32" s="1"/>
  <c r="C22" i="32"/>
  <c r="A58" i="32"/>
  <c r="J58" i="32" s="1"/>
  <c r="C11" i="32"/>
  <c r="A47" i="32"/>
  <c r="J47" i="32" s="1"/>
  <c r="C4" i="32"/>
  <c r="A40" i="32"/>
  <c r="J40" i="32" s="1"/>
  <c r="C3" i="32"/>
  <c r="A39" i="32"/>
  <c r="J39" i="32" s="1"/>
  <c r="C10" i="32"/>
  <c r="A46" i="32"/>
  <c r="J46" i="32" s="1"/>
  <c r="C2" i="32"/>
  <c r="A38" i="32"/>
  <c r="J38" i="32" s="1"/>
  <c r="C7" i="32"/>
  <c r="A43" i="32"/>
  <c r="J43" i="32" s="1"/>
  <c r="C19" i="32"/>
  <c r="A55" i="32"/>
  <c r="J55" i="32" s="1"/>
  <c r="C6" i="32"/>
  <c r="A42" i="32"/>
  <c r="J42" i="32" s="1"/>
  <c r="C20" i="32"/>
  <c r="A56" i="32"/>
  <c r="J56" i="32" s="1"/>
  <c r="C9" i="32"/>
  <c r="A45" i="32"/>
  <c r="J45" i="32" s="1"/>
  <c r="F134" i="31"/>
  <c r="C12" i="32"/>
  <c r="F178" i="31"/>
  <c r="C15" i="32"/>
  <c r="F182" i="31"/>
  <c r="C16" i="32"/>
  <c r="C8" i="32"/>
  <c r="F238" i="31"/>
  <c r="C17" i="32"/>
  <c r="F161" i="31"/>
  <c r="C13" i="32"/>
  <c r="F168" i="31"/>
  <c r="C14" i="32"/>
  <c r="F53" i="31"/>
  <c r="F61" i="31"/>
  <c r="F95" i="31"/>
  <c r="F86" i="31"/>
  <c r="F251" i="31"/>
  <c r="F109" i="31"/>
  <c r="F31" i="31"/>
  <c r="H264" i="31" a="1"/>
  <c r="H264" i="31" s="1"/>
  <c r="G264" i="31" a="1"/>
  <c r="G264" i="31" s="1"/>
  <c r="L264" i="31" a="1"/>
  <c r="L264" i="31" s="1"/>
  <c r="O264" i="31" s="1"/>
  <c r="M264" i="31" a="1"/>
  <c r="M264" i="31" s="1"/>
  <c r="I264" i="31" a="1"/>
  <c r="I264" i="31" s="1"/>
  <c r="L275" i="31" a="1"/>
  <c r="L275" i="31" s="1"/>
  <c r="M275" i="31" a="1"/>
  <c r="M275" i="31" s="1"/>
  <c r="I275" i="31" a="1"/>
  <c r="I275" i="31" s="1"/>
  <c r="G275" i="31" a="1"/>
  <c r="G275" i="31" s="1"/>
  <c r="L169" i="8"/>
  <c r="M169" i="8"/>
  <c r="N169" i="8"/>
  <c r="F71" i="31"/>
  <c r="F206" i="31"/>
  <c r="F245" i="31"/>
  <c r="F23" i="31"/>
  <c r="F128" i="31"/>
  <c r="F162" i="31"/>
  <c r="F225" i="31"/>
  <c r="F239" i="31"/>
  <c r="F192" i="31"/>
  <c r="F229" i="31"/>
  <c r="F220" i="31"/>
  <c r="R169" i="8" l="1"/>
  <c r="M72" i="31" a="1"/>
  <c r="M72" i="31" s="1"/>
  <c r="I72" i="31" a="1"/>
  <c r="I72" i="31" s="1"/>
  <c r="H72" i="31" a="1"/>
  <c r="H72" i="31" s="1"/>
  <c r="G72" i="31" a="1"/>
  <c r="G72" i="31" s="1"/>
  <c r="P159" i="8"/>
  <c r="H107" i="31" a="1"/>
  <c r="H107" i="31" s="1"/>
  <c r="G107" i="31" a="1"/>
  <c r="G107" i="31" s="1"/>
  <c r="M107" i="31" a="1"/>
  <c r="M107" i="31" s="1"/>
  <c r="I107" i="31" a="1"/>
  <c r="I107" i="31" s="1"/>
  <c r="L107" i="31" a="1"/>
  <c r="L107" i="31" s="1"/>
  <c r="O163" i="8"/>
  <c r="P163" i="8"/>
  <c r="O159" i="8"/>
  <c r="P175" i="8"/>
  <c r="O175" i="8"/>
  <c r="O275" i="31"/>
  <c r="N163" i="8"/>
  <c r="L163" i="31" a="1"/>
  <c r="L163" i="31" s="1"/>
  <c r="M163" i="31" a="1"/>
  <c r="M163" i="31" s="1"/>
  <c r="K163" i="31" s="1"/>
  <c r="R163" i="31" s="1" a="1"/>
  <c r="R163" i="31" s="1"/>
  <c r="I163" i="31" a="1"/>
  <c r="I163" i="31" s="1"/>
  <c r="G163" i="31" a="1"/>
  <c r="G163" i="31" s="1"/>
  <c r="I240" i="31" a="1"/>
  <c r="I240" i="31" s="1"/>
  <c r="L240" i="31" a="1"/>
  <c r="L240" i="31" s="1"/>
  <c r="M240" i="31" a="1"/>
  <c r="M240" i="31" s="1"/>
  <c r="G240" i="31" a="1"/>
  <c r="G240" i="31" s="1"/>
  <c r="L129" i="31" a="1"/>
  <c r="L129" i="31" s="1"/>
  <c r="G129" i="31" a="1"/>
  <c r="G129" i="31" s="1"/>
  <c r="I129" i="31" a="1"/>
  <c r="I129" i="31" s="1"/>
  <c r="M175" i="8"/>
  <c r="L175" i="8"/>
  <c r="R175" i="8" s="1"/>
  <c r="N175" i="8"/>
  <c r="N159" i="8"/>
  <c r="L159" i="8"/>
  <c r="M159" i="8"/>
  <c r="M163" i="8"/>
  <c r="L163" i="8"/>
  <c r="R163" i="8" s="1"/>
  <c r="R159" i="8" l="1"/>
  <c r="F72" i="31"/>
  <c r="J72" i="31"/>
  <c r="O107" i="31"/>
  <c r="J107" i="31"/>
  <c r="F107" i="31"/>
  <c r="O274" i="31"/>
  <c r="D58" i="32" s="1"/>
  <c r="O129" i="31"/>
  <c r="P129" i="31"/>
  <c r="O240" i="31"/>
  <c r="P163" i="31"/>
  <c r="O163" i="31"/>
  <c r="T163" i="31" a="1"/>
  <c r="T163" i="31" s="1"/>
  <c r="N163" i="31" a="1"/>
  <c r="N163" i="31" s="1"/>
  <c r="F240" i="31"/>
  <c r="J240" i="31"/>
  <c r="F163" i="31"/>
  <c r="J163" i="31"/>
  <c r="F129" i="31"/>
  <c r="J129" i="31"/>
  <c r="E43" i="30"/>
  <c r="E179" i="31" s="1"/>
  <c r="E24" i="30"/>
  <c r="E81" i="31" s="1"/>
  <c r="K64" i="30"/>
  <c r="K65" i="30"/>
  <c r="K69" i="30"/>
  <c r="K70" i="30"/>
  <c r="K72" i="30"/>
  <c r="G166" i="7"/>
  <c r="G163" i="7"/>
  <c r="F6" i="30"/>
  <c r="E6" i="30" s="1"/>
  <c r="A45" i="40" a="1"/>
  <c r="A45" i="40" s="1"/>
  <c r="C34" i="40" a="1"/>
  <c r="C34" i="40" s="1"/>
  <c r="A34" i="40" a="1"/>
  <c r="A34" i="40" s="1"/>
  <c r="B24" i="40"/>
  <c r="A24" i="40"/>
  <c r="A23" i="40"/>
  <c r="F179" i="31"/>
  <c r="F81" i="31"/>
  <c r="G73" i="31" l="1" a="1"/>
  <c r="G73" i="31" s="1"/>
  <c r="M73" i="31" a="1"/>
  <c r="M73" i="31" s="1"/>
  <c r="I73" i="31" a="1"/>
  <c r="I73" i="31" s="1"/>
  <c r="H73" i="31" a="1"/>
  <c r="H73" i="31" s="1"/>
  <c r="H108" i="31" a="1"/>
  <c r="H108" i="31" s="1"/>
  <c r="M108" i="31" a="1"/>
  <c r="M108" i="31" s="1"/>
  <c r="L108" i="31" a="1"/>
  <c r="L108" i="31" s="1"/>
  <c r="I108" i="31" a="1"/>
  <c r="I108" i="31" s="1"/>
  <c r="G108" i="31" a="1"/>
  <c r="G108" i="31" s="1"/>
  <c r="O166" i="7"/>
  <c r="P166" i="7"/>
  <c r="O163" i="7"/>
  <c r="P163" i="7"/>
  <c r="L163" i="7"/>
  <c r="N163" i="7"/>
  <c r="M163" i="7"/>
  <c r="N166" i="7"/>
  <c r="L166" i="7"/>
  <c r="M166" i="7"/>
  <c r="E5" i="31"/>
  <c r="F5" i="31" s="1"/>
  <c r="M6" i="31" s="1" a="1"/>
  <c r="M6" i="31" s="1"/>
  <c r="E12" i="31"/>
  <c r="F12" i="31" s="1"/>
  <c r="P9" i="31"/>
  <c r="O9" i="31"/>
  <c r="P11" i="31"/>
  <c r="O11" i="31"/>
  <c r="L130" i="31" a="1"/>
  <c r="L130" i="31" s="1"/>
  <c r="I241" i="31" a="1"/>
  <c r="I241" i="31" s="1"/>
  <c r="J241" i="31" s="1"/>
  <c r="G164" i="31" a="1"/>
  <c r="G164" i="31" s="1"/>
  <c r="G241" i="31" a="1"/>
  <c r="G241" i="31" s="1"/>
  <c r="L241" i="31" a="1"/>
  <c r="L241" i="31" s="1"/>
  <c r="M241" i="31" a="1"/>
  <c r="M241" i="31" s="1"/>
  <c r="L164" i="31" a="1"/>
  <c r="L164" i="31" s="1"/>
  <c r="M164" i="31" a="1"/>
  <c r="M164" i="31" s="1"/>
  <c r="K164" i="31" s="1"/>
  <c r="N164" i="31" s="1" a="1"/>
  <c r="N164" i="31" s="1"/>
  <c r="I164" i="31" a="1"/>
  <c r="I164" i="31" s="1"/>
  <c r="J164" i="31" s="1"/>
  <c r="G130" i="31" a="1"/>
  <c r="G130" i="31" s="1"/>
  <c r="I130" i="31" a="1"/>
  <c r="I130" i="31" s="1"/>
  <c r="J130" i="31" s="1"/>
  <c r="L13" i="31"/>
  <c r="I180" i="31" a="1"/>
  <c r="I180" i="31" s="1"/>
  <c r="J180" i="31" s="1"/>
  <c r="L180" i="31" a="1"/>
  <c r="L180" i="31" s="1"/>
  <c r="M180" i="31" a="1"/>
  <c r="M180" i="31" s="1"/>
  <c r="G180" i="31" a="1"/>
  <c r="G180" i="31" s="1"/>
  <c r="L82" i="31" a="1"/>
  <c r="L82" i="31" s="1"/>
  <c r="M82" i="31" a="1"/>
  <c r="M82" i="31" s="1"/>
  <c r="K82" i="31" s="1"/>
  <c r="N82" i="31" s="1" a="1"/>
  <c r="N82" i="31" s="1"/>
  <c r="I82" i="31" a="1"/>
  <c r="I82" i="31" s="1"/>
  <c r="J82" i="31" s="1"/>
  <c r="G82" i="31" a="1"/>
  <c r="G82" i="31" s="1"/>
  <c r="J73" i="31" l="1"/>
  <c r="F73" i="31"/>
  <c r="I230" i="31" a="1"/>
  <c r="I230" i="31" s="1"/>
  <c r="G230" i="31" a="1"/>
  <c r="G230" i="31" s="1"/>
  <c r="M230" i="31" a="1"/>
  <c r="M230" i="31" s="1"/>
  <c r="L230" i="31" a="1"/>
  <c r="L230" i="31" s="1"/>
  <c r="F108" i="31"/>
  <c r="J108" i="31"/>
  <c r="O108" i="31"/>
  <c r="O106" i="31" s="1"/>
  <c r="P168" i="7"/>
  <c r="O168" i="7"/>
  <c r="P10" i="31"/>
  <c r="O8" i="31"/>
  <c r="P8" i="31"/>
  <c r="O10" i="31"/>
  <c r="I6" i="31" a="1"/>
  <c r="I6" i="31" s="1"/>
  <c r="F6" i="31" s="1"/>
  <c r="N168" i="7"/>
  <c r="L168" i="7"/>
  <c r="M168" i="7"/>
  <c r="I13" i="31" a="1"/>
  <c r="I13" i="31" s="1"/>
  <c r="M13" i="31" a="1"/>
  <c r="M13" i="31" s="1"/>
  <c r="P13" i="31"/>
  <c r="O13" i="31"/>
  <c r="O241" i="31"/>
  <c r="O82" i="31"/>
  <c r="O180" i="31"/>
  <c r="P130" i="31"/>
  <c r="O130" i="31"/>
  <c r="P164" i="31"/>
  <c r="O164" i="31"/>
  <c r="T164" i="31" a="1"/>
  <c r="T164" i="31" s="1"/>
  <c r="T82" i="31" a="1"/>
  <c r="T82" i="31" s="1"/>
  <c r="F241" i="31"/>
  <c r="R164" i="31" a="1"/>
  <c r="R164" i="31" s="1"/>
  <c r="R82" i="31" a="1"/>
  <c r="R82" i="31" s="1"/>
  <c r="F164" i="31"/>
  <c r="F130" i="31"/>
  <c r="F180" i="31"/>
  <c r="F82" i="31"/>
  <c r="R168" i="7" l="1"/>
  <c r="G74" i="31" a="1"/>
  <c r="G74" i="31" s="1"/>
  <c r="M74" i="31" a="1"/>
  <c r="M74" i="31" s="1"/>
  <c r="I74" i="31" a="1"/>
  <c r="I74" i="31" s="1"/>
  <c r="H74" i="31" a="1"/>
  <c r="H74" i="31" s="1"/>
  <c r="O230" i="31"/>
  <c r="J230" i="31"/>
  <c r="F230" i="31"/>
  <c r="P12" i="31"/>
  <c r="P4" i="31" s="1"/>
  <c r="E38" i="32" s="1"/>
  <c r="E60" i="32" s="1"/>
  <c r="O12" i="31"/>
  <c r="O4" i="31" s="1"/>
  <c r="D38" i="32" s="1"/>
  <c r="D60" i="32" s="1"/>
  <c r="P82" i="31"/>
  <c r="I242" i="31" a="1"/>
  <c r="I242" i="31" s="1"/>
  <c r="J242" i="31" s="1"/>
  <c r="G242" i="31" a="1"/>
  <c r="G242" i="31" s="1"/>
  <c r="L242" i="31" a="1"/>
  <c r="L242" i="31" s="1"/>
  <c r="M242" i="31" a="1"/>
  <c r="M242" i="31" s="1"/>
  <c r="I131" i="31" a="1"/>
  <c r="I131" i="31" s="1"/>
  <c r="J131" i="31" s="1"/>
  <c r="G165" i="31" a="1"/>
  <c r="G165" i="31" s="1"/>
  <c r="L165" i="31" a="1"/>
  <c r="L165" i="31" s="1"/>
  <c r="I165" i="31" a="1"/>
  <c r="I165" i="31" s="1"/>
  <c r="J165" i="31" s="1"/>
  <c r="G131" i="31" a="1"/>
  <c r="G131" i="31" s="1"/>
  <c r="M165" i="31" a="1"/>
  <c r="M165" i="31" s="1"/>
  <c r="K165" i="31" s="1"/>
  <c r="N165" i="31" s="1" a="1"/>
  <c r="N165" i="31" s="1"/>
  <c r="L131" i="31" a="1"/>
  <c r="L131" i="31" s="1"/>
  <c r="H181" i="31" a="1"/>
  <c r="H181" i="31" s="1"/>
  <c r="I181" i="31" a="1"/>
  <c r="I181" i="31" s="1"/>
  <c r="J181" i="31" s="1"/>
  <c r="L181" i="31" a="1"/>
  <c r="L181" i="31" s="1"/>
  <c r="G181" i="31" a="1"/>
  <c r="G181" i="31" s="1"/>
  <c r="M181" i="31" a="1"/>
  <c r="M181" i="31" s="1"/>
  <c r="H83" i="31" a="1"/>
  <c r="H83" i="31" s="1"/>
  <c r="I83" i="31" a="1"/>
  <c r="I83" i="31" s="1"/>
  <c r="J83" i="31" s="1"/>
  <c r="M83" i="31" a="1"/>
  <c r="M83" i="31" s="1"/>
  <c r="K83" i="31" s="1"/>
  <c r="N83" i="31" s="1" a="1"/>
  <c r="N83" i="31" s="1"/>
  <c r="L83" i="31" a="1"/>
  <c r="L83" i="31" s="1"/>
  <c r="G83" i="31" a="1"/>
  <c r="G83" i="31" s="1"/>
  <c r="J74" i="31" l="1"/>
  <c r="F74" i="31"/>
  <c r="L231" i="31" a="1"/>
  <c r="L231" i="31" s="1"/>
  <c r="I231" i="31" a="1"/>
  <c r="I231" i="31" s="1"/>
  <c r="G231" i="31" a="1"/>
  <c r="G231" i="31" s="1"/>
  <c r="M231" i="31" a="1"/>
  <c r="M231" i="31" s="1"/>
  <c r="P181" i="31"/>
  <c r="O181" i="31"/>
  <c r="P165" i="31"/>
  <c r="O165" i="31"/>
  <c r="P131" i="31"/>
  <c r="O131" i="31"/>
  <c r="P83" i="31"/>
  <c r="O83" i="31"/>
  <c r="O242" i="31"/>
  <c r="F242" i="31"/>
  <c r="T83" i="31" a="1"/>
  <c r="T83" i="31" s="1"/>
  <c r="T165" i="31" a="1"/>
  <c r="T165" i="31" s="1"/>
  <c r="F131" i="31"/>
  <c r="R165" i="31" a="1"/>
  <c r="R165" i="31" s="1"/>
  <c r="R83" i="31" a="1"/>
  <c r="R83" i="31" s="1"/>
  <c r="F165" i="31"/>
  <c r="F181" i="31"/>
  <c r="F132" i="31"/>
  <c r="F83" i="31"/>
  <c r="J231" i="31" l="1"/>
  <c r="F231" i="31"/>
  <c r="O231" i="31"/>
  <c r="O179" i="31"/>
  <c r="O178" i="31" s="1"/>
  <c r="L243" i="31" a="1"/>
  <c r="L243" i="31" s="1"/>
  <c r="M243" i="31" a="1"/>
  <c r="M243" i="31" s="1"/>
  <c r="I243" i="31" a="1"/>
  <c r="I243" i="31" s="1"/>
  <c r="J243" i="31" s="1"/>
  <c r="H243" i="31" a="1"/>
  <c r="H243" i="31" s="1"/>
  <c r="G243" i="31" a="1"/>
  <c r="G243" i="31" s="1"/>
  <c r="H132" i="31" a="1"/>
  <c r="H132" i="31" s="1"/>
  <c r="I133" i="31" a="1"/>
  <c r="I133" i="31" s="1"/>
  <c r="J133" i="31" s="1"/>
  <c r="L132" i="31" a="1"/>
  <c r="L132" i="31" s="1"/>
  <c r="M132" i="31" a="1"/>
  <c r="M132" i="31" s="1"/>
  <c r="G132" i="31" a="1"/>
  <c r="G132" i="31" s="1"/>
  <c r="H166" i="31" a="1"/>
  <c r="H166" i="31" s="1"/>
  <c r="M166" i="31" a="1"/>
  <c r="M166" i="31" s="1"/>
  <c r="K166" i="31" s="1"/>
  <c r="N166" i="31" s="1" a="1"/>
  <c r="N166" i="31" s="1"/>
  <c r="L166" i="31" a="1"/>
  <c r="L166" i="31" s="1"/>
  <c r="I166" i="31" a="1"/>
  <c r="I166" i="31" s="1"/>
  <c r="J166" i="31" s="1"/>
  <c r="G166" i="31" a="1"/>
  <c r="G166" i="31" s="1"/>
  <c r="H84" i="31" a="1"/>
  <c r="H84" i="31" s="1"/>
  <c r="I84" i="31" a="1"/>
  <c r="I84" i="31" s="1"/>
  <c r="J84" i="31" s="1"/>
  <c r="M84" i="31" a="1"/>
  <c r="M84" i="31" s="1"/>
  <c r="K84" i="31" s="1"/>
  <c r="R84" i="31" s="1" a="1"/>
  <c r="R84" i="31" s="1"/>
  <c r="L84" i="31" a="1"/>
  <c r="L84" i="31" s="1"/>
  <c r="G84" i="31" a="1"/>
  <c r="G84" i="31" s="1"/>
  <c r="K132" i="31" l="1"/>
  <c r="G232" i="31" a="1"/>
  <c r="G232" i="31" s="1"/>
  <c r="H232" i="31" a="1"/>
  <c r="H232" i="31" s="1"/>
  <c r="I232" i="31" a="1"/>
  <c r="I232" i="31" s="1"/>
  <c r="L232" i="31" a="1"/>
  <c r="L232" i="31" s="1"/>
  <c r="M232" i="31" a="1"/>
  <c r="M232" i="31" s="1"/>
  <c r="D51" i="32"/>
  <c r="O243" i="31"/>
  <c r="P84" i="31"/>
  <c r="O84" i="31"/>
  <c r="P132" i="31"/>
  <c r="O132" i="31"/>
  <c r="P166" i="31"/>
  <c r="O166" i="31"/>
  <c r="F243" i="31"/>
  <c r="T84" i="31" a="1"/>
  <c r="T84" i="31" s="1"/>
  <c r="T166" i="31" a="1"/>
  <c r="T166" i="31" s="1"/>
  <c r="R166" i="31" a="1"/>
  <c r="R166" i="31" s="1"/>
  <c r="N84" i="31" a="1"/>
  <c r="N84" i="31" s="1"/>
  <c r="F166" i="31"/>
  <c r="H133" i="31" a="1"/>
  <c r="H133" i="31" s="1"/>
  <c r="M133" i="31" a="1"/>
  <c r="M133" i="31" s="1"/>
  <c r="K133" i="31" s="1"/>
  <c r="L133" i="31" a="1"/>
  <c r="L133" i="31" s="1"/>
  <c r="G133" i="31" a="1"/>
  <c r="G133" i="31" s="1"/>
  <c r="F84" i="31"/>
  <c r="O232" i="31" l="1"/>
  <c r="O229" i="31" s="1"/>
  <c r="F232" i="31"/>
  <c r="J232" i="31"/>
  <c r="T133" i="31" a="1"/>
  <c r="T133" i="31" s="1"/>
  <c r="M244" i="31" a="1"/>
  <c r="M244" i="31" s="1"/>
  <c r="P133" i="31"/>
  <c r="O133" i="31"/>
  <c r="I244" i="31" a="1"/>
  <c r="I244" i="31" s="1"/>
  <c r="J244" i="31" s="1"/>
  <c r="H244" i="31" a="1"/>
  <c r="H244" i="31" s="1"/>
  <c r="L244" i="31" a="1"/>
  <c r="L244" i="31" s="1"/>
  <c r="G244" i="31" a="1"/>
  <c r="G244" i="31" s="1"/>
  <c r="N133" i="31" a="1"/>
  <c r="N133" i="31" s="1"/>
  <c r="R133" i="31" a="1"/>
  <c r="R133" i="31" s="1"/>
  <c r="H167" i="31" a="1"/>
  <c r="H167" i="31" s="1"/>
  <c r="L167" i="31" a="1"/>
  <c r="L167" i="31" s="1"/>
  <c r="I167" i="31" a="1"/>
  <c r="I167" i="31" s="1"/>
  <c r="J167" i="31" s="1"/>
  <c r="G167" i="31" a="1"/>
  <c r="G167" i="31" s="1"/>
  <c r="M167" i="31" a="1"/>
  <c r="M167" i="31" s="1"/>
  <c r="K167" i="31" s="1"/>
  <c r="N167" i="31" s="1" a="1"/>
  <c r="N167" i="31" s="1"/>
  <c r="F133" i="31"/>
  <c r="I85" i="31" a="1"/>
  <c r="I85" i="31" s="1"/>
  <c r="J85" i="31" s="1"/>
  <c r="M85" i="31" a="1"/>
  <c r="M85" i="31" s="1"/>
  <c r="K85" i="31" s="1"/>
  <c r="N85" i="31" s="1" a="1"/>
  <c r="N85" i="31" s="1"/>
  <c r="L85" i="31" a="1"/>
  <c r="L85" i="31" s="1"/>
  <c r="G85" i="31" a="1"/>
  <c r="G85" i="31" s="1"/>
  <c r="H85" i="31" a="1"/>
  <c r="H85" i="31" s="1"/>
  <c r="G6" i="31"/>
  <c r="P128" i="31" l="1"/>
  <c r="O128" i="31"/>
  <c r="P244" i="31"/>
  <c r="F244" i="31"/>
  <c r="O244" i="31"/>
  <c r="P167" i="31"/>
  <c r="O167" i="31"/>
  <c r="P85" i="31"/>
  <c r="O85" i="31"/>
  <c r="T85" i="31" a="1"/>
  <c r="T85" i="31" s="1"/>
  <c r="T167" i="31" a="1"/>
  <c r="T167" i="31" s="1"/>
  <c r="N81" i="31"/>
  <c r="N162" i="31"/>
  <c r="R167" i="31" a="1"/>
  <c r="R167" i="31" s="1"/>
  <c r="R85" i="31" a="1"/>
  <c r="R85" i="31" s="1"/>
  <c r="F167" i="31"/>
  <c r="M246" i="31" a="1"/>
  <c r="M246" i="31" s="1"/>
  <c r="I246" i="31" a="1"/>
  <c r="I246" i="31" s="1"/>
  <c r="J246" i="31" s="1"/>
  <c r="G246" i="31" a="1"/>
  <c r="G246" i="31" s="1"/>
  <c r="L246" i="31" a="1"/>
  <c r="L246" i="31" s="1"/>
  <c r="F85" i="31"/>
  <c r="T81" i="31" l="1"/>
  <c r="T162" i="31"/>
  <c r="T161" i="31" s="1"/>
  <c r="H13" i="32" s="1"/>
  <c r="R162" i="31"/>
  <c r="R161" i="31" s="1"/>
  <c r="G49" i="32" s="1"/>
  <c r="O162" i="31"/>
  <c r="O161" i="31" s="1"/>
  <c r="D49" i="32" s="1"/>
  <c r="O239" i="31"/>
  <c r="P162" i="31"/>
  <c r="P161" i="31" s="1"/>
  <c r="E49" i="32" s="1"/>
  <c r="R81" i="31"/>
  <c r="O81" i="31"/>
  <c r="N161" i="31"/>
  <c r="O246" i="31"/>
  <c r="F246" i="31"/>
  <c r="C49" i="32" l="1"/>
  <c r="L247" i="31" a="1"/>
  <c r="L247" i="31" s="1"/>
  <c r="M247" i="31" a="1"/>
  <c r="M247" i="31" s="1"/>
  <c r="I247" i="31" a="1"/>
  <c r="I247" i="31" s="1"/>
  <c r="J247" i="31" s="1"/>
  <c r="G247" i="31" a="1"/>
  <c r="G247" i="31" s="1"/>
  <c r="K179" i="31"/>
  <c r="O247" i="31" l="1"/>
  <c r="K180" i="31"/>
  <c r="K181" i="31"/>
  <c r="F247" i="31"/>
  <c r="AI337" i="3"/>
  <c r="AI336" i="3"/>
  <c r="AI335" i="3"/>
  <c r="AI334" i="3"/>
  <c r="AI333" i="3"/>
  <c r="AI332" i="3"/>
  <c r="AI331" i="3"/>
  <c r="AI330" i="3"/>
  <c r="AI329" i="3"/>
  <c r="AI328" i="3"/>
  <c r="AI327" i="3"/>
  <c r="AI326" i="3"/>
  <c r="AI325" i="3"/>
  <c r="AI323" i="3"/>
  <c r="AI322" i="3"/>
  <c r="AI321" i="3"/>
  <c r="AI320" i="3"/>
  <c r="AI319" i="3"/>
  <c r="AI317" i="3"/>
  <c r="AI316" i="3"/>
  <c r="AI315" i="3"/>
  <c r="AI314" i="3"/>
  <c r="AI313" i="3"/>
  <c r="AI312" i="3"/>
  <c r="D46" i="5"/>
  <c r="AI311" i="3"/>
  <c r="AI310" i="3"/>
  <c r="AI308" i="3"/>
  <c r="AI307" i="3"/>
  <c r="AI306" i="3"/>
  <c r="AI305" i="3"/>
  <c r="AI304" i="3"/>
  <c r="AI297" i="3"/>
  <c r="AI295" i="3"/>
  <c r="D83" i="8"/>
  <c r="H180" i="31" s="1" a="1"/>
  <c r="H180" i="31" s="1"/>
  <c r="AI293" i="3"/>
  <c r="AI292" i="3"/>
  <c r="AI287" i="3"/>
  <c r="AI286" i="3"/>
  <c r="AI285" i="3"/>
  <c r="AI284" i="3"/>
  <c r="AI283" i="3"/>
  <c r="AI282" i="3"/>
  <c r="AI281" i="3"/>
  <c r="AI280" i="3"/>
  <c r="AI279" i="3"/>
  <c r="AI278" i="3"/>
  <c r="AI277" i="3"/>
  <c r="AI276" i="3"/>
  <c r="AI272" i="3"/>
  <c r="AI271" i="3"/>
  <c r="AI270" i="3"/>
  <c r="AI269" i="3"/>
  <c r="AI268" i="3"/>
  <c r="AI267" i="3"/>
  <c r="AI266" i="3"/>
  <c r="AI265" i="3"/>
  <c r="AI264" i="3"/>
  <c r="AI263" i="3"/>
  <c r="AI262" i="3"/>
  <c r="AI261" i="3"/>
  <c r="AI260" i="3"/>
  <c r="AI259" i="3"/>
  <c r="AI258" i="3"/>
  <c r="AI255" i="3"/>
  <c r="AI254" i="3"/>
  <c r="AI253" i="3"/>
  <c r="AI251" i="3"/>
  <c r="AI249" i="3"/>
  <c r="AI247" i="3"/>
  <c r="D48" i="5"/>
  <c r="AI245" i="3"/>
  <c r="AI243" i="3"/>
  <c r="AI239" i="3"/>
  <c r="AI238" i="3"/>
  <c r="AI237" i="3"/>
  <c r="AI236" i="3"/>
  <c r="AI235" i="3"/>
  <c r="AI234" i="3"/>
  <c r="AI233" i="3"/>
  <c r="D141" i="8"/>
  <c r="H230" i="31" s="1" a="1"/>
  <c r="H230" i="31" s="1"/>
  <c r="AI232" i="3"/>
  <c r="AI231" i="3"/>
  <c r="AI230" i="3"/>
  <c r="AI229" i="3"/>
  <c r="AI228" i="3"/>
  <c r="AI227" i="3"/>
  <c r="AI226" i="3"/>
  <c r="AI225" i="3"/>
  <c r="AI224" i="3"/>
  <c r="AI223" i="3"/>
  <c r="D167" i="7"/>
  <c r="AI222" i="3"/>
  <c r="AI221" i="3"/>
  <c r="AI220" i="3"/>
  <c r="AI219" i="3"/>
  <c r="AI218" i="3"/>
  <c r="AI217" i="3"/>
  <c r="AI216" i="3"/>
  <c r="AI215" i="3"/>
  <c r="AI214" i="3"/>
  <c r="AI213" i="3"/>
  <c r="AI212" i="3"/>
  <c r="AI211" i="3"/>
  <c r="AI210" i="3"/>
  <c r="AI209" i="3"/>
  <c r="AI208" i="3"/>
  <c r="AI207" i="3"/>
  <c r="AI206" i="3"/>
  <c r="AI205" i="3"/>
  <c r="AI204" i="3"/>
  <c r="AI203" i="3"/>
  <c r="AI202" i="3"/>
  <c r="AI201" i="3"/>
  <c r="AI200" i="3"/>
  <c r="AI199" i="3"/>
  <c r="AI198" i="3"/>
  <c r="AI197" i="3"/>
  <c r="AI196" i="3"/>
  <c r="AI195" i="3"/>
  <c r="AI194" i="3"/>
  <c r="AI193" i="3"/>
  <c r="AI192" i="3"/>
  <c r="AI191" i="3"/>
  <c r="AI190" i="3"/>
  <c r="AI189" i="3"/>
  <c r="AI188" i="3"/>
  <c r="AI187" i="3"/>
  <c r="AI186" i="3"/>
  <c r="AI185" i="3"/>
  <c r="AI184" i="3"/>
  <c r="AI183" i="3"/>
  <c r="AI182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D18" i="8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D23" i="11"/>
  <c r="AI29" i="3"/>
  <c r="AI28" i="3"/>
  <c r="D21" i="11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4" i="3"/>
  <c r="AI13" i="3"/>
  <c r="AI12" i="3"/>
  <c r="N49" i="34"/>
  <c r="M9" i="29" s="1"/>
  <c r="D9" i="38"/>
  <c r="B36" i="38"/>
  <c r="B35" i="38"/>
  <c r="B23" i="38"/>
  <c r="E37" i="38"/>
  <c r="E34" i="38"/>
  <c r="E33" i="38"/>
  <c r="E32" i="38"/>
  <c r="E31" i="38"/>
  <c r="E30" i="38"/>
  <c r="E29" i="38"/>
  <c r="T180" i="31" l="1" a="1"/>
  <c r="T180" i="31" s="1"/>
  <c r="T181" i="31" a="1"/>
  <c r="T181" i="31" s="1"/>
  <c r="N180" i="31" a="1"/>
  <c r="N180" i="31" s="1"/>
  <c r="R180" i="31" a="1"/>
  <c r="R180" i="31" s="1"/>
  <c r="N181" i="31" a="1"/>
  <c r="N181" i="31" s="1"/>
  <c r="R181" i="31" a="1"/>
  <c r="R181" i="31" s="1"/>
  <c r="C36" i="38"/>
  <c r="B8" i="38" s="1"/>
  <c r="D161" i="8"/>
  <c r="D179" i="8"/>
  <c r="D173" i="8"/>
  <c r="D63" i="8"/>
  <c r="H165" i="31" s="1" a="1"/>
  <c r="H165" i="31" s="1"/>
  <c r="D45" i="5"/>
  <c r="D167" i="8"/>
  <c r="D157" i="8"/>
  <c r="D25" i="8"/>
  <c r="D26" i="8"/>
  <c r="D166" i="7"/>
  <c r="D172" i="8"/>
  <c r="D19" i="11"/>
  <c r="D14" i="8"/>
  <c r="D61" i="8"/>
  <c r="H163" i="31" s="1" a="1"/>
  <c r="H163" i="31" s="1"/>
  <c r="D43" i="5"/>
  <c r="D62" i="8"/>
  <c r="H164" i="31" s="1" a="1"/>
  <c r="H164" i="31" s="1"/>
  <c r="D44" i="5"/>
  <c r="D180" i="8"/>
  <c r="D168" i="8"/>
  <c r="D158" i="8"/>
  <c r="H242" i="31" s="1" a="1"/>
  <c r="H242" i="31" s="1"/>
  <c r="D174" i="8"/>
  <c r="D162" i="8"/>
  <c r="D19" i="8"/>
  <c r="D15" i="8"/>
  <c r="D49" i="5"/>
  <c r="D115" i="7"/>
  <c r="H82" i="31" s="1" a="1"/>
  <c r="H82" i="31" s="1"/>
  <c r="L248" i="31" a="1"/>
  <c r="L248" i="31" s="1"/>
  <c r="M248" i="31" a="1"/>
  <c r="M248" i="31" s="1"/>
  <c r="I248" i="31" a="1"/>
  <c r="I248" i="31" s="1"/>
  <c r="J248" i="31" s="1"/>
  <c r="G248" i="31" a="1"/>
  <c r="G248" i="31" s="1"/>
  <c r="D47" i="5"/>
  <c r="C35" i="38"/>
  <c r="E35" i="38" s="1"/>
  <c r="T179" i="31" l="1"/>
  <c r="T178" i="31" s="1"/>
  <c r="H15" i="32" s="1"/>
  <c r="P180" i="31"/>
  <c r="O248" i="31"/>
  <c r="R179" i="31"/>
  <c r="R178" i="31" s="1"/>
  <c r="G51" i="32" s="1"/>
  <c r="N179" i="31"/>
  <c r="D156" i="8"/>
  <c r="D166" i="8"/>
  <c r="D171" i="8"/>
  <c r="D163" i="7"/>
  <c r="D142" i="8"/>
  <c r="H231" i="31" s="1" a="1"/>
  <c r="H231" i="31" s="1"/>
  <c r="D164" i="7"/>
  <c r="H248" i="31" a="1"/>
  <c r="H248" i="31" s="1"/>
  <c r="D165" i="7"/>
  <c r="H241" i="31" a="1"/>
  <c r="H241" i="31" s="1"/>
  <c r="H247" i="31" a="1"/>
  <c r="H247" i="31" s="1"/>
  <c r="D27" i="8"/>
  <c r="F248" i="31"/>
  <c r="E36" i="38"/>
  <c r="D8" i="38"/>
  <c r="B7" i="38"/>
  <c r="D7" i="38" l="1"/>
  <c r="B10" i="38"/>
  <c r="K22" i="29" s="1" a="1"/>
  <c r="K22" i="29" s="1"/>
  <c r="N178" i="31"/>
  <c r="H240" i="31" a="1"/>
  <c r="H240" i="31" s="1"/>
  <c r="H246" i="31" a="1"/>
  <c r="H246" i="31" s="1"/>
  <c r="L249" i="31" a="1"/>
  <c r="L249" i="31" s="1"/>
  <c r="M249" i="31" a="1"/>
  <c r="M249" i="31" s="1"/>
  <c r="I249" i="31" a="1"/>
  <c r="I249" i="31" s="1"/>
  <c r="J249" i="31" s="1"/>
  <c r="H249" i="31" a="1"/>
  <c r="H249" i="31" s="1"/>
  <c r="G249" i="31" a="1"/>
  <c r="G249" i="31" s="1"/>
  <c r="D89" i="34"/>
  <c r="E89" i="34"/>
  <c r="C89" i="34"/>
  <c r="D88" i="34"/>
  <c r="E88" i="34"/>
  <c r="C88" i="34"/>
  <c r="D87" i="34"/>
  <c r="E87" i="34"/>
  <c r="C87" i="34"/>
  <c r="B87" i="34"/>
  <c r="D86" i="34"/>
  <c r="E86" i="34"/>
  <c r="C86" i="34"/>
  <c r="B86" i="34"/>
  <c r="D85" i="34"/>
  <c r="E85" i="34"/>
  <c r="C85" i="34"/>
  <c r="B85" i="34"/>
  <c r="D72" i="34"/>
  <c r="D62" i="34"/>
  <c r="B89" i="34"/>
  <c r="B88" i="34"/>
  <c r="E33" i="32" l="1"/>
  <c r="C51" i="32"/>
  <c r="O249" i="31"/>
  <c r="F249" i="31"/>
  <c r="E84" i="34"/>
  <c r="B84" i="34"/>
  <c r="L250" i="31" l="1" a="1"/>
  <c r="L250" i="31" s="1"/>
  <c r="M250" i="31" a="1"/>
  <c r="M250" i="31" s="1"/>
  <c r="I250" i="31" a="1"/>
  <c r="I250" i="31" s="1"/>
  <c r="J250" i="31" s="1"/>
  <c r="H250" i="31" a="1"/>
  <c r="H250" i="31" s="1"/>
  <c r="G250" i="31" a="1"/>
  <c r="G250" i="31" s="1"/>
  <c r="K62" i="30"/>
  <c r="L87" i="11"/>
  <c r="L88" i="11" s="1"/>
  <c r="H275" i="31" a="1"/>
  <c r="H275" i="31" s="1"/>
  <c r="L11" i="34"/>
  <c r="P250" i="31" l="1"/>
  <c r="O250" i="31"/>
  <c r="B91" i="11"/>
  <c r="F250" i="31"/>
  <c r="J66" i="30"/>
  <c r="L90" i="11"/>
  <c r="L89" i="11"/>
  <c r="D88" i="11"/>
  <c r="D89" i="11" s="1"/>
  <c r="B10" i="34"/>
  <c r="O245" i="31" l="1"/>
  <c r="O238" i="31" s="1"/>
  <c r="D69" i="8"/>
  <c r="D70" i="8"/>
  <c r="D71" i="8"/>
  <c r="D72" i="8"/>
  <c r="D73" i="8"/>
  <c r="D74" i="8"/>
  <c r="D68" i="8"/>
  <c r="D108" i="8"/>
  <c r="D94" i="8"/>
  <c r="D93" i="8"/>
  <c r="D90" i="8"/>
  <c r="D89" i="8"/>
  <c r="D184" i="8"/>
  <c r="D185" i="8"/>
  <c r="D186" i="8"/>
  <c r="D183" i="8"/>
  <c r="D178" i="8"/>
  <c r="D177" i="8"/>
  <c r="D56" i="8"/>
  <c r="D57" i="8"/>
  <c r="D55" i="8"/>
  <c r="D46" i="8"/>
  <c r="D47" i="8"/>
  <c r="D45" i="8"/>
  <c r="D6" i="8"/>
  <c r="H130" i="31" s="1" a="1"/>
  <c r="H130" i="31" s="1"/>
  <c r="D7" i="8"/>
  <c r="H131" i="31" s="1" a="1"/>
  <c r="H131" i="31" s="1"/>
  <c r="D5" i="8"/>
  <c r="H129" i="31" s="1" a="1"/>
  <c r="H129" i="31" s="1"/>
  <c r="D53" i="32" l="1"/>
  <c r="D41" i="8" l="1"/>
  <c r="D42" i="8"/>
  <c r="D40" i="8"/>
  <c r="L19" i="34" l="1"/>
  <c r="L5" i="34"/>
  <c r="D84" i="34" l="1"/>
  <c r="C84" i="34"/>
  <c r="E83" i="34"/>
  <c r="B83" i="34"/>
  <c r="B96" i="34" s="1"/>
  <c r="B100" i="34" s="1"/>
  <c r="K67" i="30"/>
  <c r="J67" i="30" s="1"/>
  <c r="B24" i="32"/>
  <c r="B25" i="32"/>
  <c r="B26" i="32"/>
  <c r="B27" i="32"/>
  <c r="B28" i="32"/>
  <c r="B29" i="32"/>
  <c r="B23" i="32"/>
  <c r="C62" i="34"/>
  <c r="D48" i="34"/>
  <c r="E82" i="34" s="1"/>
  <c r="C48" i="34"/>
  <c r="D82" i="34" s="1"/>
  <c r="B48" i="34"/>
  <c r="C82" i="34" s="1"/>
  <c r="K32" i="30"/>
  <c r="K31" i="30"/>
  <c r="F35" i="5"/>
  <c r="E35" i="5" s="1"/>
  <c r="F36" i="5"/>
  <c r="E36" i="5" s="1"/>
  <c r="F37" i="5"/>
  <c r="E37" i="5" s="1"/>
  <c r="F38" i="5"/>
  <c r="E38" i="5" s="1"/>
  <c r="F34" i="5"/>
  <c r="E34" i="5" s="1"/>
  <c r="C35" i="5"/>
  <c r="C36" i="5"/>
  <c r="C43" i="5" s="1"/>
  <c r="C37" i="5"/>
  <c r="C44" i="5" s="1"/>
  <c r="C38" i="5"/>
  <c r="C45" i="5" s="1"/>
  <c r="C34" i="5"/>
  <c r="D22" i="5"/>
  <c r="G22" i="5"/>
  <c r="D82" i="5"/>
  <c r="D81" i="5"/>
  <c r="D80" i="5"/>
  <c r="D79" i="5"/>
  <c r="D78" i="5"/>
  <c r="D77" i="5"/>
  <c r="D76" i="5"/>
  <c r="D75" i="5"/>
  <c r="D74" i="5"/>
  <c r="D73" i="5"/>
  <c r="D70" i="5"/>
  <c r="D69" i="5"/>
  <c r="D68" i="5"/>
  <c r="D67" i="5"/>
  <c r="D66" i="5"/>
  <c r="D65" i="5"/>
  <c r="D64" i="5"/>
  <c r="D63" i="5"/>
  <c r="D62" i="5"/>
  <c r="D59" i="5"/>
  <c r="D58" i="5"/>
  <c r="D57" i="5"/>
  <c r="D56" i="5"/>
  <c r="D55" i="5"/>
  <c r="D54" i="5"/>
  <c r="D53" i="5"/>
  <c r="D40" i="5"/>
  <c r="D39" i="5"/>
  <c r="D31" i="5"/>
  <c r="D30" i="5"/>
  <c r="D29" i="5"/>
  <c r="D28" i="5"/>
  <c r="D27" i="5"/>
  <c r="D14" i="5"/>
  <c r="D5" i="5"/>
  <c r="D6" i="5"/>
  <c r="D4" i="5"/>
  <c r="F10" i="5"/>
  <c r="E10" i="5" s="1"/>
  <c r="F11" i="5"/>
  <c r="E11" i="5" s="1"/>
  <c r="F9" i="5"/>
  <c r="E9" i="5" s="1"/>
  <c r="C10" i="5"/>
  <c r="C18" i="5" s="1"/>
  <c r="C11" i="5"/>
  <c r="C19" i="5" s="1"/>
  <c r="C9" i="5"/>
  <c r="D180" i="7"/>
  <c r="D179" i="7"/>
  <c r="D178" i="7"/>
  <c r="D177" i="7"/>
  <c r="D174" i="7"/>
  <c r="D173" i="7"/>
  <c r="D172" i="7"/>
  <c r="D171" i="7"/>
  <c r="D170" i="7"/>
  <c r="D160" i="7"/>
  <c r="D159" i="7"/>
  <c r="D158" i="7"/>
  <c r="D157" i="7"/>
  <c r="D156" i="7"/>
  <c r="D155" i="7"/>
  <c r="D143" i="7"/>
  <c r="D142" i="7"/>
  <c r="D141" i="7"/>
  <c r="D126" i="7"/>
  <c r="D125" i="7"/>
  <c r="D150" i="7"/>
  <c r="D149" i="7"/>
  <c r="D148" i="7"/>
  <c r="D147" i="7"/>
  <c r="D132" i="7"/>
  <c r="D131" i="7"/>
  <c r="D130" i="7"/>
  <c r="D122" i="7"/>
  <c r="D121" i="7"/>
  <c r="D120" i="7"/>
  <c r="D95" i="7"/>
  <c r="D96" i="7"/>
  <c r="D94" i="7"/>
  <c r="D110" i="7"/>
  <c r="D111" i="7"/>
  <c r="D109" i="7"/>
  <c r="D45" i="7"/>
  <c r="D46" i="7"/>
  <c r="D47" i="7"/>
  <c r="D48" i="7"/>
  <c r="D44" i="7"/>
  <c r="D72" i="7"/>
  <c r="D73" i="7"/>
  <c r="D74" i="7"/>
  <c r="D71" i="7"/>
  <c r="D66" i="7"/>
  <c r="D67" i="7"/>
  <c r="D68" i="7"/>
  <c r="D65" i="7"/>
  <c r="D60" i="7"/>
  <c r="D61" i="7"/>
  <c r="D62" i="7"/>
  <c r="D59" i="7"/>
  <c r="D52" i="7"/>
  <c r="D53" i="7"/>
  <c r="D54" i="7"/>
  <c r="D55" i="7"/>
  <c r="D56" i="7"/>
  <c r="D51" i="7"/>
  <c r="D36" i="7"/>
  <c r="D37" i="7"/>
  <c r="D38" i="7"/>
  <c r="D39" i="7"/>
  <c r="D40" i="7"/>
  <c r="D41" i="7"/>
  <c r="D35" i="7"/>
  <c r="D28" i="7"/>
  <c r="D29" i="7"/>
  <c r="D30" i="7"/>
  <c r="D31" i="7"/>
  <c r="D32" i="7"/>
  <c r="D27" i="7"/>
  <c r="E96" i="34" l="1"/>
  <c r="E100" i="34" s="1"/>
  <c r="N38" i="5"/>
  <c r="O38" i="5"/>
  <c r="P38" i="5"/>
  <c r="N22" i="5"/>
  <c r="P22" i="5"/>
  <c r="O22" i="5"/>
  <c r="O37" i="5"/>
  <c r="N37" i="5"/>
  <c r="P37" i="5"/>
  <c r="L6" i="34"/>
  <c r="L7" i="34" s="1"/>
  <c r="M16" i="29"/>
  <c r="L22" i="5"/>
  <c r="M22" i="5"/>
  <c r="L38" i="5"/>
  <c r="M38" i="5"/>
  <c r="M37" i="5"/>
  <c r="L37" i="5"/>
  <c r="D11" i="5"/>
  <c r="D36" i="5"/>
  <c r="K56" i="30"/>
  <c r="J56" i="30" s="1"/>
  <c r="K245" i="31" s="1"/>
  <c r="J31" i="30"/>
  <c r="K110" i="31" s="1"/>
  <c r="C63" i="40" a="1"/>
  <c r="C63" i="40" s="1"/>
  <c r="B28" i="38"/>
  <c r="E28" i="38" s="1"/>
  <c r="J32" i="30"/>
  <c r="K119" i="31" s="1"/>
  <c r="E45" i="40" a="1"/>
  <c r="E45" i="40" s="1"/>
  <c r="D9" i="5"/>
  <c r="D34" i="5"/>
  <c r="D35" i="5"/>
  <c r="C17" i="5"/>
  <c r="G24" i="31" s="1" a="1"/>
  <c r="G24" i="31" s="1"/>
  <c r="H65" i="34"/>
  <c r="H71" i="34"/>
  <c r="H70" i="34"/>
  <c r="D38" i="5"/>
  <c r="D37" i="5"/>
  <c r="C83" i="34"/>
  <c r="C96" i="34" s="1"/>
  <c r="D83" i="34"/>
  <c r="D96" i="34" s="1"/>
  <c r="H61" i="34"/>
  <c r="H55" i="34"/>
  <c r="H60" i="34"/>
  <c r="F17" i="5"/>
  <c r="F19" i="5"/>
  <c r="E19" i="5" s="1"/>
  <c r="F18" i="5"/>
  <c r="E18" i="5" s="1"/>
  <c r="D10" i="5"/>
  <c r="D21" i="7"/>
  <c r="D22" i="7"/>
  <c r="D20" i="7"/>
  <c r="D214" i="7"/>
  <c r="D215" i="7"/>
  <c r="D213" i="7"/>
  <c r="D209" i="7"/>
  <c r="D210" i="7"/>
  <c r="D208" i="7"/>
  <c r="D9" i="7"/>
  <c r="D13" i="7"/>
  <c r="D12" i="7"/>
  <c r="K249" i="31" l="1"/>
  <c r="C15" i="34" a="1"/>
  <c r="C15" i="34" s="1"/>
  <c r="G15" i="34" s="1"/>
  <c r="H15" i="34" s="1"/>
  <c r="B97" i="34"/>
  <c r="E97" i="34"/>
  <c r="E101" i="34" s="1"/>
  <c r="E102" i="34" s="1"/>
  <c r="E91" i="34" s="1"/>
  <c r="C97" i="34"/>
  <c r="C101" i="34" s="1"/>
  <c r="D97" i="34"/>
  <c r="D101" i="34" s="1"/>
  <c r="E17" i="5"/>
  <c r="I24" i="31" a="1"/>
  <c r="I24" i="31" s="1"/>
  <c r="K246" i="31"/>
  <c r="K247" i="31"/>
  <c r="K248" i="31"/>
  <c r="K250" i="31"/>
  <c r="C28" i="38"/>
  <c r="D100" i="34"/>
  <c r="D18" i="5"/>
  <c r="D19" i="5"/>
  <c r="D17" i="5"/>
  <c r="H24" i="31" s="1" a="1"/>
  <c r="H24" i="31" s="1"/>
  <c r="R249" i="31" l="1" a="1"/>
  <c r="R249" i="31" s="1"/>
  <c r="N249" i="31" a="1"/>
  <c r="N249" i="31" s="1"/>
  <c r="T249" i="31" a="1"/>
  <c r="T249" i="31" s="1"/>
  <c r="I15" i="34" a="1"/>
  <c r="I15" i="34" s="1"/>
  <c r="C16" i="34" a="1"/>
  <c r="C16" i="34" s="1"/>
  <c r="E103" i="34"/>
  <c r="E104" i="34" s="1"/>
  <c r="E92" i="34" s="1"/>
  <c r="E93" i="34" s="1"/>
  <c r="B101" i="34"/>
  <c r="B102" i="34" s="1"/>
  <c r="B91" i="34" s="1"/>
  <c r="B93" i="34" s="1"/>
  <c r="C100" i="34"/>
  <c r="C102" i="34" s="1"/>
  <c r="C91" i="34" s="1"/>
  <c r="J24" i="31"/>
  <c r="F24" i="31"/>
  <c r="T250" i="31" a="1"/>
  <c r="T250" i="31" s="1"/>
  <c r="T247" i="31" a="1"/>
  <c r="T247" i="31" s="1"/>
  <c r="T246" i="31" a="1"/>
  <c r="T246" i="31" s="1"/>
  <c r="T248" i="31" a="1"/>
  <c r="T248" i="31" s="1"/>
  <c r="N246" i="31" a="1"/>
  <c r="N246" i="31" s="1"/>
  <c r="R246" i="31" a="1"/>
  <c r="R246" i="31" s="1"/>
  <c r="N250" i="31" a="1"/>
  <c r="N250" i="31" s="1"/>
  <c r="R250" i="31" a="1"/>
  <c r="R250" i="31" s="1"/>
  <c r="N248" i="31" a="1"/>
  <c r="N248" i="31" s="1"/>
  <c r="R248" i="31" a="1"/>
  <c r="R248" i="31" s="1"/>
  <c r="N247" i="31" a="1"/>
  <c r="N247" i="31" s="1"/>
  <c r="R247" i="31" a="1"/>
  <c r="R247" i="31" s="1"/>
  <c r="F41" i="31"/>
  <c r="D102" i="34"/>
  <c r="D4" i="11"/>
  <c r="H6" i="31" s="1" a="1"/>
  <c r="H6" i="31" s="1"/>
  <c r="B3" i="37" s="1" a="1"/>
  <c r="B3" i="37" s="1"/>
  <c r="P249" i="31" l="1"/>
  <c r="G16" i="34"/>
  <c r="I25" i="31" a="1"/>
  <c r="I25" i="31" s="1"/>
  <c r="G25" i="31" a="1"/>
  <c r="G25" i="31" s="1"/>
  <c r="H25" i="31" a="1"/>
  <c r="H25" i="31" s="1"/>
  <c r="T245" i="31"/>
  <c r="P248" i="31"/>
  <c r="P247" i="31"/>
  <c r="P246" i="31"/>
  <c r="R245" i="31"/>
  <c r="N245" i="31"/>
  <c r="Q246" i="31" a="1"/>
  <c r="Q246" i="31" s="1"/>
  <c r="Q248" i="31" a="1"/>
  <c r="Q248" i="31" s="1"/>
  <c r="Q249" i="31" a="1"/>
  <c r="Q249" i="31" s="1"/>
  <c r="Q247" i="31" a="1"/>
  <c r="Q247" i="31" s="1"/>
  <c r="Q250" i="31" a="1"/>
  <c r="Q250" i="31" s="1"/>
  <c r="C103" i="34"/>
  <c r="C104" i="34" s="1"/>
  <c r="C92" i="34" s="1"/>
  <c r="C93" i="34" s="1"/>
  <c r="D103" i="34"/>
  <c r="D104" i="34" s="1"/>
  <c r="D92" i="34" s="1"/>
  <c r="D91" i="34"/>
  <c r="J25" i="31" l="1"/>
  <c r="F25" i="31"/>
  <c r="S250" i="31"/>
  <c r="S248" i="31"/>
  <c r="S246" i="31"/>
  <c r="S247" i="31"/>
  <c r="S249" i="31"/>
  <c r="P245" i="31"/>
  <c r="Q245" i="31"/>
  <c r="C19" i="34"/>
  <c r="C21" i="34"/>
  <c r="C20" i="34"/>
  <c r="C18" i="34"/>
  <c r="C17" i="34"/>
  <c r="D93" i="34"/>
  <c r="L13" i="34" l="1"/>
  <c r="I26" i="31" a="1"/>
  <c r="I26" i="31" s="1"/>
  <c r="G26" i="31" a="1"/>
  <c r="G26" i="31" s="1"/>
  <c r="H26" i="31" a="1"/>
  <c r="H26" i="31" s="1"/>
  <c r="G17" i="34"/>
  <c r="H17" i="34" s="1"/>
  <c r="I17" i="34" s="1"/>
  <c r="C25" i="34"/>
  <c r="G18" i="34"/>
  <c r="H18" i="34" s="1"/>
  <c r="I18" i="34" s="1"/>
  <c r="G21" i="34"/>
  <c r="H21" i="34" s="1"/>
  <c r="I21" i="34" s="1"/>
  <c r="G19" i="34"/>
  <c r="H19" i="34" s="1"/>
  <c r="I19" i="34" s="1"/>
  <c r="G20" i="34"/>
  <c r="H20" i="34" s="1"/>
  <c r="I20" i="34" s="1"/>
  <c r="H16" i="34"/>
  <c r="I16" i="34" l="1" a="1"/>
  <c r="I16" i="34" s="1"/>
  <c r="L14" i="34"/>
  <c r="J15" i="29" s="1"/>
  <c r="J26" i="31"/>
  <c r="F26" i="31"/>
  <c r="N14" i="34"/>
  <c r="K41" i="30"/>
  <c r="J41" i="30" s="1"/>
  <c r="K169" i="31" s="1"/>
  <c r="C1" i="32"/>
  <c r="B1" i="32"/>
  <c r="D5" i="7"/>
  <c r="D6" i="7"/>
  <c r="D4" i="7"/>
  <c r="E23" i="34" l="1"/>
  <c r="J22" i="34" s="1"/>
  <c r="G27" i="31" a="1"/>
  <c r="G27" i="31" s="1"/>
  <c r="I27" i="31" a="1"/>
  <c r="I27" i="31" s="1"/>
  <c r="M27" i="31" a="1"/>
  <c r="M27" i="31" s="1"/>
  <c r="H27" i="31" a="1"/>
  <c r="H27" i="31" s="1"/>
  <c r="F14" i="29"/>
  <c r="F16" i="29"/>
  <c r="L15" i="34"/>
  <c r="K35" i="30"/>
  <c r="K16" i="30" s="1"/>
  <c r="J16" i="30" s="1"/>
  <c r="K26" i="30"/>
  <c r="K12" i="30"/>
  <c r="J12" i="30" s="1"/>
  <c r="K23" i="31" s="1"/>
  <c r="K45" i="30"/>
  <c r="J45" i="30" l="1"/>
  <c r="K46" i="30"/>
  <c r="J46" i="30" s="1"/>
  <c r="K192" i="31" s="1"/>
  <c r="E15" i="34"/>
  <c r="H23" i="34"/>
  <c r="F22" i="34"/>
  <c r="H22" i="34" s="1"/>
  <c r="J27" i="31"/>
  <c r="F27" i="31"/>
  <c r="E16" i="34"/>
  <c r="E17" i="34"/>
  <c r="E18" i="34"/>
  <c r="E19" i="34"/>
  <c r="E20" i="34"/>
  <c r="E21" i="34"/>
  <c r="K28" i="30"/>
  <c r="K29" i="30" s="1"/>
  <c r="K58" i="30"/>
  <c r="K18" i="30"/>
  <c r="K55" i="30" s="1"/>
  <c r="K7" i="30"/>
  <c r="K14" i="30"/>
  <c r="K27" i="31"/>
  <c r="K183" i="31"/>
  <c r="E69" i="30"/>
  <c r="E272" i="31" s="1"/>
  <c r="F272" i="31" s="1"/>
  <c r="E67" i="30"/>
  <c r="E270" i="31" s="1"/>
  <c r="F270" i="31" s="1"/>
  <c r="E66" i="30"/>
  <c r="E269" i="31" s="1"/>
  <c r="F269" i="31" s="1"/>
  <c r="E64" i="30"/>
  <c r="E266" i="31" s="1"/>
  <c r="F266" i="31" s="1"/>
  <c r="E62" i="30"/>
  <c r="E264" i="31" s="1"/>
  <c r="E233" i="31"/>
  <c r="F233" i="31"/>
  <c r="H25" i="34" l="1"/>
  <c r="M13" i="29"/>
  <c r="J29" i="30"/>
  <c r="K106" i="31" s="1"/>
  <c r="I22" i="34"/>
  <c r="F30" i="32"/>
  <c r="I23" i="34"/>
  <c r="E25" i="34"/>
  <c r="I28" i="31" a="1"/>
  <c r="I28" i="31" s="1"/>
  <c r="H28" i="31" a="1"/>
  <c r="H28" i="31" s="1"/>
  <c r="M28" i="31" a="1"/>
  <c r="M28" i="31" s="1"/>
  <c r="K28" i="31" s="1"/>
  <c r="T28" i="31" s="1" a="1"/>
  <c r="T28" i="31" s="1"/>
  <c r="G28" i="31" a="1"/>
  <c r="G28" i="31" s="1"/>
  <c r="F31" i="32"/>
  <c r="F18" i="34"/>
  <c r="F26" i="32" s="1"/>
  <c r="F20" i="34"/>
  <c r="F28" i="32" s="1"/>
  <c r="F16" i="34"/>
  <c r="F24" i="32" s="1"/>
  <c r="F21" i="34"/>
  <c r="F29" i="32" s="1"/>
  <c r="F19" i="34"/>
  <c r="F27" i="32" s="1"/>
  <c r="F15" i="34"/>
  <c r="D93" i="11"/>
  <c r="G270" i="31" a="1"/>
  <c r="G270" i="31" s="1"/>
  <c r="H270" i="31" a="1"/>
  <c r="H270" i="31" s="1"/>
  <c r="I270" i="31" a="1"/>
  <c r="I270" i="31" s="1"/>
  <c r="M270" i="31" a="1"/>
  <c r="M270" i="31" s="1"/>
  <c r="K270" i="31" s="1"/>
  <c r="L270" i="31" a="1"/>
  <c r="L270" i="31" s="1"/>
  <c r="L266" i="31" a="1"/>
  <c r="L266" i="31" s="1"/>
  <c r="M266" i="31" a="1"/>
  <c r="M266" i="31" s="1"/>
  <c r="I266" i="31" a="1"/>
  <c r="I266" i="31" s="1"/>
  <c r="H266" i="31" a="1"/>
  <c r="H266" i="31" s="1"/>
  <c r="G266" i="31" a="1"/>
  <c r="G266" i="31" s="1"/>
  <c r="L269" i="31" a="1"/>
  <c r="L269" i="31" s="1"/>
  <c r="G269" i="31" a="1"/>
  <c r="G269" i="31" s="1"/>
  <c r="H269" i="31" a="1"/>
  <c r="H269" i="31" s="1"/>
  <c r="I269" i="31" a="1"/>
  <c r="I269" i="31" s="1"/>
  <c r="M269" i="31" a="1"/>
  <c r="M269" i="31" s="1"/>
  <c r="L272" i="31" a="1"/>
  <c r="L272" i="31" s="1"/>
  <c r="M272" i="31" a="1"/>
  <c r="M272" i="31" s="1"/>
  <c r="I272" i="31" a="1"/>
  <c r="I272" i="31" s="1"/>
  <c r="H272" i="31" a="1"/>
  <c r="H272" i="31" s="1"/>
  <c r="G272" i="31" a="1"/>
  <c r="G272" i="31" s="1"/>
  <c r="L234" i="31" a="1"/>
  <c r="L234" i="31" s="1"/>
  <c r="M234" i="31" a="1"/>
  <c r="M234" i="31" s="1"/>
  <c r="I234" i="31" a="1"/>
  <c r="I234" i="31" s="1"/>
  <c r="J234" i="31" s="1"/>
  <c r="H234" i="31" a="1"/>
  <c r="H234" i="31" s="1"/>
  <c r="G234" i="31" a="1"/>
  <c r="G234" i="31" s="1"/>
  <c r="J7" i="30"/>
  <c r="K8" i="31" s="1"/>
  <c r="E41" i="30"/>
  <c r="E32" i="30"/>
  <c r="E119" i="31" s="1"/>
  <c r="E31" i="30"/>
  <c r="E23" i="30"/>
  <c r="G22" i="7"/>
  <c r="G20" i="7"/>
  <c r="F119" i="31"/>
  <c r="I25" i="34" l="1"/>
  <c r="N28" i="31" a="1"/>
  <c r="N28" i="31" s="1"/>
  <c r="R28" i="31" a="1"/>
  <c r="R28" i="31" s="1"/>
  <c r="J28" i="31"/>
  <c r="F28" i="31"/>
  <c r="P20" i="7"/>
  <c r="O20" i="7"/>
  <c r="P22" i="7"/>
  <c r="O22" i="7"/>
  <c r="P266" i="31"/>
  <c r="O269" i="31"/>
  <c r="P269" i="31"/>
  <c r="O270" i="31"/>
  <c r="O272" i="31"/>
  <c r="N270" i="31" a="1"/>
  <c r="N270" i="31" s="1"/>
  <c r="N22" i="7"/>
  <c r="L22" i="7"/>
  <c r="M22" i="7"/>
  <c r="N20" i="7"/>
  <c r="L20" i="7"/>
  <c r="M20" i="7"/>
  <c r="R270" i="31" a="1"/>
  <c r="R270" i="31" s="1"/>
  <c r="O234" i="31"/>
  <c r="F23" i="32"/>
  <c r="G21" i="7"/>
  <c r="K269" i="31"/>
  <c r="D95" i="11"/>
  <c r="F234" i="31"/>
  <c r="L120" i="31" a="1"/>
  <c r="L120" i="31" s="1"/>
  <c r="I120" i="31" a="1"/>
  <c r="I120" i="31" s="1"/>
  <c r="J120" i="31" s="1"/>
  <c r="H120" i="31" a="1"/>
  <c r="H120" i="31" s="1"/>
  <c r="G120" i="31" a="1"/>
  <c r="G120" i="31" s="1"/>
  <c r="E169" i="31"/>
  <c r="E110" i="31"/>
  <c r="J14" i="30"/>
  <c r="K32" i="31" s="1"/>
  <c r="E76" i="31"/>
  <c r="F110" i="31"/>
  <c r="F169" i="31"/>
  <c r="F76" i="31"/>
  <c r="N269" i="31" l="1" a="1"/>
  <c r="N269" i="31" s="1"/>
  <c r="Q28" i="31" a="1"/>
  <c r="Q28" i="31" s="1"/>
  <c r="M29" i="31" a="1"/>
  <c r="M29" i="31" s="1"/>
  <c r="K29" i="31" s="1"/>
  <c r="T29" i="31" s="1" a="1"/>
  <c r="T29" i="31" s="1"/>
  <c r="I29" i="31" a="1"/>
  <c r="I29" i="31" s="1"/>
  <c r="G29" i="31" a="1"/>
  <c r="G29" i="31" s="1"/>
  <c r="H29" i="31" a="1"/>
  <c r="H29" i="31" s="1"/>
  <c r="M77" i="31" a="1"/>
  <c r="M77" i="31" s="1"/>
  <c r="P21" i="7"/>
  <c r="P23" i="7" s="1"/>
  <c r="O21" i="7"/>
  <c r="O23" i="7" s="1"/>
  <c r="Q270" i="31" a="1"/>
  <c r="Q270" i="31" s="1"/>
  <c r="P270" i="31"/>
  <c r="N21" i="7"/>
  <c r="N23" i="7" s="1"/>
  <c r="L21" i="7"/>
  <c r="L23" i="7" s="1"/>
  <c r="R23" i="7" s="1"/>
  <c r="M21" i="7"/>
  <c r="M23" i="7" s="1"/>
  <c r="R269" i="31" a="1"/>
  <c r="R269" i="31" s="1"/>
  <c r="O120" i="31"/>
  <c r="M170" i="31" a="1"/>
  <c r="M170" i="31" s="1"/>
  <c r="K170" i="31" s="1"/>
  <c r="N170" i="31" s="1" a="1"/>
  <c r="N170" i="31" s="1"/>
  <c r="G235" i="31" a="1"/>
  <c r="G235" i="31" s="1"/>
  <c r="H235" i="31" a="1"/>
  <c r="H235" i="31" s="1"/>
  <c r="I235" i="31" a="1"/>
  <c r="I235" i="31" s="1"/>
  <c r="J235" i="31" s="1"/>
  <c r="L235" i="31" a="1"/>
  <c r="L235" i="31" s="1"/>
  <c r="M235" i="31" a="1"/>
  <c r="M235" i="31" s="1"/>
  <c r="L170" i="31" a="1"/>
  <c r="L170" i="31" s="1"/>
  <c r="I170" i="31" a="1"/>
  <c r="I170" i="31" s="1"/>
  <c r="J170" i="31" s="1"/>
  <c r="H170" i="31" a="1"/>
  <c r="H170" i="31" s="1"/>
  <c r="G170" i="31" a="1"/>
  <c r="G170" i="31" s="1"/>
  <c r="F120" i="31"/>
  <c r="I111" i="31" a="1"/>
  <c r="I111" i="31" s="1"/>
  <c r="J111" i="31" s="1"/>
  <c r="H111" i="31" a="1"/>
  <c r="H111" i="31" s="1"/>
  <c r="G111" i="31" a="1"/>
  <c r="G111" i="31" s="1"/>
  <c r="L111" i="31" a="1"/>
  <c r="L111" i="31" s="1"/>
  <c r="L77" i="31" a="1"/>
  <c r="L77" i="31" s="1"/>
  <c r="I77" i="31" a="1"/>
  <c r="I77" i="31" s="1"/>
  <c r="J77" i="31" s="1"/>
  <c r="H77" i="31" a="1"/>
  <c r="H77" i="31" s="1"/>
  <c r="G77" i="31" a="1"/>
  <c r="G77" i="31" s="1"/>
  <c r="L95" i="11"/>
  <c r="E45" i="30"/>
  <c r="F16" i="30"/>
  <c r="E16" i="30" s="1"/>
  <c r="E14" i="30"/>
  <c r="E11" i="30"/>
  <c r="E15" i="31" s="1"/>
  <c r="E70" i="30"/>
  <c r="E273" i="31" s="1"/>
  <c r="F273" i="31" s="1"/>
  <c r="E65" i="30"/>
  <c r="E267" i="31" s="1"/>
  <c r="F267" i="31" s="1"/>
  <c r="E61" i="30"/>
  <c r="E263" i="31" s="1"/>
  <c r="F263" i="31" s="1"/>
  <c r="E37" i="30"/>
  <c r="E36" i="30"/>
  <c r="E35" i="30"/>
  <c r="E26" i="30"/>
  <c r="F58" i="30" s="1" a="1"/>
  <c r="F58" i="30" s="1"/>
  <c r="E58" i="30" s="1"/>
  <c r="E252" i="31" s="1"/>
  <c r="E20" i="30"/>
  <c r="F15" i="31"/>
  <c r="F252" i="31"/>
  <c r="F268" i="31" l="1"/>
  <c r="E144" i="31"/>
  <c r="F59" i="30"/>
  <c r="E59" i="30" s="1"/>
  <c r="E257" i="31" s="1"/>
  <c r="G253" i="31" a="1"/>
  <c r="G253" i="31" s="1"/>
  <c r="I253" i="31" a="1"/>
  <c r="I253" i="31" s="1"/>
  <c r="L253" i="31" a="1"/>
  <c r="L253" i="31" s="1"/>
  <c r="M253" i="31" a="1"/>
  <c r="M253" i="31" s="1"/>
  <c r="H253" i="31" a="1"/>
  <c r="H253" i="31" s="1"/>
  <c r="S28" i="31"/>
  <c r="J29" i="31"/>
  <c r="F29" i="31"/>
  <c r="Q269" i="31" a="1"/>
  <c r="Q269" i="31" s="1"/>
  <c r="P170" i="31"/>
  <c r="O170" i="31"/>
  <c r="O235" i="31"/>
  <c r="O77" i="31"/>
  <c r="O111" i="31"/>
  <c r="T170" i="31" a="1"/>
  <c r="T170" i="31" s="1"/>
  <c r="R170" i="31" a="1"/>
  <c r="R170" i="31" s="1"/>
  <c r="L16" i="31" a="1"/>
  <c r="L16" i="31" s="1"/>
  <c r="J9" i="30"/>
  <c r="K12" i="31" s="1"/>
  <c r="J6" i="30"/>
  <c r="M263" i="31" a="1"/>
  <c r="M263" i="31" s="1"/>
  <c r="H263" i="31" a="1"/>
  <c r="H263" i="31" s="1"/>
  <c r="I263" i="31" a="1"/>
  <c r="I263" i="31" s="1"/>
  <c r="G263" i="31" a="1"/>
  <c r="G263" i="31" s="1"/>
  <c r="L263" i="31" a="1"/>
  <c r="L263" i="31" s="1"/>
  <c r="G273" i="31" a="1"/>
  <c r="G273" i="31" s="1"/>
  <c r="L273" i="31" a="1"/>
  <c r="L273" i="31" s="1"/>
  <c r="M273" i="31" a="1"/>
  <c r="M273" i="31" s="1"/>
  <c r="I273" i="31" a="1"/>
  <c r="I273" i="31" s="1"/>
  <c r="H273" i="31" a="1"/>
  <c r="H273" i="31" s="1"/>
  <c r="F111" i="31"/>
  <c r="G267" i="31" a="1"/>
  <c r="G267" i="31" s="1"/>
  <c r="H267" i="31" a="1"/>
  <c r="H267" i="31" s="1"/>
  <c r="I267" i="31" a="1"/>
  <c r="I267" i="31" s="1"/>
  <c r="M267" i="31" a="1"/>
  <c r="M267" i="31" s="1"/>
  <c r="L267" i="31" a="1"/>
  <c r="L267" i="31" s="1"/>
  <c r="F235" i="31"/>
  <c r="F170" i="31"/>
  <c r="G121" i="31" a="1"/>
  <c r="G121" i="31" s="1"/>
  <c r="H121" i="31" a="1"/>
  <c r="H121" i="31" s="1"/>
  <c r="I121" i="31" a="1"/>
  <c r="I121" i="31" s="1"/>
  <c r="J121" i="31" s="1"/>
  <c r="M121" i="31" a="1"/>
  <c r="M121" i="31" s="1"/>
  <c r="K121" i="31" s="1"/>
  <c r="N121" i="31" s="1" a="1"/>
  <c r="N121" i="31" s="1"/>
  <c r="L121" i="31" a="1"/>
  <c r="L121" i="31" s="1"/>
  <c r="F77" i="31"/>
  <c r="M78" i="31" s="1" a="1"/>
  <c r="M78" i="31" s="1"/>
  <c r="G16" i="31" a="1"/>
  <c r="G16" i="31" s="1"/>
  <c r="H16" i="31" a="1"/>
  <c r="H16" i="31" s="1"/>
  <c r="I16" i="31" a="1"/>
  <c r="I16" i="31" s="1"/>
  <c r="E183" i="31"/>
  <c r="E135" i="31"/>
  <c r="E54" i="31"/>
  <c r="E62" i="31"/>
  <c r="E197" i="31"/>
  <c r="E211" i="31"/>
  <c r="E153" i="31"/>
  <c r="E32" i="31"/>
  <c r="E42" i="31"/>
  <c r="E96" i="31"/>
  <c r="E87" i="31"/>
  <c r="D20" i="11"/>
  <c r="A21" i="11"/>
  <c r="D22" i="11"/>
  <c r="A23" i="11"/>
  <c r="F8" i="30" s="1"/>
  <c r="A19" i="11"/>
  <c r="D11" i="11"/>
  <c r="D12" i="11"/>
  <c r="A12" i="11" s="1"/>
  <c r="D13" i="11"/>
  <c r="D14" i="11"/>
  <c r="A14" i="11" s="1"/>
  <c r="D15" i="11"/>
  <c r="D16" i="11"/>
  <c r="A10" i="11"/>
  <c r="F7" i="30" s="1"/>
  <c r="D9" i="11"/>
  <c r="F183" i="31"/>
  <c r="F211" i="31"/>
  <c r="F32" i="31"/>
  <c r="F62" i="31"/>
  <c r="F42" i="31"/>
  <c r="F257" i="31"/>
  <c r="F135" i="31"/>
  <c r="F87" i="31"/>
  <c r="F144" i="31"/>
  <c r="F197" i="31"/>
  <c r="F96" i="31"/>
  <c r="F54" i="31"/>
  <c r="F153" i="31"/>
  <c r="G268" i="31" l="1" a="1"/>
  <c r="G268" i="31" s="1"/>
  <c r="H268" i="31" a="1"/>
  <c r="H268" i="31" s="1"/>
  <c r="I268" i="31" a="1"/>
  <c r="I268" i="31" s="1"/>
  <c r="L268" i="31" a="1"/>
  <c r="L268" i="31" s="1"/>
  <c r="M268" i="31" a="1"/>
  <c r="M268" i="31" s="1"/>
  <c r="M258" i="31" a="1"/>
  <c r="M258" i="31" s="1"/>
  <c r="G258" i="31" a="1"/>
  <c r="G258" i="31" s="1"/>
  <c r="L258" i="31" a="1"/>
  <c r="L258" i="31" s="1"/>
  <c r="I258" i="31" a="1"/>
  <c r="I258" i="31" s="1"/>
  <c r="H258" i="31" a="1"/>
  <c r="H258" i="31" s="1"/>
  <c r="L145" i="31" a="1"/>
  <c r="L145" i="31" s="1"/>
  <c r="P145" i="31" s="1"/>
  <c r="I145" i="31" a="1"/>
  <c r="I145" i="31" s="1"/>
  <c r="J145" i="31" s="1"/>
  <c r="G145" i="31" a="1"/>
  <c r="G145" i="31" s="1"/>
  <c r="H145" i="31" a="1"/>
  <c r="H145" i="31" s="1"/>
  <c r="F253" i="31"/>
  <c r="J253" i="31"/>
  <c r="O253" i="31"/>
  <c r="O21" i="30"/>
  <c r="G30" i="31" a="1"/>
  <c r="G30" i="31" s="1"/>
  <c r="I30" i="31" a="1"/>
  <c r="I30" i="31" s="1"/>
  <c r="H30" i="31" a="1"/>
  <c r="H30" i="31" s="1"/>
  <c r="M30" i="31" a="1"/>
  <c r="M30" i="31" s="1"/>
  <c r="K30" i="31" s="1"/>
  <c r="T30" i="31" s="1" a="1"/>
  <c r="T30" i="31" s="1"/>
  <c r="O263" i="31"/>
  <c r="O273" i="31"/>
  <c r="O267" i="31"/>
  <c r="Q170" i="31" a="1"/>
  <c r="Q170" i="31" s="1"/>
  <c r="P16" i="31"/>
  <c r="O16" i="31"/>
  <c r="O121" i="31"/>
  <c r="T121" i="31" a="1"/>
  <c r="T121" i="31" s="1"/>
  <c r="R121" i="31" a="1"/>
  <c r="R121" i="31" s="1"/>
  <c r="G112" i="31" a="1"/>
  <c r="G112" i="31" s="1"/>
  <c r="J16" i="31"/>
  <c r="A25" i="40" a="1"/>
  <c r="A25" i="40" s="1"/>
  <c r="B25" i="40" a="1"/>
  <c r="B25" i="40" s="1"/>
  <c r="K5" i="31"/>
  <c r="L112" i="31" a="1"/>
  <c r="L112" i="31" s="1"/>
  <c r="H112" i="31" a="1"/>
  <c r="H112" i="31" s="1"/>
  <c r="I112" i="31" a="1"/>
  <c r="I112" i="31" s="1"/>
  <c r="L212" i="31" a="1"/>
  <c r="L212" i="31" s="1"/>
  <c r="M212" i="31" a="1"/>
  <c r="M212" i="31" s="1"/>
  <c r="I212" i="31" a="1"/>
  <c r="I212" i="31" s="1"/>
  <c r="J212" i="31" s="1"/>
  <c r="H212" i="31" a="1"/>
  <c r="H212" i="31" s="1"/>
  <c r="G212" i="31" a="1"/>
  <c r="G212" i="31" s="1"/>
  <c r="L198" i="31" a="1"/>
  <c r="L198" i="31" s="1"/>
  <c r="M198" i="31" a="1"/>
  <c r="M198" i="31" s="1"/>
  <c r="I198" i="31" a="1"/>
  <c r="I198" i="31" s="1"/>
  <c r="J198" i="31" s="1"/>
  <c r="H198" i="31" a="1"/>
  <c r="H198" i="31" s="1"/>
  <c r="G198" i="31" a="1"/>
  <c r="G198" i="31" s="1"/>
  <c r="G236" i="31" a="1"/>
  <c r="G236" i="31" s="1"/>
  <c r="H236" i="31" a="1"/>
  <c r="H236" i="31" s="1"/>
  <c r="I236" i="31" a="1"/>
  <c r="I236" i="31" s="1"/>
  <c r="J236" i="31" s="1"/>
  <c r="M236" i="31" a="1"/>
  <c r="M236" i="31" s="1"/>
  <c r="L236" i="31" a="1"/>
  <c r="L236" i="31" s="1"/>
  <c r="L184" i="31" a="1"/>
  <c r="L184" i="31" s="1"/>
  <c r="M184" i="31" a="1"/>
  <c r="M184" i="31" s="1"/>
  <c r="K184" i="31" s="1"/>
  <c r="N184" i="31" s="1" a="1"/>
  <c r="N184" i="31" s="1"/>
  <c r="I184" i="31" a="1"/>
  <c r="I184" i="31" s="1"/>
  <c r="J184" i="31" s="1"/>
  <c r="H184" i="31" a="1"/>
  <c r="H184" i="31" s="1"/>
  <c r="G184" i="31" a="1"/>
  <c r="G184" i="31" s="1"/>
  <c r="I171" i="31" a="1"/>
  <c r="I171" i="31" s="1"/>
  <c r="J171" i="31" s="1"/>
  <c r="G171" i="31" a="1"/>
  <c r="G171" i="31" s="1"/>
  <c r="H171" i="31" a="1"/>
  <c r="H171" i="31" s="1"/>
  <c r="L171" i="31" a="1"/>
  <c r="L171" i="31" s="1"/>
  <c r="L154" i="31" a="1"/>
  <c r="L154" i="31" s="1"/>
  <c r="I154" i="31" a="1"/>
  <c r="I154" i="31" s="1"/>
  <c r="J154" i="31" s="1"/>
  <c r="H154" i="31" a="1"/>
  <c r="H154" i="31" s="1"/>
  <c r="G154" i="31" a="1"/>
  <c r="G154" i="31" s="1"/>
  <c r="L136" i="31" a="1"/>
  <c r="L136" i="31" s="1"/>
  <c r="I136" i="31" a="1"/>
  <c r="I136" i="31" s="1"/>
  <c r="J136" i="31" s="1"/>
  <c r="H136" i="31" a="1"/>
  <c r="H136" i="31" s="1"/>
  <c r="G136" i="31" a="1"/>
  <c r="G136" i="31" s="1"/>
  <c r="F121" i="31"/>
  <c r="L97" i="31" a="1"/>
  <c r="L97" i="31" s="1"/>
  <c r="I97" i="31" a="1"/>
  <c r="I97" i="31" s="1"/>
  <c r="J97" i="31" s="1"/>
  <c r="H97" i="31" a="1"/>
  <c r="H97" i="31" s="1"/>
  <c r="G97" i="31" a="1"/>
  <c r="G97" i="31" s="1"/>
  <c r="L88" i="31" a="1"/>
  <c r="L88" i="31" s="1"/>
  <c r="I88" i="31" a="1"/>
  <c r="I88" i="31" s="1"/>
  <c r="J88" i="31" s="1"/>
  <c r="H88" i="31" a="1"/>
  <c r="H88" i="31" s="1"/>
  <c r="G88" i="31" a="1"/>
  <c r="G88" i="31" s="1"/>
  <c r="G78" i="31" a="1"/>
  <c r="G78" i="31" s="1"/>
  <c r="H78" i="31" a="1"/>
  <c r="H78" i="31" s="1"/>
  <c r="I78" i="31" a="1"/>
  <c r="I78" i="31" s="1"/>
  <c r="J78" i="31" s="1"/>
  <c r="L78" i="31" a="1"/>
  <c r="L78" i="31" s="1"/>
  <c r="L63" i="31" a="1"/>
  <c r="L63" i="31" s="1"/>
  <c r="I63" i="31" a="1"/>
  <c r="I63" i="31" s="1"/>
  <c r="J63" i="31" s="1"/>
  <c r="H63" i="31" a="1"/>
  <c r="H63" i="31" s="1"/>
  <c r="G63" i="31" a="1"/>
  <c r="G63" i="31" s="1"/>
  <c r="L55" i="31" a="1"/>
  <c r="L55" i="31" s="1"/>
  <c r="I55" i="31" a="1"/>
  <c r="I55" i="31" s="1"/>
  <c r="J55" i="31" s="1"/>
  <c r="H55" i="31" a="1"/>
  <c r="H55" i="31" s="1"/>
  <c r="G55" i="31" a="1"/>
  <c r="G55" i="31" s="1"/>
  <c r="G43" i="31" a="1"/>
  <c r="G43" i="31" s="1"/>
  <c r="L43" i="31" a="1"/>
  <c r="L43" i="31" s="1"/>
  <c r="I43" i="31" a="1"/>
  <c r="I43" i="31" s="1"/>
  <c r="J43" i="31" s="1"/>
  <c r="H43" i="31" a="1"/>
  <c r="H43" i="31" s="1"/>
  <c r="L33" i="31" a="1"/>
  <c r="L33" i="31" s="1"/>
  <c r="I33" i="31" a="1"/>
  <c r="I33" i="31" s="1"/>
  <c r="J33" i="31" s="1"/>
  <c r="H33" i="31" a="1"/>
  <c r="H33" i="31" s="1"/>
  <c r="G33" i="31" a="1"/>
  <c r="G33" i="31" s="1"/>
  <c r="F16" i="31"/>
  <c r="E8" i="30"/>
  <c r="E10" i="31" s="1"/>
  <c r="F10" i="31" s="1"/>
  <c r="M11" i="31" s="1" a="1"/>
  <c r="M11" i="31" s="1"/>
  <c r="J35" i="30"/>
  <c r="K135" i="31" s="1"/>
  <c r="K8" i="30"/>
  <c r="J8" i="30" s="1"/>
  <c r="K10" i="31" s="1"/>
  <c r="O268" i="31" l="1"/>
  <c r="O145" i="31"/>
  <c r="J258" i="31"/>
  <c r="F258" i="31"/>
  <c r="O258" i="31"/>
  <c r="F145" i="31"/>
  <c r="G146" i="31" s="1" a="1"/>
  <c r="G146" i="31" s="1"/>
  <c r="I254" i="31" a="1"/>
  <c r="I254" i="31" s="1"/>
  <c r="G254" i="31" a="1"/>
  <c r="G254" i="31" s="1"/>
  <c r="L254" i="31" a="1"/>
  <c r="L254" i="31" s="1"/>
  <c r="M254" i="31" a="1"/>
  <c r="M254" i="31" s="1"/>
  <c r="H254" i="31" a="1"/>
  <c r="H254" i="31" s="1"/>
  <c r="L72" i="31"/>
  <c r="O72" i="31" s="1"/>
  <c r="L74" i="31"/>
  <c r="K13" i="31"/>
  <c r="N13" i="31" s="1" a="1"/>
  <c r="N13" i="31" s="1"/>
  <c r="K6" i="31"/>
  <c r="K7" i="31" s="1"/>
  <c r="N7" i="31" s="1"/>
  <c r="S7" i="31" s="1"/>
  <c r="J30" i="31"/>
  <c r="F30" i="31"/>
  <c r="O271" i="31"/>
  <c r="D57" i="32" s="1"/>
  <c r="O262" i="31"/>
  <c r="D55" i="32" s="1"/>
  <c r="O55" i="31"/>
  <c r="O63" i="31"/>
  <c r="O78" i="31"/>
  <c r="O198" i="31"/>
  <c r="P154" i="31"/>
  <c r="O154" i="31"/>
  <c r="P136" i="31"/>
  <c r="O136" i="31"/>
  <c r="P171" i="31"/>
  <c r="O171" i="31"/>
  <c r="O212" i="31"/>
  <c r="P121" i="31"/>
  <c r="O33" i="31"/>
  <c r="P33" i="31"/>
  <c r="O184" i="31"/>
  <c r="P88" i="31"/>
  <c r="O88" i="31"/>
  <c r="P43" i="31"/>
  <c r="O43" i="31"/>
  <c r="O112" i="31"/>
  <c r="O97" i="31"/>
  <c r="O236" i="31"/>
  <c r="O233" i="31" s="1"/>
  <c r="T5" i="31"/>
  <c r="T12" i="31"/>
  <c r="T184" i="31" a="1"/>
  <c r="T184" i="31" s="1"/>
  <c r="R184" i="31" a="1"/>
  <c r="R184" i="31" s="1"/>
  <c r="L17" i="31" a="1"/>
  <c r="L17" i="31" s="1"/>
  <c r="K11" i="31"/>
  <c r="F112" i="31"/>
  <c r="J112" i="31"/>
  <c r="H11" i="31" a="1"/>
  <c r="H11" i="31" s="1"/>
  <c r="I11" i="31" a="1"/>
  <c r="I11" i="31" s="1"/>
  <c r="F212" i="31"/>
  <c r="F198" i="31"/>
  <c r="F236" i="31"/>
  <c r="F184" i="31"/>
  <c r="F171" i="31"/>
  <c r="F154" i="31"/>
  <c r="F136" i="31"/>
  <c r="G122" i="31" a="1"/>
  <c r="G122" i="31" s="1"/>
  <c r="H122" i="31" a="1"/>
  <c r="H122" i="31" s="1"/>
  <c r="I122" i="31" a="1"/>
  <c r="I122" i="31" s="1"/>
  <c r="J122" i="31" s="1"/>
  <c r="M122" i="31" a="1"/>
  <c r="M122" i="31" s="1"/>
  <c r="K122" i="31" s="1"/>
  <c r="N122" i="31" s="1" a="1"/>
  <c r="N122" i="31" s="1"/>
  <c r="L122" i="31" a="1"/>
  <c r="L122" i="31" s="1"/>
  <c r="F97" i="31"/>
  <c r="F88" i="31"/>
  <c r="F78" i="31"/>
  <c r="F63" i="31"/>
  <c r="F55" i="31"/>
  <c r="F43" i="31"/>
  <c r="F33" i="31"/>
  <c r="G17" i="31" a="1"/>
  <c r="G17" i="31" s="1"/>
  <c r="I17" i="31" a="1"/>
  <c r="I17" i="31" s="1"/>
  <c r="H17" i="31" a="1"/>
  <c r="H17" i="31" s="1"/>
  <c r="K42" i="31"/>
  <c r="I146" i="31" l="1" a="1"/>
  <c r="I146" i="31" s="1"/>
  <c r="J146" i="31" s="1"/>
  <c r="L259" i="31" a="1"/>
  <c r="L259" i="31" s="1"/>
  <c r="M259" i="31" a="1"/>
  <c r="M259" i="31" s="1"/>
  <c r="I259" i="31" a="1"/>
  <c r="I259" i="31" s="1"/>
  <c r="G259" i="31" a="1"/>
  <c r="G259" i="31" s="1"/>
  <c r="H259" i="31" a="1"/>
  <c r="H259" i="31" s="1"/>
  <c r="L146" i="31" a="1"/>
  <c r="L146" i="31" s="1"/>
  <c r="P146" i="31" s="1"/>
  <c r="H146" i="31" a="1"/>
  <c r="H146" i="31" s="1"/>
  <c r="R6" i="31" a="1"/>
  <c r="R6" i="31" s="1"/>
  <c r="R5" i="31" s="1"/>
  <c r="R13" i="31" a="1"/>
  <c r="R13" i="31" s="1"/>
  <c r="Q13" i="31" s="1" a="1"/>
  <c r="Q13" i="31" s="1"/>
  <c r="O254" i="31"/>
  <c r="J254" i="31"/>
  <c r="F254" i="31"/>
  <c r="O74" i="31"/>
  <c r="G237" i="31" a="1"/>
  <c r="G237" i="31" s="1"/>
  <c r="L237" i="31" a="1"/>
  <c r="L237" i="31" s="1"/>
  <c r="M237" i="31" a="1"/>
  <c r="M237" i="31" s="1"/>
  <c r="H237" i="31" a="1"/>
  <c r="H237" i="31" s="1"/>
  <c r="I237" i="31" a="1"/>
  <c r="I237" i="31" s="1"/>
  <c r="N6" i="31" a="1"/>
  <c r="N6" i="31" s="1"/>
  <c r="N5" i="31" s="1"/>
  <c r="J53" i="30"/>
  <c r="N12" i="31"/>
  <c r="P184" i="31"/>
  <c r="R11" i="31" a="1"/>
  <c r="R11" i="31" s="1"/>
  <c r="O122" i="31"/>
  <c r="P17" i="31"/>
  <c r="O17" i="31"/>
  <c r="N11" i="31" a="1"/>
  <c r="N11" i="31" s="1"/>
  <c r="T10" i="31"/>
  <c r="T122" i="31" a="1"/>
  <c r="T122" i="31" s="1"/>
  <c r="R122" i="31" a="1"/>
  <c r="R122" i="31" s="1"/>
  <c r="I113" i="31" a="1"/>
  <c r="I113" i="31" s="1"/>
  <c r="F113" i="31" s="1"/>
  <c r="L56" i="31" a="1"/>
  <c r="L56" i="31" s="1"/>
  <c r="J17" i="31"/>
  <c r="G113" i="31" a="1"/>
  <c r="G113" i="31" s="1"/>
  <c r="H113" i="31" a="1"/>
  <c r="H113" i="31" s="1"/>
  <c r="L113" i="31" a="1"/>
  <c r="L113" i="31" s="1"/>
  <c r="M113" i="31" a="1"/>
  <c r="M113" i="31" s="1"/>
  <c r="K113" i="31" s="1"/>
  <c r="L213" i="31" a="1"/>
  <c r="L213" i="31" s="1"/>
  <c r="M213" i="31" a="1"/>
  <c r="M213" i="31" s="1"/>
  <c r="I213" i="31" a="1"/>
  <c r="I213" i="31" s="1"/>
  <c r="J213" i="31" s="1"/>
  <c r="H213" i="31" a="1"/>
  <c r="H213" i="31" s="1"/>
  <c r="G213" i="31" a="1"/>
  <c r="G213" i="31" s="1"/>
  <c r="G199" i="31" a="1"/>
  <c r="G199" i="31" s="1"/>
  <c r="M199" i="31" a="1"/>
  <c r="M199" i="31" s="1"/>
  <c r="L199" i="31" a="1"/>
  <c r="L199" i="31" s="1"/>
  <c r="H199" i="31" a="1"/>
  <c r="H199" i="31" s="1"/>
  <c r="I199" i="31" a="1"/>
  <c r="I199" i="31" s="1"/>
  <c r="J199" i="31" s="1"/>
  <c r="G185" i="31" a="1"/>
  <c r="G185" i="31" s="1"/>
  <c r="H185" i="31" a="1"/>
  <c r="H185" i="31" s="1"/>
  <c r="I185" i="31" a="1"/>
  <c r="I185" i="31" s="1"/>
  <c r="J185" i="31" s="1"/>
  <c r="M185" i="31" a="1"/>
  <c r="M185" i="31" s="1"/>
  <c r="K185" i="31" s="1"/>
  <c r="R185" i="31" s="1" a="1"/>
  <c r="R185" i="31" s="1"/>
  <c r="L185" i="31" a="1"/>
  <c r="L185" i="31" s="1"/>
  <c r="G172" i="31" a="1"/>
  <c r="G172" i="31" s="1"/>
  <c r="H172" i="31" a="1"/>
  <c r="H172" i="31" s="1"/>
  <c r="I172" i="31" a="1"/>
  <c r="I172" i="31" s="1"/>
  <c r="J172" i="31" s="1"/>
  <c r="L172" i="31" a="1"/>
  <c r="L172" i="31" s="1"/>
  <c r="G155" i="31" a="1"/>
  <c r="G155" i="31" s="1"/>
  <c r="H155" i="31" a="1"/>
  <c r="H155" i="31" s="1"/>
  <c r="I155" i="31" a="1"/>
  <c r="I155" i="31" s="1"/>
  <c r="J155" i="31" s="1"/>
  <c r="L155" i="31" a="1"/>
  <c r="L155" i="31" s="1"/>
  <c r="G137" i="31" a="1"/>
  <c r="G137" i="31" s="1"/>
  <c r="H137" i="31" a="1"/>
  <c r="H137" i="31" s="1"/>
  <c r="I137" i="31" a="1"/>
  <c r="I137" i="31" s="1"/>
  <c r="J137" i="31" s="1"/>
  <c r="L137" i="31" a="1"/>
  <c r="L137" i="31" s="1"/>
  <c r="F122" i="31"/>
  <c r="G98" i="31" a="1"/>
  <c r="G98" i="31" s="1"/>
  <c r="I98" i="31" a="1"/>
  <c r="I98" i="31" s="1"/>
  <c r="J98" i="31" s="1"/>
  <c r="H98" i="31" a="1"/>
  <c r="H98" i="31" s="1"/>
  <c r="L98" i="31" a="1"/>
  <c r="L98" i="31" s="1"/>
  <c r="G89" i="31" a="1"/>
  <c r="G89" i="31" s="1"/>
  <c r="H89" i="31" a="1"/>
  <c r="H89" i="31" s="1"/>
  <c r="I89" i="31" a="1"/>
  <c r="I89" i="31" s="1"/>
  <c r="J89" i="31" s="1"/>
  <c r="L89" i="31" a="1"/>
  <c r="L89" i="31" s="1"/>
  <c r="G79" i="31" a="1"/>
  <c r="G79" i="31" s="1"/>
  <c r="H79" i="31" a="1"/>
  <c r="H79" i="31" s="1"/>
  <c r="I79" i="31" a="1"/>
  <c r="I79" i="31" s="1"/>
  <c r="J79" i="31" s="1"/>
  <c r="M79" i="31" a="1"/>
  <c r="M79" i="31" s="1"/>
  <c r="L79" i="31" a="1"/>
  <c r="L79" i="31" s="1"/>
  <c r="G64" i="31" a="1"/>
  <c r="G64" i="31" s="1"/>
  <c r="H64" i="31" a="1"/>
  <c r="H64" i="31" s="1"/>
  <c r="I64" i="31" a="1"/>
  <c r="I64" i="31" s="1"/>
  <c r="J64" i="31" s="1"/>
  <c r="M64" i="31" a="1"/>
  <c r="M64" i="31" s="1"/>
  <c r="L64" i="31" a="1"/>
  <c r="L64" i="31" s="1"/>
  <c r="L73" i="31" s="1"/>
  <c r="G56" i="31" a="1"/>
  <c r="G56" i="31" s="1"/>
  <c r="I56" i="31" a="1"/>
  <c r="I56" i="31" s="1"/>
  <c r="J56" i="31" s="1"/>
  <c r="H56" i="31" a="1"/>
  <c r="H56" i="31" s="1"/>
  <c r="L44" i="31" a="1"/>
  <c r="L44" i="31" s="1"/>
  <c r="G44" i="31" a="1"/>
  <c r="G44" i="31" s="1"/>
  <c r="H44" i="31" a="1"/>
  <c r="H44" i="31" s="1"/>
  <c r="I44" i="31" a="1"/>
  <c r="I44" i="31" s="1"/>
  <c r="J44" i="31" s="1"/>
  <c r="G34" i="31" a="1"/>
  <c r="G34" i="31" s="1"/>
  <c r="L34" i="31" a="1"/>
  <c r="L34" i="31" s="1"/>
  <c r="H34" i="31" a="1"/>
  <c r="H34" i="31" s="1"/>
  <c r="I34" i="31" a="1"/>
  <c r="I34" i="31" s="1"/>
  <c r="J34" i="31" s="1"/>
  <c r="F17" i="31"/>
  <c r="F146" i="31" l="1"/>
  <c r="I147" i="31" s="1" a="1"/>
  <c r="I147" i="31" s="1"/>
  <c r="J147" i="31" s="1"/>
  <c r="R12" i="31"/>
  <c r="J259" i="31"/>
  <c r="F259" i="31"/>
  <c r="O146" i="31"/>
  <c r="O259" i="31"/>
  <c r="G255" i="31" a="1"/>
  <c r="G255" i="31" s="1"/>
  <c r="M255" i="31" a="1"/>
  <c r="M255" i="31" s="1"/>
  <c r="L255" i="31" a="1"/>
  <c r="L255" i="31" s="1"/>
  <c r="I255" i="31" a="1"/>
  <c r="I255" i="31" s="1"/>
  <c r="H255" i="31" a="1"/>
  <c r="H255" i="31" s="1"/>
  <c r="O73" i="31"/>
  <c r="Q6" i="31" a="1"/>
  <c r="Q6" i="31" s="1"/>
  <c r="J237" i="31"/>
  <c r="F237" i="31"/>
  <c r="P237" i="31"/>
  <c r="O237" i="31"/>
  <c r="K233" i="31"/>
  <c r="K232" i="31" s="1"/>
  <c r="J52" i="30"/>
  <c r="K229" i="31" s="1"/>
  <c r="P57" i="7"/>
  <c r="O57" i="7"/>
  <c r="N10" i="31"/>
  <c r="R10" i="31"/>
  <c r="N57" i="7"/>
  <c r="L57" i="7"/>
  <c r="M57" i="7"/>
  <c r="Q11" i="31" a="1"/>
  <c r="Q11" i="31" s="1"/>
  <c r="O79" i="31"/>
  <c r="P89" i="31"/>
  <c r="O89" i="31"/>
  <c r="O56" i="31"/>
  <c r="P155" i="31"/>
  <c r="O155" i="31"/>
  <c r="O213" i="31"/>
  <c r="O113" i="31"/>
  <c r="O185" i="31"/>
  <c r="P44" i="31"/>
  <c r="O44" i="31"/>
  <c r="P122" i="31"/>
  <c r="P137" i="31"/>
  <c r="O137" i="31"/>
  <c r="O199" i="31"/>
  <c r="P172" i="31"/>
  <c r="O172" i="31"/>
  <c r="P34" i="31"/>
  <c r="O34" i="31"/>
  <c r="O98" i="31"/>
  <c r="O64" i="31"/>
  <c r="T185" i="31" a="1"/>
  <c r="T185" i="31" s="1"/>
  <c r="L18" i="31" a="1"/>
  <c r="L18" i="31" s="1"/>
  <c r="Q12" i="31"/>
  <c r="S13" i="31"/>
  <c r="J113" i="31"/>
  <c r="N185" i="31" a="1"/>
  <c r="N185" i="31" s="1"/>
  <c r="M114" i="31" a="1"/>
  <c r="M114" i="31" s="1"/>
  <c r="K114" i="31" s="1"/>
  <c r="R114" i="31" s="1" a="1"/>
  <c r="R114" i="31" s="1"/>
  <c r="Q122" i="31" a="1"/>
  <c r="Q122" i="31" s="1"/>
  <c r="Q180" i="31" a="1"/>
  <c r="Q180" i="31" s="1"/>
  <c r="G114" i="31" a="1"/>
  <c r="G114" i="31" s="1"/>
  <c r="I114" i="31" a="1"/>
  <c r="I114" i="31" s="1"/>
  <c r="J114" i="31" s="1"/>
  <c r="H114" i="31" a="1"/>
  <c r="H114" i="31" s="1"/>
  <c r="L114" i="31" a="1"/>
  <c r="L114" i="31" s="1"/>
  <c r="F213" i="31"/>
  <c r="F199" i="31"/>
  <c r="Q181" i="31" a="1"/>
  <c r="Q181" i="31" s="1"/>
  <c r="F185" i="31"/>
  <c r="F172" i="31"/>
  <c r="F155" i="31"/>
  <c r="F137" i="31"/>
  <c r="H123" i="31" a="1"/>
  <c r="H123" i="31" s="1"/>
  <c r="I123" i="31" a="1"/>
  <c r="I123" i="31" s="1"/>
  <c r="J123" i="31" s="1"/>
  <c r="L123" i="31" a="1"/>
  <c r="L123" i="31" s="1"/>
  <c r="G123" i="31" a="1"/>
  <c r="G123" i="31" s="1"/>
  <c r="M123" i="31" a="1"/>
  <c r="M123" i="31" s="1"/>
  <c r="K123" i="31" s="1"/>
  <c r="F98" i="31"/>
  <c r="F89" i="31"/>
  <c r="F79" i="31"/>
  <c r="F64" i="31"/>
  <c r="F56" i="31"/>
  <c r="F44" i="31"/>
  <c r="F34" i="31"/>
  <c r="I18" i="31" a="1"/>
  <c r="I18" i="31" s="1"/>
  <c r="H18" i="31" a="1"/>
  <c r="H18" i="31" s="1"/>
  <c r="G18" i="31" a="1"/>
  <c r="G18" i="31" s="1"/>
  <c r="J62" i="30"/>
  <c r="K264" i="31" s="1"/>
  <c r="N91" i="8"/>
  <c r="J37" i="30"/>
  <c r="K153" i="31" s="1"/>
  <c r="J64" i="30"/>
  <c r="K266" i="31" s="1"/>
  <c r="J61" i="30"/>
  <c r="J58" i="30"/>
  <c r="K252" i="31" s="1"/>
  <c r="J65" i="30"/>
  <c r="K268" i="31" s="1"/>
  <c r="J70" i="30"/>
  <c r="K273" i="31" s="1"/>
  <c r="J72" i="30"/>
  <c r="K275" i="31" s="1"/>
  <c r="J69" i="30"/>
  <c r="G45" i="7"/>
  <c r="G44" i="7"/>
  <c r="N268" i="31" l="1" a="1"/>
  <c r="N268" i="31" s="1"/>
  <c r="R268" i="31" a="1"/>
  <c r="R268" i="31" s="1"/>
  <c r="K230" i="31"/>
  <c r="K231" i="31"/>
  <c r="R57" i="7"/>
  <c r="H147" i="31" a="1"/>
  <c r="H147" i="31" s="1"/>
  <c r="G147" i="31" a="1"/>
  <c r="G147" i="31" s="1"/>
  <c r="L147" i="31" a="1"/>
  <c r="L147" i="31" s="1"/>
  <c r="K272" i="31"/>
  <c r="N272" i="31" s="1" a="1"/>
  <c r="N272" i="31" s="1"/>
  <c r="L260" i="31" a="1"/>
  <c r="L260" i="31" s="1"/>
  <c r="M260" i="31" a="1"/>
  <c r="M260" i="31" s="1"/>
  <c r="G260" i="31" a="1"/>
  <c r="G260" i="31" s="1"/>
  <c r="I260" i="31" a="1"/>
  <c r="I260" i="31" s="1"/>
  <c r="H260" i="31" a="1"/>
  <c r="H260" i="31" s="1"/>
  <c r="S6" i="31"/>
  <c r="S5" i="31" s="1"/>
  <c r="M6" i="30" s="1"/>
  <c r="Q5" i="31"/>
  <c r="J255" i="31"/>
  <c r="F255" i="31"/>
  <c r="O255" i="31"/>
  <c r="O71" i="31"/>
  <c r="T232" i="31" a="1"/>
  <c r="T232" i="31" s="1"/>
  <c r="R232" i="31" a="1"/>
  <c r="R232" i="31" s="1"/>
  <c r="N232" i="31" a="1"/>
  <c r="N232" i="31" s="1"/>
  <c r="K237" i="31"/>
  <c r="K234" i="31"/>
  <c r="K235" i="31"/>
  <c r="K236" i="31"/>
  <c r="K263" i="31"/>
  <c r="N263" i="31" s="1" a="1"/>
  <c r="N263" i="31" s="1"/>
  <c r="N273" i="31" a="1"/>
  <c r="N273" i="31" s="1"/>
  <c r="N264" i="31" a="1"/>
  <c r="N264" i="31" s="1"/>
  <c r="K267" i="31"/>
  <c r="N267" i="31" s="1" a="1"/>
  <c r="N267" i="31" s="1"/>
  <c r="K253" i="31"/>
  <c r="N266" i="31" a="1"/>
  <c r="N266" i="31" s="1"/>
  <c r="N275" i="31" a="1"/>
  <c r="N275" i="31" s="1"/>
  <c r="N274" i="31" s="1"/>
  <c r="P45" i="7"/>
  <c r="O45" i="7"/>
  <c r="P44" i="7"/>
  <c r="O44" i="7"/>
  <c r="Q10" i="31"/>
  <c r="S181" i="31"/>
  <c r="N44" i="7"/>
  <c r="L44" i="7"/>
  <c r="M44" i="7"/>
  <c r="L45" i="7"/>
  <c r="M45" i="7"/>
  <c r="N45" i="7"/>
  <c r="R264" i="31" a="1"/>
  <c r="R264" i="31" s="1"/>
  <c r="R275" i="31" a="1"/>
  <c r="R275" i="31" s="1"/>
  <c r="R273" i="31" a="1"/>
  <c r="R273" i="31" s="1"/>
  <c r="R266" i="31" a="1"/>
  <c r="R266" i="31" s="1"/>
  <c r="R272" i="31" a="1"/>
  <c r="R272" i="31" s="1"/>
  <c r="S11" i="31"/>
  <c r="S122" i="31"/>
  <c r="P18" i="31"/>
  <c r="O18" i="31"/>
  <c r="P114" i="31"/>
  <c r="O114" i="31"/>
  <c r="P185" i="31"/>
  <c r="O123" i="31"/>
  <c r="T114" i="31" a="1"/>
  <c r="T114" i="31" s="1"/>
  <c r="P179" i="31"/>
  <c r="P178" i="31" s="1"/>
  <c r="E51" i="32" s="1"/>
  <c r="S180" i="31"/>
  <c r="Q179" i="31"/>
  <c r="Q178" i="31" s="1"/>
  <c r="F51" i="32" s="1"/>
  <c r="N114" i="31" a="1"/>
  <c r="N114" i="31" s="1"/>
  <c r="L57" i="31" a="1"/>
  <c r="L57" i="31" s="1"/>
  <c r="Q133" i="31" a="1"/>
  <c r="Q133" i="31" s="1"/>
  <c r="Q184" i="31" a="1"/>
  <c r="Q184" i="31" s="1"/>
  <c r="Q167" i="31" a="1"/>
  <c r="Q167" i="31" s="1"/>
  <c r="Q163" i="31" a="1"/>
  <c r="Q163" i="31" s="1"/>
  <c r="Q84" i="31" a="1"/>
  <c r="Q84" i="31" s="1"/>
  <c r="Q164" i="31" a="1"/>
  <c r="Q164" i="31" s="1"/>
  <c r="Q85" i="31" a="1"/>
  <c r="Q85" i="31" s="1"/>
  <c r="Q165" i="31" a="1"/>
  <c r="Q165" i="31" s="1"/>
  <c r="Q82" i="31" a="1"/>
  <c r="Q82" i="31" s="1"/>
  <c r="Q121" i="31" a="1"/>
  <c r="Q121" i="31" s="1"/>
  <c r="Q166" i="31" a="1"/>
  <c r="Q166" i="31" s="1"/>
  <c r="Q83" i="31" a="1"/>
  <c r="Q83" i="31" s="1"/>
  <c r="J18" i="31"/>
  <c r="F114" i="31"/>
  <c r="K254" i="31"/>
  <c r="K255" i="31"/>
  <c r="L214" i="31" a="1"/>
  <c r="L214" i="31" s="1"/>
  <c r="I214" i="31" a="1"/>
  <c r="I214" i="31" s="1"/>
  <c r="J214" i="31" s="1"/>
  <c r="H214" i="31" a="1"/>
  <c r="H214" i="31" s="1"/>
  <c r="G214" i="31" a="1"/>
  <c r="G214" i="31" s="1"/>
  <c r="L200" i="31" a="1"/>
  <c r="L200" i="31" s="1"/>
  <c r="G200" i="31" a="1"/>
  <c r="G200" i="31" s="1"/>
  <c r="H200" i="31" a="1"/>
  <c r="H200" i="31" s="1"/>
  <c r="I200" i="31" a="1"/>
  <c r="I200" i="31" s="1"/>
  <c r="J200" i="31" s="1"/>
  <c r="G186" i="31" a="1"/>
  <c r="G186" i="31" s="1"/>
  <c r="H186" i="31" a="1"/>
  <c r="H186" i="31" s="1"/>
  <c r="I186" i="31" a="1"/>
  <c r="I186" i="31" s="1"/>
  <c r="J186" i="31" s="1"/>
  <c r="L186" i="31" a="1"/>
  <c r="L186" i="31" s="1"/>
  <c r="L173" i="31" a="1"/>
  <c r="L173" i="31" s="1"/>
  <c r="H173" i="31" a="1"/>
  <c r="H173" i="31" s="1"/>
  <c r="I173" i="31" a="1"/>
  <c r="I173" i="31" s="1"/>
  <c r="J173" i="31" s="1"/>
  <c r="G173" i="31" a="1"/>
  <c r="G173" i="31" s="1"/>
  <c r="H156" i="31" a="1"/>
  <c r="H156" i="31" s="1"/>
  <c r="I156" i="31" a="1"/>
  <c r="I156" i="31" s="1"/>
  <c r="J156" i="31" s="1"/>
  <c r="L156" i="31" a="1"/>
  <c r="L156" i="31" s="1"/>
  <c r="G156" i="31" a="1"/>
  <c r="G156" i="31" s="1"/>
  <c r="F147" i="31"/>
  <c r="H138" i="31" a="1"/>
  <c r="H138" i="31" s="1"/>
  <c r="I138" i="31" a="1"/>
  <c r="I138" i="31" s="1"/>
  <c r="J138" i="31" s="1"/>
  <c r="L138" i="31" a="1"/>
  <c r="L138" i="31" s="1"/>
  <c r="G138" i="31" a="1"/>
  <c r="G138" i="31" s="1"/>
  <c r="F123" i="31"/>
  <c r="G99" i="31" a="1"/>
  <c r="G99" i="31" s="1"/>
  <c r="H99" i="31" a="1"/>
  <c r="H99" i="31" s="1"/>
  <c r="I99" i="31" a="1"/>
  <c r="I99" i="31" s="1"/>
  <c r="J99" i="31" s="1"/>
  <c r="L99" i="31" a="1"/>
  <c r="L99" i="31" s="1"/>
  <c r="G90" i="31" a="1"/>
  <c r="G90" i="31" s="1"/>
  <c r="I90" i="31" a="1"/>
  <c r="I90" i="31" s="1"/>
  <c r="J90" i="31" s="1"/>
  <c r="H90" i="31" a="1"/>
  <c r="H90" i="31" s="1"/>
  <c r="L90" i="31" a="1"/>
  <c r="L90" i="31" s="1"/>
  <c r="I80" i="31" a="1"/>
  <c r="I80" i="31" s="1"/>
  <c r="J80" i="31" s="1"/>
  <c r="M80" i="31" a="1"/>
  <c r="M80" i="31" s="1"/>
  <c r="L80" i="31" a="1"/>
  <c r="L80" i="31" s="1"/>
  <c r="G80" i="31" a="1"/>
  <c r="G80" i="31" s="1"/>
  <c r="H80" i="31" a="1"/>
  <c r="H80" i="31" s="1"/>
  <c r="G65" i="31" a="1"/>
  <c r="G65" i="31" s="1"/>
  <c r="H65" i="31" a="1"/>
  <c r="H65" i="31" s="1"/>
  <c r="I65" i="31" a="1"/>
  <c r="I65" i="31" s="1"/>
  <c r="J65" i="31" s="1"/>
  <c r="M65" i="31" a="1"/>
  <c r="M65" i="31" s="1"/>
  <c r="L65" i="31" a="1"/>
  <c r="L65" i="31" s="1"/>
  <c r="I57" i="31" a="1"/>
  <c r="I57" i="31" s="1"/>
  <c r="G57" i="31" a="1"/>
  <c r="G57" i="31" s="1"/>
  <c r="H57" i="31" a="1"/>
  <c r="H57" i="31" s="1"/>
  <c r="I45" i="31" a="1"/>
  <c r="I45" i="31" s="1"/>
  <c r="J45" i="31" s="1"/>
  <c r="L45" i="31" a="1"/>
  <c r="L45" i="31" s="1"/>
  <c r="G45" i="31" a="1"/>
  <c r="G45" i="31" s="1"/>
  <c r="H45" i="31" a="1"/>
  <c r="H45" i="31" s="1"/>
  <c r="I35" i="31" a="1"/>
  <c r="I35" i="31" s="1"/>
  <c r="J35" i="31" s="1"/>
  <c r="L35" i="31" a="1"/>
  <c r="L35" i="31" s="1"/>
  <c r="G35" i="31" a="1"/>
  <c r="G35" i="31" s="1"/>
  <c r="H35" i="31" a="1"/>
  <c r="H35" i="31" s="1"/>
  <c r="F18" i="31"/>
  <c r="B25" i="38"/>
  <c r="E25" i="38" s="1"/>
  <c r="J26" i="30"/>
  <c r="K87" i="31" s="1"/>
  <c r="K49" i="30"/>
  <c r="N95" i="8"/>
  <c r="K23" i="30"/>
  <c r="J36" i="30"/>
  <c r="K144" i="31" s="1"/>
  <c r="J55" i="30"/>
  <c r="P268" i="31" l="1"/>
  <c r="Q268" i="31" a="1"/>
  <c r="Q268" i="31" s="1"/>
  <c r="S268" i="31"/>
  <c r="O147" i="31"/>
  <c r="P147" i="31"/>
  <c r="J49" i="30"/>
  <c r="K50" i="30"/>
  <c r="J50" i="30" s="1"/>
  <c r="K220" i="31" s="1"/>
  <c r="O260" i="31"/>
  <c r="K239" i="31"/>
  <c r="K240" i="31" s="1"/>
  <c r="J260" i="31"/>
  <c r="F260" i="31"/>
  <c r="G256" i="31" a="1"/>
  <c r="G256" i="31" s="1"/>
  <c r="M256" i="31" a="1"/>
  <c r="M256" i="31" s="1"/>
  <c r="K256" i="31" s="1"/>
  <c r="I256" i="31" a="1"/>
  <c r="I256" i="31" s="1"/>
  <c r="L256" i="31" a="1"/>
  <c r="L256" i="31" s="1"/>
  <c r="H256" i="31" a="1"/>
  <c r="H256" i="31" s="1"/>
  <c r="R237" i="31" a="1"/>
  <c r="R237" i="31" s="1"/>
  <c r="T237" i="31" a="1"/>
  <c r="T237" i="31" s="1"/>
  <c r="N237" i="31" a="1"/>
  <c r="N237" i="31" s="1"/>
  <c r="Q232" i="31" a="1"/>
  <c r="Q232" i="31" s="1"/>
  <c r="P232" i="31"/>
  <c r="R267" i="31" a="1"/>
  <c r="R267" i="31" s="1"/>
  <c r="P267" i="31" s="1"/>
  <c r="N262" i="31"/>
  <c r="C55" i="32" s="1"/>
  <c r="N231" i="31" a="1"/>
  <c r="N231" i="31" s="1"/>
  <c r="R231" i="31" a="1"/>
  <c r="R231" i="31" s="1"/>
  <c r="T231" i="31" a="1"/>
  <c r="T231" i="31" s="1"/>
  <c r="T230" i="31" a="1"/>
  <c r="T230" i="31" s="1"/>
  <c r="N230" i="31" a="1"/>
  <c r="N230" i="31" s="1"/>
  <c r="R230" i="31" a="1"/>
  <c r="R230" i="31" s="1"/>
  <c r="R263" i="31" a="1"/>
  <c r="R263" i="31" s="1"/>
  <c r="T236" i="31" a="1"/>
  <c r="T236" i="31" s="1"/>
  <c r="R236" i="31" a="1"/>
  <c r="R236" i="31" s="1"/>
  <c r="N236" i="31" a="1"/>
  <c r="N236" i="31" s="1"/>
  <c r="N235" i="31" a="1"/>
  <c r="N235" i="31" s="1"/>
  <c r="T235" i="31" a="1"/>
  <c r="T235" i="31" s="1"/>
  <c r="R235" i="31" a="1"/>
  <c r="R235" i="31" s="1"/>
  <c r="T234" i="31" a="1"/>
  <c r="T234" i="31" s="1"/>
  <c r="R234" i="31" a="1"/>
  <c r="R234" i="31" s="1"/>
  <c r="N234" i="31" a="1"/>
  <c r="N234" i="31" s="1"/>
  <c r="N253" i="31" a="1"/>
  <c r="N253" i="31" s="1"/>
  <c r="T253" i="31" a="1"/>
  <c r="T253" i="31" s="1"/>
  <c r="N271" i="31"/>
  <c r="R253" i="31" a="1"/>
  <c r="R253" i="31" s="1"/>
  <c r="N265" i="31"/>
  <c r="O49" i="7"/>
  <c r="P49" i="7"/>
  <c r="P275" i="31"/>
  <c r="P274" i="31" s="1"/>
  <c r="P272" i="31"/>
  <c r="Q272" i="31" a="1"/>
  <c r="Q272" i="31" s="1"/>
  <c r="Q264" i="31" a="1"/>
  <c r="Q264" i="31" s="1"/>
  <c r="P264" i="31"/>
  <c r="R274" i="31"/>
  <c r="G58" i="32" s="1"/>
  <c r="Q273" i="31" a="1"/>
  <c r="Q273" i="31" s="1"/>
  <c r="O266" i="31"/>
  <c r="P273" i="31"/>
  <c r="Q275" i="31" a="1"/>
  <c r="Q275" i="31" s="1"/>
  <c r="S133" i="31"/>
  <c r="S163" i="31"/>
  <c r="S166" i="31"/>
  <c r="S85" i="31"/>
  <c r="S167" i="31"/>
  <c r="S165" i="31"/>
  <c r="S164" i="31"/>
  <c r="S170" i="31"/>
  <c r="S83" i="31"/>
  <c r="S84" i="31"/>
  <c r="M49" i="7"/>
  <c r="L49" i="7"/>
  <c r="R49" i="7" s="1"/>
  <c r="N49" i="7"/>
  <c r="R271" i="31"/>
  <c r="G57" i="32" s="1"/>
  <c r="T255" i="31" a="1"/>
  <c r="T255" i="31" s="1"/>
  <c r="T254" i="31" a="1"/>
  <c r="T254" i="31" s="1"/>
  <c r="P90" i="31"/>
  <c r="O90" i="31"/>
  <c r="P173" i="31"/>
  <c r="O173" i="31"/>
  <c r="O186" i="31"/>
  <c r="O65" i="31"/>
  <c r="O200" i="31"/>
  <c r="P138" i="31"/>
  <c r="O138" i="31"/>
  <c r="O57" i="31"/>
  <c r="O214" i="31"/>
  <c r="O99" i="31"/>
  <c r="P45" i="31"/>
  <c r="O45" i="31"/>
  <c r="P35" i="31"/>
  <c r="O35" i="31"/>
  <c r="P156" i="31"/>
  <c r="O156" i="31"/>
  <c r="O80" i="31"/>
  <c r="S121" i="31"/>
  <c r="P81" i="31"/>
  <c r="S82" i="31"/>
  <c r="S184" i="31"/>
  <c r="Q114" i="31" a="1"/>
  <c r="Q114" i="31" s="1"/>
  <c r="Q162" i="31"/>
  <c r="Q161" i="31" s="1"/>
  <c r="F49" i="32" s="1"/>
  <c r="N255" i="31" a="1"/>
  <c r="N255" i="31" s="1"/>
  <c r="R255" i="31" a="1"/>
  <c r="R255" i="31" s="1"/>
  <c r="N254" i="31" a="1"/>
  <c r="N254" i="31" s="1"/>
  <c r="R254" i="31" a="1"/>
  <c r="R254" i="31" s="1"/>
  <c r="Q81" i="31"/>
  <c r="H115" i="31" a="1"/>
  <c r="H115" i="31" s="1"/>
  <c r="J57" i="31"/>
  <c r="L19" i="31" a="1"/>
  <c r="L19" i="31" s="1"/>
  <c r="M19" i="31" a="1"/>
  <c r="M19" i="31" s="1"/>
  <c r="L115" i="31" a="1"/>
  <c r="L115" i="31" s="1"/>
  <c r="M115" i="31" a="1"/>
  <c r="M115" i="31" s="1"/>
  <c r="K115" i="31" s="1"/>
  <c r="N115" i="31" s="1" a="1"/>
  <c r="N115" i="31" s="1"/>
  <c r="I115" i="31" a="1"/>
  <c r="I115" i="31" s="1"/>
  <c r="J115" i="31" s="1"/>
  <c r="G115" i="31" a="1"/>
  <c r="G115" i="31" s="1"/>
  <c r="F214" i="31"/>
  <c r="F200" i="31"/>
  <c r="F186" i="31"/>
  <c r="F173" i="31"/>
  <c r="F156" i="31"/>
  <c r="H148" i="31" a="1"/>
  <c r="H148" i="31" s="1"/>
  <c r="I148" i="31" a="1"/>
  <c r="I148" i="31" s="1"/>
  <c r="J148" i="31" s="1"/>
  <c r="M148" i="31" a="1"/>
  <c r="M148" i="31" s="1"/>
  <c r="K148" i="31" s="1"/>
  <c r="L148" i="31" a="1"/>
  <c r="L148" i="31" s="1"/>
  <c r="G148" i="31" a="1"/>
  <c r="G148" i="31" s="1"/>
  <c r="F138" i="31"/>
  <c r="H124" i="31" a="1"/>
  <c r="H124" i="31" s="1"/>
  <c r="I124" i="31" a="1"/>
  <c r="I124" i="31" s="1"/>
  <c r="J124" i="31" s="1"/>
  <c r="M124" i="31" a="1"/>
  <c r="M124" i="31" s="1"/>
  <c r="K124" i="31" s="1"/>
  <c r="N124" i="31" s="1" a="1"/>
  <c r="N124" i="31" s="1"/>
  <c r="G124" i="31" a="1"/>
  <c r="G124" i="31" s="1"/>
  <c r="L124" i="31" a="1"/>
  <c r="L124" i="31" s="1"/>
  <c r="F99" i="31"/>
  <c r="F90" i="31"/>
  <c r="F80" i="31"/>
  <c r="F65" i="31"/>
  <c r="F57" i="31"/>
  <c r="F45" i="31"/>
  <c r="F35" i="31"/>
  <c r="G19" i="31" a="1"/>
  <c r="G19" i="31" s="1"/>
  <c r="I19" i="31" a="1"/>
  <c r="I19" i="31" s="1"/>
  <c r="H19" i="31" a="1"/>
  <c r="H19" i="31" s="1"/>
  <c r="K211" i="31"/>
  <c r="K213" i="31" s="1"/>
  <c r="B27" i="38"/>
  <c r="E27" i="38" s="1"/>
  <c r="J23" i="30"/>
  <c r="K76" i="31" s="1"/>
  <c r="J28" i="30"/>
  <c r="K96" i="31" s="1"/>
  <c r="B24" i="38"/>
  <c r="C24" i="38" s="1"/>
  <c r="J18" i="30"/>
  <c r="C25" i="38"/>
  <c r="K47" i="30"/>
  <c r="K51" i="30" s="1"/>
  <c r="J51" i="30" s="1"/>
  <c r="K225" i="31" s="1"/>
  <c r="K20" i="30"/>
  <c r="K244" i="31" l="1"/>
  <c r="R229" i="31"/>
  <c r="N229" i="31"/>
  <c r="T229" i="31"/>
  <c r="N233" i="31"/>
  <c r="R233" i="31"/>
  <c r="T233" i="31"/>
  <c r="K243" i="31"/>
  <c r="R256" i="31" a="1"/>
  <c r="R256" i="31" s="1"/>
  <c r="K242" i="31"/>
  <c r="K241" i="31"/>
  <c r="N256" i="31" a="1"/>
  <c r="N256" i="31" s="1"/>
  <c r="N252" i="31" s="1"/>
  <c r="T256" i="31" a="1"/>
  <c r="T256" i="31" s="1"/>
  <c r="T252" i="31" s="1"/>
  <c r="L261" i="31" a="1"/>
  <c r="L261" i="31" s="1"/>
  <c r="G261" i="31" a="1"/>
  <c r="G261" i="31" s="1"/>
  <c r="M261" i="31" a="1"/>
  <c r="M261" i="31" s="1"/>
  <c r="I261" i="31" a="1"/>
  <c r="I261" i="31" s="1"/>
  <c r="H261" i="31" a="1"/>
  <c r="H261" i="31" s="1"/>
  <c r="K59" i="30"/>
  <c r="J59" i="30" s="1"/>
  <c r="K257" i="31" s="1"/>
  <c r="J47" i="30"/>
  <c r="K197" i="31" s="1"/>
  <c r="K199" i="31" s="1"/>
  <c r="K48" i="30"/>
  <c r="J48" i="30" s="1"/>
  <c r="K206" i="31" s="1"/>
  <c r="O256" i="31"/>
  <c r="J256" i="31"/>
  <c r="F256" i="31"/>
  <c r="J20" i="30"/>
  <c r="K62" i="31" s="1"/>
  <c r="K65" i="31" s="1"/>
  <c r="K21" i="30"/>
  <c r="J21" i="30" s="1"/>
  <c r="K71" i="31" s="1"/>
  <c r="K72" i="31" s="1"/>
  <c r="N72" i="31" s="1" a="1"/>
  <c r="N72" i="31" s="1"/>
  <c r="R265" i="31"/>
  <c r="G56" i="32" s="1"/>
  <c r="Q267" i="31" a="1"/>
  <c r="Q267" i="31" s="1"/>
  <c r="S232" i="31"/>
  <c r="Q237" i="31" a="1"/>
  <c r="Q237" i="31" s="1"/>
  <c r="R262" i="31"/>
  <c r="G55" i="32" s="1"/>
  <c r="Q263" i="31" a="1"/>
  <c r="Q263" i="31" s="1"/>
  <c r="Q262" i="31" s="1"/>
  <c r="Q230" i="31" a="1"/>
  <c r="Q230" i="31" s="1"/>
  <c r="P230" i="31"/>
  <c r="P263" i="31"/>
  <c r="P262" i="31" s="1"/>
  <c r="P231" i="31"/>
  <c r="Q231" i="31" a="1"/>
  <c r="Q231" i="31" s="1"/>
  <c r="K107" i="31"/>
  <c r="K108" i="31"/>
  <c r="P234" i="31"/>
  <c r="P236" i="31"/>
  <c r="P235" i="31"/>
  <c r="P253" i="31"/>
  <c r="S264" i="31"/>
  <c r="Q274" i="31"/>
  <c r="P265" i="31"/>
  <c r="Q266" i="31" a="1"/>
  <c r="Q266" i="31" s="1"/>
  <c r="O265" i="31"/>
  <c r="Q271" i="31"/>
  <c r="P271" i="31"/>
  <c r="S114" i="31"/>
  <c r="O76" i="31"/>
  <c r="O75" i="31" s="1"/>
  <c r="D44" i="32" s="1"/>
  <c r="T240" i="31" a="1"/>
  <c r="T240" i="31" s="1"/>
  <c r="T213" i="31" a="1"/>
  <c r="T213" i="31" s="1"/>
  <c r="P19" i="31"/>
  <c r="O19" i="31"/>
  <c r="P124" i="31"/>
  <c r="O124" i="31"/>
  <c r="P254" i="31"/>
  <c r="P115" i="31"/>
  <c r="O115" i="31"/>
  <c r="P255" i="31"/>
  <c r="P148" i="31"/>
  <c r="O148" i="31"/>
  <c r="T124" i="31" a="1"/>
  <c r="T124" i="31" s="1"/>
  <c r="T115" i="31" a="1"/>
  <c r="T115" i="31" s="1"/>
  <c r="N213" i="31" a="1"/>
  <c r="N213" i="31" s="1"/>
  <c r="R213" i="31" a="1"/>
  <c r="R213" i="31" s="1"/>
  <c r="N240" i="31" a="1"/>
  <c r="N240" i="31" s="1"/>
  <c r="R240" i="31" a="1"/>
  <c r="R240" i="31" s="1"/>
  <c r="R124" i="31" a="1"/>
  <c r="R124" i="31" s="1"/>
  <c r="R115" i="31" a="1"/>
  <c r="R115" i="31" s="1"/>
  <c r="L58" i="31" a="1"/>
  <c r="L58" i="31" s="1"/>
  <c r="Q253" i="31" a="1"/>
  <c r="Q253" i="31" s="1"/>
  <c r="Q254" i="31" a="1"/>
  <c r="Q254" i="31" s="1"/>
  <c r="Q255" i="31" a="1"/>
  <c r="Q255" i="31" s="1"/>
  <c r="J19" i="31"/>
  <c r="K77" i="31"/>
  <c r="K79" i="31"/>
  <c r="F115" i="31"/>
  <c r="K54" i="31"/>
  <c r="K212" i="31"/>
  <c r="K78" i="31"/>
  <c r="K80" i="31"/>
  <c r="L215" i="31" a="1"/>
  <c r="L215" i="31" s="1"/>
  <c r="M215" i="31" a="1"/>
  <c r="M215" i="31" s="1"/>
  <c r="K215" i="31" s="1"/>
  <c r="N215" i="31" s="1" a="1"/>
  <c r="N215" i="31" s="1"/>
  <c r="I215" i="31" a="1"/>
  <c r="I215" i="31" s="1"/>
  <c r="J215" i="31" s="1"/>
  <c r="H215" i="31" a="1"/>
  <c r="H215" i="31" s="1"/>
  <c r="G215" i="31" a="1"/>
  <c r="G215" i="31" s="1"/>
  <c r="M201" i="31" a="1"/>
  <c r="M201" i="31" s="1"/>
  <c r="L201" i="31" a="1"/>
  <c r="L201" i="31" s="1"/>
  <c r="G201" i="31" a="1"/>
  <c r="G201" i="31" s="1"/>
  <c r="H201" i="31" a="1"/>
  <c r="H201" i="31" s="1"/>
  <c r="I201" i="31" a="1"/>
  <c r="I201" i="31" s="1"/>
  <c r="J201" i="31" s="1"/>
  <c r="H187" i="31" a="1"/>
  <c r="H187" i="31" s="1"/>
  <c r="I187" i="31" a="1"/>
  <c r="I187" i="31" s="1"/>
  <c r="J187" i="31" s="1"/>
  <c r="M187" i="31" a="1"/>
  <c r="M187" i="31" s="1"/>
  <c r="K187" i="31" s="1"/>
  <c r="N187" i="31" s="1" a="1"/>
  <c r="N187" i="31" s="1"/>
  <c r="L187" i="31" a="1"/>
  <c r="L187" i="31" s="1"/>
  <c r="G187" i="31" a="1"/>
  <c r="G187" i="31" s="1"/>
  <c r="H174" i="31" a="1"/>
  <c r="H174" i="31" s="1"/>
  <c r="I174" i="31" a="1"/>
  <c r="I174" i="31" s="1"/>
  <c r="J174" i="31" s="1"/>
  <c r="G174" i="31" a="1"/>
  <c r="G174" i="31" s="1"/>
  <c r="L174" i="31" a="1"/>
  <c r="L174" i="31" s="1"/>
  <c r="H157" i="31" a="1"/>
  <c r="H157" i="31" s="1"/>
  <c r="I157" i="31" a="1"/>
  <c r="I157" i="31" s="1"/>
  <c r="J157" i="31" s="1"/>
  <c r="M157" i="31" a="1"/>
  <c r="M157" i="31" s="1"/>
  <c r="K157" i="31" s="1"/>
  <c r="L157" i="31" a="1"/>
  <c r="L157" i="31" s="1"/>
  <c r="G157" i="31" a="1"/>
  <c r="G157" i="31" s="1"/>
  <c r="F148" i="31"/>
  <c r="H139" i="31" a="1"/>
  <c r="H139" i="31" s="1"/>
  <c r="I139" i="31" a="1"/>
  <c r="I139" i="31" s="1"/>
  <c r="J139" i="31" s="1"/>
  <c r="L139" i="31" a="1"/>
  <c r="L139" i="31" s="1"/>
  <c r="G139" i="31" a="1"/>
  <c r="G139" i="31" s="1"/>
  <c r="M139" i="31" a="1"/>
  <c r="M139" i="31" s="1"/>
  <c r="K139" i="31" s="1"/>
  <c r="F124" i="31"/>
  <c r="H100" i="31" a="1"/>
  <c r="H100" i="31" s="1"/>
  <c r="I100" i="31" a="1"/>
  <c r="I100" i="31" s="1"/>
  <c r="J100" i="31" s="1"/>
  <c r="L100" i="31" a="1"/>
  <c r="L100" i="31" s="1"/>
  <c r="G100" i="31" a="1"/>
  <c r="G100" i="31" s="1"/>
  <c r="H91" i="31" a="1"/>
  <c r="H91" i="31" s="1"/>
  <c r="I91" i="31" a="1"/>
  <c r="I91" i="31" s="1"/>
  <c r="J91" i="31" s="1"/>
  <c r="L91" i="31" a="1"/>
  <c r="L91" i="31" s="1"/>
  <c r="G91" i="31" a="1"/>
  <c r="G91" i="31" s="1"/>
  <c r="M91" i="31" a="1"/>
  <c r="M91" i="31" s="1"/>
  <c r="K91" i="31" s="1"/>
  <c r="H66" i="31" a="1"/>
  <c r="H66" i="31" s="1"/>
  <c r="I66" i="31" a="1"/>
  <c r="I66" i="31" s="1"/>
  <c r="J66" i="31" s="1"/>
  <c r="L66" i="31" a="1"/>
  <c r="L66" i="31" s="1"/>
  <c r="M66" i="31" a="1"/>
  <c r="M66" i="31" s="1"/>
  <c r="G66" i="31" a="1"/>
  <c r="G66" i="31" s="1"/>
  <c r="H58" i="31" a="1"/>
  <c r="H58" i="31" s="1"/>
  <c r="I58" i="31" a="1"/>
  <c r="I58" i="31" s="1"/>
  <c r="M58" i="31" a="1"/>
  <c r="M58" i="31" s="1"/>
  <c r="G58" i="31" a="1"/>
  <c r="G58" i="31" s="1"/>
  <c r="H46" i="31" a="1"/>
  <c r="H46" i="31" s="1"/>
  <c r="I46" i="31" a="1"/>
  <c r="I46" i="31" s="1"/>
  <c r="J46" i="31" s="1"/>
  <c r="M46" i="31" a="1"/>
  <c r="M46" i="31" s="1"/>
  <c r="K46" i="31" s="1"/>
  <c r="N46" i="31" s="1" a="1"/>
  <c r="N46" i="31" s="1"/>
  <c r="G46" i="31" a="1"/>
  <c r="G46" i="31" s="1"/>
  <c r="L46" i="31" a="1"/>
  <c r="L46" i="31" s="1"/>
  <c r="H36" i="31" a="1"/>
  <c r="H36" i="31" s="1"/>
  <c r="I36" i="31" a="1"/>
  <c r="I36" i="31" s="1"/>
  <c r="J36" i="31" s="1"/>
  <c r="M36" i="31" a="1"/>
  <c r="M36" i="31" s="1"/>
  <c r="K36" i="31" s="1"/>
  <c r="N36" i="31" s="1" a="1"/>
  <c r="N36" i="31" s="1"/>
  <c r="L36" i="31" a="1"/>
  <c r="L36" i="31" s="1"/>
  <c r="G36" i="31" a="1"/>
  <c r="G36" i="31" s="1"/>
  <c r="F19" i="31"/>
  <c r="C27" i="38"/>
  <c r="E24" i="38"/>
  <c r="T244" i="31" l="1" a="1"/>
  <c r="T244" i="31" s="1"/>
  <c r="N244" i="31" a="1"/>
  <c r="N244" i="31" s="1"/>
  <c r="R244" i="31" a="1"/>
  <c r="R244" i="31" s="1"/>
  <c r="R252" i="31"/>
  <c r="P233" i="31"/>
  <c r="Q229" i="31"/>
  <c r="P229" i="31"/>
  <c r="T242" i="31" a="1"/>
  <c r="T242" i="31" s="1"/>
  <c r="R243" i="31" a="1"/>
  <c r="R243" i="31" s="1"/>
  <c r="N243" i="31" a="1"/>
  <c r="N243" i="31" s="1"/>
  <c r="P256" i="31"/>
  <c r="T243" i="31" a="1"/>
  <c r="T243" i="31" s="1"/>
  <c r="Q256" i="31" a="1"/>
  <c r="Q256" i="31" s="1"/>
  <c r="Q252" i="31" s="1"/>
  <c r="R242" i="31" a="1"/>
  <c r="R242" i="31" s="1"/>
  <c r="N242" i="31" a="1"/>
  <c r="N242" i="31" s="1"/>
  <c r="T241" i="31" a="1"/>
  <c r="T241" i="31" s="1"/>
  <c r="R241" i="31" a="1"/>
  <c r="R241" i="31" s="1"/>
  <c r="N241" i="31" a="1"/>
  <c r="N241" i="31" s="1"/>
  <c r="J261" i="31"/>
  <c r="F261" i="31"/>
  <c r="O261" i="31"/>
  <c r="K64" i="31"/>
  <c r="K73" i="31"/>
  <c r="R73" i="31" s="1" a="1"/>
  <c r="R73" i="31" s="1"/>
  <c r="K74" i="31"/>
  <c r="N74" i="31" s="1" a="1"/>
  <c r="N74" i="31" s="1"/>
  <c r="G77" i="32"/>
  <c r="K66" i="31"/>
  <c r="N66" i="31" s="1" a="1"/>
  <c r="N66" i="31" s="1"/>
  <c r="O252" i="31"/>
  <c r="T72" i="31" a="1"/>
  <c r="T72" i="31" s="1"/>
  <c r="R72" i="31" a="1"/>
  <c r="R72" i="31" s="1"/>
  <c r="S237" i="31"/>
  <c r="S231" i="31"/>
  <c r="S230" i="31"/>
  <c r="T108" i="31" a="1"/>
  <c r="T108" i="31" s="1"/>
  <c r="N108" i="31" a="1"/>
  <c r="N108" i="31" s="1"/>
  <c r="R108" i="31" a="1"/>
  <c r="R108" i="31" s="1"/>
  <c r="R107" i="31" a="1"/>
  <c r="R107" i="31" s="1"/>
  <c r="N107" i="31" a="1"/>
  <c r="N107" i="31" s="1"/>
  <c r="T107" i="31" a="1"/>
  <c r="T107" i="31" s="1"/>
  <c r="K258" i="31"/>
  <c r="M62" i="30"/>
  <c r="Q265" i="31"/>
  <c r="Q124" i="31" a="1"/>
  <c r="Q124" i="31" s="1"/>
  <c r="T78" i="31" a="1"/>
  <c r="T78" i="31" s="1"/>
  <c r="T199" i="31" a="1"/>
  <c r="T199" i="31" s="1"/>
  <c r="T79" i="31" a="1"/>
  <c r="T79" i="31" s="1"/>
  <c r="T212" i="31" a="1"/>
  <c r="T212" i="31" s="1"/>
  <c r="T77" i="31" a="1"/>
  <c r="T77" i="31" s="1"/>
  <c r="T80" i="31" a="1"/>
  <c r="T80" i="31" s="1"/>
  <c r="T65" i="31" a="1"/>
  <c r="T65" i="31" s="1"/>
  <c r="S254" i="31"/>
  <c r="O66" i="31"/>
  <c r="P213" i="31"/>
  <c r="P46" i="31"/>
  <c r="O46" i="31"/>
  <c r="O100" i="31"/>
  <c r="O187" i="31"/>
  <c r="O215" i="31"/>
  <c r="O58" i="31"/>
  <c r="P157" i="31"/>
  <c r="O157" i="31"/>
  <c r="P91" i="31"/>
  <c r="O91" i="31"/>
  <c r="P240" i="31"/>
  <c r="O139" i="31"/>
  <c r="P139" i="31"/>
  <c r="P174" i="31"/>
  <c r="O174" i="31"/>
  <c r="P36" i="31"/>
  <c r="O36" i="31"/>
  <c r="O201" i="31"/>
  <c r="S255" i="31"/>
  <c r="T187" i="31" a="1"/>
  <c r="T187" i="31" s="1"/>
  <c r="T36" i="31" a="1"/>
  <c r="T36" i="31" s="1"/>
  <c r="T215" i="31" a="1"/>
  <c r="T215" i="31" s="1"/>
  <c r="T46" i="31" a="1"/>
  <c r="T46" i="31" s="1"/>
  <c r="S253" i="31"/>
  <c r="R215" i="31" a="1"/>
  <c r="R215" i="31" s="1"/>
  <c r="R187" i="31" a="1"/>
  <c r="R187" i="31" s="1"/>
  <c r="N199" i="31" a="1"/>
  <c r="N199" i="31" s="1"/>
  <c r="R199" i="31" a="1"/>
  <c r="R199" i="31" s="1"/>
  <c r="N212" i="31" a="1"/>
  <c r="N212" i="31" s="1"/>
  <c r="R212" i="31" a="1"/>
  <c r="R212" i="31" s="1"/>
  <c r="H116" i="31" a="1"/>
  <c r="H116" i="31" s="1"/>
  <c r="N80" i="31" a="1"/>
  <c r="N80" i="31" s="1"/>
  <c r="R80" i="31" a="1"/>
  <c r="R80" i="31" s="1"/>
  <c r="N77" i="31" a="1"/>
  <c r="N77" i="31" s="1"/>
  <c r="R77" i="31" a="1"/>
  <c r="R77" i="31" s="1"/>
  <c r="N65" i="31" a="1"/>
  <c r="N65" i="31" s="1"/>
  <c r="R65" i="31" a="1"/>
  <c r="R65" i="31" s="1"/>
  <c r="N78" i="31" a="1"/>
  <c r="N78" i="31" s="1"/>
  <c r="R78" i="31" a="1"/>
  <c r="R78" i="31" s="1"/>
  <c r="N79" i="31" a="1"/>
  <c r="N79" i="31" s="1"/>
  <c r="R79" i="31" a="1"/>
  <c r="R79" i="31" s="1"/>
  <c r="J58" i="31"/>
  <c r="R36" i="31" a="1"/>
  <c r="R36" i="31" s="1"/>
  <c r="R46" i="31" a="1"/>
  <c r="R46" i="31" s="1"/>
  <c r="Q240" i="31" a="1"/>
  <c r="Q240" i="31" s="1"/>
  <c r="Q115" i="31" a="1"/>
  <c r="Q115" i="31" s="1"/>
  <c r="Q234" i="31" a="1"/>
  <c r="Q234" i="31" s="1"/>
  <c r="M20" i="31" a="1"/>
  <c r="M20" i="31" s="1"/>
  <c r="L20" i="31" a="1"/>
  <c r="L20" i="31" s="1"/>
  <c r="K201" i="31"/>
  <c r="G116" i="31" a="1"/>
  <c r="G116" i="31" s="1"/>
  <c r="L116" i="31" a="1"/>
  <c r="L116" i="31" s="1"/>
  <c r="M116" i="31" a="1"/>
  <c r="M116" i="31" s="1"/>
  <c r="K116" i="31" s="1"/>
  <c r="N116" i="31" s="1" a="1"/>
  <c r="N116" i="31" s="1"/>
  <c r="I116" i="31" a="1"/>
  <c r="I116" i="31" s="1"/>
  <c r="J116" i="31" s="1"/>
  <c r="K58" i="31"/>
  <c r="K261" i="31"/>
  <c r="K260" i="31"/>
  <c r="K198" i="31"/>
  <c r="K259" i="31"/>
  <c r="J11" i="30"/>
  <c r="K15" i="31" s="1"/>
  <c r="B26" i="38"/>
  <c r="F215" i="31"/>
  <c r="F201" i="31"/>
  <c r="F187" i="31"/>
  <c r="F174" i="31"/>
  <c r="F157" i="31"/>
  <c r="H149" i="31" a="1"/>
  <c r="H149" i="31" s="1"/>
  <c r="I149" i="31" a="1"/>
  <c r="I149" i="31" s="1"/>
  <c r="J149" i="31" s="1"/>
  <c r="M149" i="31" a="1"/>
  <c r="M149" i="31" s="1"/>
  <c r="K149" i="31" s="1"/>
  <c r="R149" i="31" s="1" a="1"/>
  <c r="R149" i="31" s="1"/>
  <c r="L149" i="31" a="1"/>
  <c r="L149" i="31" s="1"/>
  <c r="G149" i="31" a="1"/>
  <c r="G149" i="31" s="1"/>
  <c r="F139" i="31"/>
  <c r="I125" i="31" a="1"/>
  <c r="I125" i="31" s="1"/>
  <c r="J125" i="31" s="1"/>
  <c r="M125" i="31" a="1"/>
  <c r="M125" i="31" s="1"/>
  <c r="K125" i="31" s="1"/>
  <c r="R125" i="31" s="1" a="1"/>
  <c r="R125" i="31" s="1"/>
  <c r="L125" i="31" a="1"/>
  <c r="L125" i="31" s="1"/>
  <c r="G125" i="31" a="1"/>
  <c r="G125" i="31" s="1"/>
  <c r="H125" i="31" a="1"/>
  <c r="H125" i="31" s="1"/>
  <c r="F100" i="31"/>
  <c r="F91" i="31"/>
  <c r="F66" i="31"/>
  <c r="F58" i="31"/>
  <c r="F46" i="31"/>
  <c r="F36" i="31"/>
  <c r="H20" i="31" a="1"/>
  <c r="H20" i="31" s="1"/>
  <c r="I20" i="31" a="1"/>
  <c r="I20" i="31" s="1"/>
  <c r="G20" i="31" a="1"/>
  <c r="G20" i="31" s="1"/>
  <c r="G19" i="8"/>
  <c r="G18" i="8"/>
  <c r="G15" i="8"/>
  <c r="G14" i="8"/>
  <c r="Q244" i="31" l="1" a="1"/>
  <c r="Q244" i="31" s="1"/>
  <c r="S256" i="31"/>
  <c r="Q241" i="31" a="1"/>
  <c r="Q241" i="31" s="1"/>
  <c r="P242" i="31"/>
  <c r="Q243" i="31" a="1"/>
  <c r="Q243" i="31" s="1"/>
  <c r="P243" i="31"/>
  <c r="P252" i="31"/>
  <c r="S229" i="31"/>
  <c r="Q242" i="31" a="1"/>
  <c r="Q242" i="31" s="1"/>
  <c r="T239" i="31"/>
  <c r="T238" i="31" s="1"/>
  <c r="H17" i="32" s="1"/>
  <c r="N239" i="31"/>
  <c r="N238" i="31" s="1"/>
  <c r="R239" i="31"/>
  <c r="R238" i="31" s="1"/>
  <c r="G53" i="32" s="1"/>
  <c r="P241" i="31"/>
  <c r="N73" i="31" a="1"/>
  <c r="N73" i="31" s="1"/>
  <c r="P73" i="31" s="1"/>
  <c r="T73" i="31" a="1"/>
  <c r="T73" i="31" s="1"/>
  <c r="T64" i="31" a="1"/>
  <c r="T64" i="31" s="1"/>
  <c r="O257" i="31"/>
  <c r="O251" i="31" s="1"/>
  <c r="D54" i="32" s="1"/>
  <c r="N64" i="31" a="1"/>
  <c r="N64" i="31" s="1"/>
  <c r="R64" i="31" a="1"/>
  <c r="R64" i="31" s="1"/>
  <c r="T74" i="31" a="1"/>
  <c r="T74" i="31" s="1"/>
  <c r="T66" i="31" a="1"/>
  <c r="T66" i="31" s="1"/>
  <c r="R74" i="31" a="1"/>
  <c r="R74" i="31" s="1"/>
  <c r="P74" i="31" s="1"/>
  <c r="R66" i="31" a="1"/>
  <c r="R66" i="31" s="1"/>
  <c r="P66" i="31" s="1"/>
  <c r="P72" i="31"/>
  <c r="Q72" i="31" a="1"/>
  <c r="Q72" i="31" s="1"/>
  <c r="P108" i="31"/>
  <c r="R106" i="31"/>
  <c r="N106" i="31"/>
  <c r="Q108" i="31" a="1"/>
  <c r="Q108" i="31" s="1"/>
  <c r="Q107" i="31" a="1"/>
  <c r="Q107" i="31" s="1"/>
  <c r="P107" i="31"/>
  <c r="T106" i="31"/>
  <c r="T258" i="31" a="1"/>
  <c r="T258" i="31" s="1"/>
  <c r="R258" i="31" a="1"/>
  <c r="R258" i="31" s="1"/>
  <c r="N258" i="31" a="1"/>
  <c r="N258" i="31" s="1"/>
  <c r="M14" i="8"/>
  <c r="O14" i="8"/>
  <c r="P14" i="8"/>
  <c r="N14" i="8"/>
  <c r="L14" i="8"/>
  <c r="O15" i="8"/>
  <c r="N15" i="8"/>
  <c r="M15" i="8"/>
  <c r="L15" i="8"/>
  <c r="P15" i="8"/>
  <c r="L18" i="8"/>
  <c r="P18" i="8"/>
  <c r="O18" i="8"/>
  <c r="N18" i="8"/>
  <c r="M18" i="8"/>
  <c r="O19" i="8"/>
  <c r="P19" i="8"/>
  <c r="N19" i="8"/>
  <c r="L19" i="8"/>
  <c r="M19" i="8"/>
  <c r="S124" i="31"/>
  <c r="S115" i="31"/>
  <c r="Q46" i="31" a="1"/>
  <c r="Q46" i="31" s="1"/>
  <c r="P187" i="31"/>
  <c r="P215" i="31"/>
  <c r="T76" i="31"/>
  <c r="T75" i="31" s="1"/>
  <c r="H8" i="32" s="1"/>
  <c r="T201" i="31" a="1"/>
  <c r="T201" i="31" s="1"/>
  <c r="T198" i="31" a="1"/>
  <c r="T198" i="31" s="1"/>
  <c r="T261" i="31" a="1"/>
  <c r="T261" i="31" s="1"/>
  <c r="T259" i="31" a="1"/>
  <c r="T259" i="31" s="1"/>
  <c r="T260" i="31" a="1"/>
  <c r="T260" i="31" s="1"/>
  <c r="P149" i="31"/>
  <c r="O149" i="31"/>
  <c r="P116" i="31"/>
  <c r="O116" i="31"/>
  <c r="P78" i="31"/>
  <c r="O20" i="31"/>
  <c r="P20" i="31"/>
  <c r="P65" i="31"/>
  <c r="P80" i="31"/>
  <c r="P79" i="31"/>
  <c r="P199" i="31"/>
  <c r="P125" i="31"/>
  <c r="O125" i="31"/>
  <c r="P212" i="31"/>
  <c r="P77" i="31"/>
  <c r="T20" i="31" a="1"/>
  <c r="T20" i="31" s="1"/>
  <c r="T149" i="31" a="1"/>
  <c r="T149" i="31" s="1"/>
  <c r="T125" i="31" a="1"/>
  <c r="T125" i="31" s="1"/>
  <c r="T116" i="31" a="1"/>
  <c r="T116" i="31" s="1"/>
  <c r="S240" i="31"/>
  <c r="S234" i="31"/>
  <c r="N149" i="31" a="1"/>
  <c r="N149" i="31" s="1"/>
  <c r="N259" i="31" a="1"/>
  <c r="N259" i="31" s="1"/>
  <c r="R259" i="31" a="1"/>
  <c r="R259" i="31" s="1"/>
  <c r="R198" i="31" a="1"/>
  <c r="R198" i="31" s="1"/>
  <c r="N198" i="31" a="1"/>
  <c r="N198" i="31" s="1"/>
  <c r="N260" i="31" a="1"/>
  <c r="N260" i="31" s="1"/>
  <c r="R260" i="31" a="1"/>
  <c r="R260" i="31" s="1"/>
  <c r="N125" i="31" a="1"/>
  <c r="N125" i="31" s="1"/>
  <c r="N261" i="31" a="1"/>
  <c r="N261" i="31" s="1"/>
  <c r="R261" i="31" a="1"/>
  <c r="R261" i="31" s="1"/>
  <c r="M175" i="31" a="1"/>
  <c r="M175" i="31" s="1"/>
  <c r="K175" i="31" s="1"/>
  <c r="R175" i="31" s="1" a="1"/>
  <c r="R175" i="31" s="1"/>
  <c r="N201" i="31" a="1"/>
  <c r="N201" i="31" s="1"/>
  <c r="R201" i="31" a="1"/>
  <c r="R201" i="31" s="1"/>
  <c r="R76" i="31"/>
  <c r="R75" i="31" s="1"/>
  <c r="G44" i="32" s="1"/>
  <c r="N76" i="31"/>
  <c r="R116" i="31" a="1"/>
  <c r="R116" i="31" s="1"/>
  <c r="L59" i="31" a="1"/>
  <c r="L59" i="31" s="1"/>
  <c r="Q79" i="31" a="1"/>
  <c r="Q79" i="31" s="1"/>
  <c r="Q36" i="31" a="1"/>
  <c r="Q36" i="31" s="1"/>
  <c r="Q212" i="31" a="1"/>
  <c r="Q212" i="31" s="1"/>
  <c r="Q78" i="31" a="1"/>
  <c r="Q78" i="31" s="1"/>
  <c r="Q80" i="31" a="1"/>
  <c r="Q80" i="31" s="1"/>
  <c r="Q65" i="31" a="1"/>
  <c r="Q65" i="31" s="1"/>
  <c r="Q77" i="31" a="1"/>
  <c r="Q77" i="31" s="1"/>
  <c r="R20" i="31" a="1"/>
  <c r="R20" i="31" s="1"/>
  <c r="N20" i="31" a="1"/>
  <c r="N20" i="31" s="1"/>
  <c r="J20" i="31"/>
  <c r="F116" i="31"/>
  <c r="K20" i="31"/>
  <c r="C26" i="38"/>
  <c r="C40" i="38" s="1"/>
  <c r="E26" i="38"/>
  <c r="K19" i="31"/>
  <c r="M112" i="31" a="1"/>
  <c r="M112" i="31" s="1"/>
  <c r="K112" i="31" s="1"/>
  <c r="M111" i="31" a="1"/>
  <c r="M111" i="31" s="1"/>
  <c r="K111" i="31" s="1"/>
  <c r="L216" i="31" a="1"/>
  <c r="L216" i="31" s="1"/>
  <c r="I216" i="31" a="1"/>
  <c r="I216" i="31" s="1"/>
  <c r="J216" i="31" s="1"/>
  <c r="H216" i="31" a="1"/>
  <c r="H216" i="31" s="1"/>
  <c r="G216" i="31" a="1"/>
  <c r="G216" i="31" s="1"/>
  <c r="L202" i="31" a="1"/>
  <c r="L202" i="31" s="1"/>
  <c r="G202" i="31" a="1"/>
  <c r="G202" i="31" s="1"/>
  <c r="H202" i="31" a="1"/>
  <c r="H202" i="31" s="1"/>
  <c r="I202" i="31" a="1"/>
  <c r="I202" i="31" s="1"/>
  <c r="J202" i="31" s="1"/>
  <c r="H188" i="31" a="1"/>
  <c r="H188" i="31" s="1"/>
  <c r="I188" i="31" a="1"/>
  <c r="I188" i="31" s="1"/>
  <c r="J188" i="31" s="1"/>
  <c r="L188" i="31" a="1"/>
  <c r="L188" i="31" s="1"/>
  <c r="G188" i="31" a="1"/>
  <c r="G188" i="31" s="1"/>
  <c r="L175" i="31" a="1"/>
  <c r="L175" i="31" s="1"/>
  <c r="I175" i="31" a="1"/>
  <c r="I175" i="31" s="1"/>
  <c r="G175" i="31" a="1"/>
  <c r="G175" i="31" s="1"/>
  <c r="H175" i="31" a="1"/>
  <c r="H175" i="31" s="1"/>
  <c r="I158" i="31" a="1"/>
  <c r="I158" i="31" s="1"/>
  <c r="J158" i="31" s="1"/>
  <c r="M158" i="31" a="1"/>
  <c r="M158" i="31" s="1"/>
  <c r="K158" i="31" s="1"/>
  <c r="N158" i="31" s="1" a="1"/>
  <c r="N158" i="31" s="1"/>
  <c r="L158" i="31" a="1"/>
  <c r="L158" i="31" s="1"/>
  <c r="G158" i="31" a="1"/>
  <c r="G158" i="31" s="1"/>
  <c r="H158" i="31" a="1"/>
  <c r="H158" i="31" s="1"/>
  <c r="F149" i="31"/>
  <c r="I140" i="31" a="1"/>
  <c r="I140" i="31" s="1"/>
  <c r="J140" i="31" s="1"/>
  <c r="M140" i="31" a="1"/>
  <c r="M140" i="31" s="1"/>
  <c r="K140" i="31" s="1"/>
  <c r="N140" i="31" s="1" a="1"/>
  <c r="N140" i="31" s="1"/>
  <c r="G140" i="31" a="1"/>
  <c r="G140" i="31" s="1"/>
  <c r="L140" i="31" a="1"/>
  <c r="L140" i="31" s="1"/>
  <c r="H140" i="31" a="1"/>
  <c r="H140" i="31" s="1"/>
  <c r="F125" i="31"/>
  <c r="H101" i="31" a="1"/>
  <c r="H101" i="31" s="1"/>
  <c r="I101" i="31" a="1"/>
  <c r="I101" i="31" s="1"/>
  <c r="J101" i="31" s="1"/>
  <c r="L101" i="31" a="1"/>
  <c r="L101" i="31" s="1"/>
  <c r="G101" i="31" a="1"/>
  <c r="G101" i="31" s="1"/>
  <c r="H92" i="31" a="1"/>
  <c r="H92" i="31" s="1"/>
  <c r="I92" i="31" a="1"/>
  <c r="I92" i="31" s="1"/>
  <c r="J92" i="31" s="1"/>
  <c r="M92" i="31" a="1"/>
  <c r="M92" i="31" s="1"/>
  <c r="K92" i="31" s="1"/>
  <c r="N92" i="31" s="1" a="1"/>
  <c r="N92" i="31" s="1"/>
  <c r="L92" i="31" a="1"/>
  <c r="L92" i="31" s="1"/>
  <c r="G92" i="31" a="1"/>
  <c r="G92" i="31" s="1"/>
  <c r="H67" i="31" a="1"/>
  <c r="H67" i="31" s="1"/>
  <c r="I67" i="31" a="1"/>
  <c r="I67" i="31" s="1"/>
  <c r="J67" i="31" s="1"/>
  <c r="M67" i="31" a="1"/>
  <c r="M67" i="31" s="1"/>
  <c r="K67" i="31" s="1"/>
  <c r="N67" i="31" s="1" a="1"/>
  <c r="N67" i="31" s="1"/>
  <c r="L67" i="31" a="1"/>
  <c r="L67" i="31" s="1"/>
  <c r="G67" i="31" a="1"/>
  <c r="G67" i="31" s="1"/>
  <c r="G59" i="31" a="1"/>
  <c r="G59" i="31" s="1"/>
  <c r="H59" i="31" a="1"/>
  <c r="H59" i="31" s="1"/>
  <c r="I59" i="31" a="1"/>
  <c r="I59" i="31" s="1"/>
  <c r="M59" i="31" a="1"/>
  <c r="M59" i="31" s="1"/>
  <c r="G47" i="31" a="1"/>
  <c r="G47" i="31" s="1"/>
  <c r="H47" i="31" a="1"/>
  <c r="H47" i="31" s="1"/>
  <c r="I47" i="31" a="1"/>
  <c r="I47" i="31" s="1"/>
  <c r="J47" i="31" s="1"/>
  <c r="M47" i="31" a="1"/>
  <c r="M47" i="31" s="1"/>
  <c r="K47" i="31" s="1"/>
  <c r="N47" i="31" s="1" a="1"/>
  <c r="N47" i="31" s="1"/>
  <c r="L47" i="31" a="1"/>
  <c r="L47" i="31" s="1"/>
  <c r="G37" i="31" a="1"/>
  <c r="G37" i="31" s="1"/>
  <c r="H37" i="31" a="1"/>
  <c r="H37" i="31" s="1"/>
  <c r="I37" i="31" a="1"/>
  <c r="I37" i="31" s="1"/>
  <c r="J37" i="31" s="1"/>
  <c r="M37" i="31" a="1"/>
  <c r="M37" i="31" s="1"/>
  <c r="K37" i="31" s="1"/>
  <c r="N37" i="31" s="1" a="1"/>
  <c r="N37" i="31" s="1"/>
  <c r="L37" i="31" a="1"/>
  <c r="L37" i="31" s="1"/>
  <c r="F20" i="31"/>
  <c r="K59" i="31" l="1"/>
  <c r="N59" i="31" s="1" a="1"/>
  <c r="N59" i="31" s="1"/>
  <c r="S244" i="31"/>
  <c r="P64" i="31"/>
  <c r="S242" i="31"/>
  <c r="S243" i="31"/>
  <c r="Q239" i="31"/>
  <c r="Q238" i="31" s="1"/>
  <c r="F53" i="32" s="1"/>
  <c r="P239" i="31"/>
  <c r="P238" i="31" s="1"/>
  <c r="E53" i="32" s="1"/>
  <c r="S241" i="31"/>
  <c r="N71" i="31"/>
  <c r="Q73" i="31" a="1"/>
  <c r="Q73" i="31" s="1"/>
  <c r="S73" i="31" s="1"/>
  <c r="Q64" i="31" a="1"/>
  <c r="Q64" i="31" s="1"/>
  <c r="T71" i="31"/>
  <c r="R71" i="31"/>
  <c r="Q74" i="31" a="1"/>
  <c r="Q74" i="31" s="1"/>
  <c r="Q66" i="31" a="1"/>
  <c r="Q66" i="31" s="1"/>
  <c r="S66" i="31" s="1"/>
  <c r="P71" i="31"/>
  <c r="S72" i="31"/>
  <c r="S108" i="31"/>
  <c r="P258" i="31"/>
  <c r="Q106" i="31"/>
  <c r="S107" i="31"/>
  <c r="P106" i="31"/>
  <c r="Q258" i="31" a="1"/>
  <c r="Q258" i="31" s="1"/>
  <c r="P20" i="8"/>
  <c r="P16" i="8"/>
  <c r="O16" i="8"/>
  <c r="O20" i="8"/>
  <c r="S46" i="31"/>
  <c r="Q116" i="31" a="1"/>
  <c r="Q116" i="31" s="1"/>
  <c r="S36" i="31"/>
  <c r="Q149" i="31" a="1"/>
  <c r="Q149" i="31" s="1"/>
  <c r="N75" i="31"/>
  <c r="C53" i="32"/>
  <c r="N13" i="7"/>
  <c r="L13" i="7"/>
  <c r="M13" i="7"/>
  <c r="L12" i="7"/>
  <c r="M12" i="7"/>
  <c r="N12" i="7"/>
  <c r="T257" i="31"/>
  <c r="T251" i="31" s="1"/>
  <c r="H18" i="32" s="1"/>
  <c r="T111" i="31" a="1"/>
  <c r="T111" i="31" s="1"/>
  <c r="T21" i="31" a="1"/>
  <c r="T21" i="31" s="1"/>
  <c r="T112" i="31" a="1"/>
  <c r="T112" i="31" s="1"/>
  <c r="P261" i="31"/>
  <c r="S65" i="31"/>
  <c r="O175" i="31"/>
  <c r="P175" i="31"/>
  <c r="O101" i="31"/>
  <c r="O188" i="31"/>
  <c r="O59" i="31"/>
  <c r="P140" i="31"/>
  <c r="O140" i="31"/>
  <c r="O202" i="31"/>
  <c r="P47" i="31"/>
  <c r="O47" i="31"/>
  <c r="O158" i="31"/>
  <c r="P158" i="31"/>
  <c r="P37" i="31"/>
  <c r="O37" i="31"/>
  <c r="P92" i="31"/>
  <c r="O92" i="31"/>
  <c r="P259" i="31"/>
  <c r="O67" i="31"/>
  <c r="O216" i="31"/>
  <c r="P201" i="31"/>
  <c r="P260" i="31"/>
  <c r="P198" i="31"/>
  <c r="T140" i="31" a="1"/>
  <c r="T140" i="31" s="1"/>
  <c r="T37" i="31" a="1"/>
  <c r="T37" i="31" s="1"/>
  <c r="T158" i="31" a="1"/>
  <c r="T158" i="31" s="1"/>
  <c r="T92" i="31" a="1"/>
  <c r="T92" i="31" s="1"/>
  <c r="T67" i="31" a="1"/>
  <c r="T67" i="31" s="1"/>
  <c r="T47" i="31" a="1"/>
  <c r="T47" i="31" s="1"/>
  <c r="T175" i="31" a="1"/>
  <c r="T175" i="31" s="1"/>
  <c r="S77" i="31"/>
  <c r="S78" i="31"/>
  <c r="S79" i="31"/>
  <c r="S212" i="31"/>
  <c r="S80" i="31"/>
  <c r="Q125" i="31" a="1"/>
  <c r="Q125" i="31" s="1"/>
  <c r="R158" i="31" a="1"/>
  <c r="R158" i="31" s="1"/>
  <c r="R140" i="31" a="1"/>
  <c r="R140" i="31" s="1"/>
  <c r="R257" i="31"/>
  <c r="R251" i="31" s="1"/>
  <c r="G54" i="32" s="1"/>
  <c r="N257" i="31"/>
  <c r="N175" i="31" a="1"/>
  <c r="N175" i="31" s="1"/>
  <c r="Q261" i="31" a="1"/>
  <c r="Q261" i="31" s="1"/>
  <c r="Q260" i="31" a="1"/>
  <c r="Q260" i="31" s="1"/>
  <c r="R111" i="31" a="1"/>
  <c r="R111" i="31" s="1"/>
  <c r="N111" i="31" a="1"/>
  <c r="N111" i="31" s="1"/>
  <c r="P111" i="31" s="1"/>
  <c r="N112" i="31" a="1"/>
  <c r="N112" i="31" s="1"/>
  <c r="R112" i="31" a="1"/>
  <c r="R112" i="31" s="1"/>
  <c r="G117" i="31" a="1"/>
  <c r="G117" i="31" s="1"/>
  <c r="Q76" i="31"/>
  <c r="Q75" i="31" s="1"/>
  <c r="F44" i="32" s="1"/>
  <c r="P76" i="31"/>
  <c r="P75" i="31" s="1"/>
  <c r="E44" i="32" s="1"/>
  <c r="R92" i="31" a="1"/>
  <c r="R92" i="31" s="1"/>
  <c r="R67" i="31" a="1"/>
  <c r="R67" i="31" s="1"/>
  <c r="J59" i="31"/>
  <c r="R47" i="31" a="1"/>
  <c r="R47" i="31" s="1"/>
  <c r="R37" i="31" a="1"/>
  <c r="R37" i="31" s="1"/>
  <c r="Q259" i="31" a="1"/>
  <c r="Q259" i="31" s="1"/>
  <c r="Q198" i="31" a="1"/>
  <c r="Q198" i="31" s="1"/>
  <c r="Q201" i="31" a="1"/>
  <c r="Q201" i="31" s="1"/>
  <c r="Q20" i="31" a="1"/>
  <c r="Q20" i="31" s="1"/>
  <c r="N21" i="31" a="1"/>
  <c r="N21" i="31" s="1"/>
  <c r="R21" i="31" a="1"/>
  <c r="R21" i="31" s="1"/>
  <c r="M21" i="31" a="1"/>
  <c r="M21" i="31" s="1"/>
  <c r="K21" i="31" s="1"/>
  <c r="L21" i="31" a="1"/>
  <c r="L21" i="31" s="1"/>
  <c r="L117" i="31" a="1"/>
  <c r="L117" i="31" s="1"/>
  <c r="M117" i="31" a="1"/>
  <c r="M117" i="31" s="1"/>
  <c r="K117" i="31" s="1"/>
  <c r="N117" i="31" s="1" a="1"/>
  <c r="N117" i="31" s="1"/>
  <c r="I117" i="31" a="1"/>
  <c r="I117" i="31" s="1"/>
  <c r="J117" i="31" s="1"/>
  <c r="H117" i="31" a="1"/>
  <c r="H117" i="31" s="1"/>
  <c r="J175" i="31"/>
  <c r="F216" i="31"/>
  <c r="F202" i="31"/>
  <c r="F188" i="31"/>
  <c r="F175" i="31"/>
  <c r="F158" i="31"/>
  <c r="I150" i="31" a="1"/>
  <c r="I150" i="31" s="1"/>
  <c r="J150" i="31" s="1"/>
  <c r="M150" i="31" a="1"/>
  <c r="M150" i="31" s="1"/>
  <c r="K150" i="31" s="1"/>
  <c r="N150" i="31" s="1" a="1"/>
  <c r="N150" i="31" s="1"/>
  <c r="L150" i="31" a="1"/>
  <c r="L150" i="31" s="1"/>
  <c r="G150" i="31" a="1"/>
  <c r="G150" i="31" s="1"/>
  <c r="H150" i="31" a="1"/>
  <c r="H150" i="31" s="1"/>
  <c r="F140" i="31"/>
  <c r="I126" i="31" a="1"/>
  <c r="I126" i="31" s="1"/>
  <c r="J126" i="31" s="1"/>
  <c r="M126" i="31" a="1"/>
  <c r="M126" i="31" s="1"/>
  <c r="K126" i="31" s="1"/>
  <c r="N126" i="31" s="1" a="1"/>
  <c r="N126" i="31" s="1"/>
  <c r="H126" i="31" a="1"/>
  <c r="H126" i="31" s="1"/>
  <c r="L126" i="31" a="1"/>
  <c r="L126" i="31" s="1"/>
  <c r="G126" i="31" a="1"/>
  <c r="G126" i="31" s="1"/>
  <c r="F101" i="31"/>
  <c r="F92" i="31"/>
  <c r="F67" i="31"/>
  <c r="F59" i="31"/>
  <c r="F47" i="31"/>
  <c r="F37" i="31"/>
  <c r="G21" i="31" a="1"/>
  <c r="G21" i="31" s="1"/>
  <c r="H21" i="31" a="1"/>
  <c r="H21" i="31" s="1"/>
  <c r="I21" i="31" a="1"/>
  <c r="I21" i="31" s="1"/>
  <c r="T59" i="31" l="1" a="1"/>
  <c r="T59" i="31" s="1"/>
  <c r="R59" i="31" a="1"/>
  <c r="R59" i="31" s="1"/>
  <c r="P59" i="31" s="1"/>
  <c r="S64" i="31"/>
  <c r="Q71" i="31"/>
  <c r="S74" i="31"/>
  <c r="S71" i="31" s="1"/>
  <c r="L226" i="31" a="1"/>
  <c r="L226" i="31" s="1"/>
  <c r="I226" i="31" a="1"/>
  <c r="I226" i="31" s="1"/>
  <c r="H226" i="31" a="1"/>
  <c r="H226" i="31" s="1"/>
  <c r="G226" i="31" a="1"/>
  <c r="G226" i="31" s="1"/>
  <c r="M226" i="31" a="1"/>
  <c r="M226" i="31" s="1"/>
  <c r="K226" i="31" s="1"/>
  <c r="S106" i="31"/>
  <c r="M29" i="30" s="1"/>
  <c r="S258" i="31"/>
  <c r="L14" i="7"/>
  <c r="P112" i="31"/>
  <c r="S149" i="31"/>
  <c r="N14" i="7"/>
  <c r="M14" i="7"/>
  <c r="S20" i="31"/>
  <c r="Q158" i="31" a="1"/>
  <c r="Q158" i="31" s="1"/>
  <c r="Q140" i="31" a="1"/>
  <c r="Q140" i="31" s="1"/>
  <c r="Q37" i="31" a="1"/>
  <c r="Q37" i="31" s="1"/>
  <c r="Q92" i="31" a="1"/>
  <c r="Q92" i="31" s="1"/>
  <c r="S125" i="31"/>
  <c r="S116" i="31"/>
  <c r="C44" i="32"/>
  <c r="Q175" i="31" a="1"/>
  <c r="Q175" i="31" s="1"/>
  <c r="N251" i="31"/>
  <c r="S261" i="31"/>
  <c r="P117" i="31"/>
  <c r="O117" i="31"/>
  <c r="P126" i="31"/>
  <c r="O126" i="31"/>
  <c r="P21" i="31"/>
  <c r="O21" i="31"/>
  <c r="P67" i="31"/>
  <c r="P150" i="31"/>
  <c r="O150" i="31"/>
  <c r="P257" i="31"/>
  <c r="P251" i="31" s="1"/>
  <c r="E54" i="32" s="1"/>
  <c r="T117" i="31" a="1"/>
  <c r="T117" i="31" s="1"/>
  <c r="T126" i="31" a="1"/>
  <c r="T126" i="31" s="1"/>
  <c r="T150" i="31" a="1"/>
  <c r="T150" i="31" s="1"/>
  <c r="S198" i="31"/>
  <c r="S201" i="31"/>
  <c r="S260" i="31"/>
  <c r="Q257" i="31"/>
  <c r="Q251" i="31" s="1"/>
  <c r="F54" i="32" s="1"/>
  <c r="S259" i="31"/>
  <c r="R126" i="31" a="1"/>
  <c r="R126" i="31" s="1"/>
  <c r="R150" i="31" a="1"/>
  <c r="R150" i="31" s="1"/>
  <c r="R117" i="31" a="1"/>
  <c r="R117" i="31" s="1"/>
  <c r="L60" i="31" a="1"/>
  <c r="L60" i="31" s="1"/>
  <c r="Q235" i="31" a="1"/>
  <c r="Q235" i="31" s="1"/>
  <c r="Q215" i="31" a="1"/>
  <c r="Q215" i="31" s="1"/>
  <c r="Q236" i="31" a="1"/>
  <c r="Q236" i="31" s="1"/>
  <c r="Q199" i="31" a="1"/>
  <c r="Q199" i="31" s="1"/>
  <c r="Q67" i="31" a="1"/>
  <c r="Q67" i="31" s="1"/>
  <c r="Q111" i="31" a="1"/>
  <c r="Q111" i="31" s="1"/>
  <c r="Q59" i="31" a="1"/>
  <c r="Q59" i="31" s="1"/>
  <c r="Q47" i="31" a="1"/>
  <c r="Q47" i="31" s="1"/>
  <c r="Q213" i="31" a="1"/>
  <c r="Q213" i="31" s="1"/>
  <c r="Q187" i="31" a="1"/>
  <c r="Q187" i="31" s="1"/>
  <c r="Q112" i="31" a="1"/>
  <c r="Q112" i="31" s="1"/>
  <c r="Q21" i="31" a="1"/>
  <c r="Q21" i="31" s="1"/>
  <c r="J21" i="31"/>
  <c r="F117" i="31"/>
  <c r="L217" i="31" a="1"/>
  <c r="L217" i="31" s="1"/>
  <c r="M217" i="31" a="1"/>
  <c r="M217" i="31" s="1"/>
  <c r="K217" i="31" s="1"/>
  <c r="I217" i="31" a="1"/>
  <c r="I217" i="31" s="1"/>
  <c r="J217" i="31" s="1"/>
  <c r="H217" i="31" a="1"/>
  <c r="H217" i="31" s="1"/>
  <c r="G217" i="31" a="1"/>
  <c r="G217" i="31" s="1"/>
  <c r="L203" i="31" a="1"/>
  <c r="L203" i="31" s="1"/>
  <c r="G203" i="31" a="1"/>
  <c r="G203" i="31" s="1"/>
  <c r="H203" i="31" a="1"/>
  <c r="H203" i="31" s="1"/>
  <c r="I203" i="31" a="1"/>
  <c r="I203" i="31" s="1"/>
  <c r="J203" i="31" s="1"/>
  <c r="M203" i="31" a="1"/>
  <c r="M203" i="31" s="1"/>
  <c r="K203" i="31" s="1"/>
  <c r="R203" i="31" s="1" a="1"/>
  <c r="R203" i="31" s="1"/>
  <c r="I189" i="31" a="1"/>
  <c r="I189" i="31" s="1"/>
  <c r="J189" i="31" s="1"/>
  <c r="L189" i="31" a="1"/>
  <c r="L189" i="31" s="1"/>
  <c r="G189" i="31" a="1"/>
  <c r="G189" i="31" s="1"/>
  <c r="H189" i="31" a="1"/>
  <c r="H189" i="31" s="1"/>
  <c r="M189" i="31" a="1"/>
  <c r="M189" i="31" s="1"/>
  <c r="K189" i="31" s="1"/>
  <c r="R189" i="31" s="1" a="1"/>
  <c r="R189" i="31" s="1"/>
  <c r="I176" i="31" a="1"/>
  <c r="I176" i="31" s="1"/>
  <c r="J176" i="31" s="1"/>
  <c r="H176" i="31" a="1"/>
  <c r="H176" i="31" s="1"/>
  <c r="L176" i="31" a="1"/>
  <c r="L176" i="31" s="1"/>
  <c r="G176" i="31" a="1"/>
  <c r="G176" i="31" s="1"/>
  <c r="I159" i="31" a="1"/>
  <c r="I159" i="31" s="1"/>
  <c r="J159" i="31" s="1"/>
  <c r="M159" i="31" a="1"/>
  <c r="M159" i="31" s="1"/>
  <c r="K159" i="31" s="1"/>
  <c r="N159" i="31" s="1" a="1"/>
  <c r="N159" i="31" s="1"/>
  <c r="L159" i="31" a="1"/>
  <c r="L159" i="31" s="1"/>
  <c r="H159" i="31" a="1"/>
  <c r="H159" i="31" s="1"/>
  <c r="G159" i="31" a="1"/>
  <c r="G159" i="31" s="1"/>
  <c r="F150" i="31"/>
  <c r="I141" i="31" a="1"/>
  <c r="I141" i="31" s="1"/>
  <c r="J141" i="31" s="1"/>
  <c r="M141" i="31" a="1"/>
  <c r="M141" i="31" s="1"/>
  <c r="K141" i="31" s="1"/>
  <c r="N141" i="31" s="1" a="1"/>
  <c r="N141" i="31" s="1"/>
  <c r="L141" i="31" a="1"/>
  <c r="L141" i="31" s="1"/>
  <c r="G141" i="31" a="1"/>
  <c r="G141" i="31" s="1"/>
  <c r="H141" i="31" a="1"/>
  <c r="H141" i="31" s="1"/>
  <c r="F126" i="31"/>
  <c r="I102" i="31" a="1"/>
  <c r="I102" i="31" s="1"/>
  <c r="J102" i="31" s="1"/>
  <c r="G102" i="31" a="1"/>
  <c r="G102" i="31" s="1"/>
  <c r="L102" i="31" a="1"/>
  <c r="L102" i="31" s="1"/>
  <c r="H102" i="31" a="1"/>
  <c r="H102" i="31" s="1"/>
  <c r="I93" i="31" a="1"/>
  <c r="I93" i="31" s="1"/>
  <c r="J93" i="31" s="1"/>
  <c r="H93" i="31" a="1"/>
  <c r="H93" i="31" s="1"/>
  <c r="M93" i="31" a="1"/>
  <c r="M93" i="31" s="1"/>
  <c r="K93" i="31" s="1"/>
  <c r="N93" i="31" s="1" a="1"/>
  <c r="N93" i="31" s="1"/>
  <c r="L93" i="31" a="1"/>
  <c r="L93" i="31" s="1"/>
  <c r="G93" i="31" a="1"/>
  <c r="G93" i="31" s="1"/>
  <c r="I68" i="31" a="1"/>
  <c r="I68" i="31" s="1"/>
  <c r="J68" i="31" s="1"/>
  <c r="H68" i="31" a="1"/>
  <c r="H68" i="31" s="1"/>
  <c r="L68" i="31" a="1"/>
  <c r="L68" i="31" s="1"/>
  <c r="G68" i="31" a="1"/>
  <c r="G68" i="31" s="1"/>
  <c r="G60" i="31" a="1"/>
  <c r="G60" i="31" s="1"/>
  <c r="H60" i="31" a="1"/>
  <c r="H60" i="31" s="1"/>
  <c r="I60" i="31" a="1"/>
  <c r="I60" i="31" s="1"/>
  <c r="M60" i="31" a="1"/>
  <c r="M60" i="31" s="1"/>
  <c r="K60" i="31" s="1"/>
  <c r="N60" i="31" s="1" a="1"/>
  <c r="N60" i="31" s="1"/>
  <c r="G48" i="31" a="1"/>
  <c r="G48" i="31" s="1"/>
  <c r="H48" i="31" a="1"/>
  <c r="H48" i="31" s="1"/>
  <c r="I48" i="31" a="1"/>
  <c r="I48" i="31" s="1"/>
  <c r="J48" i="31" s="1"/>
  <c r="L48" i="31" a="1"/>
  <c r="L48" i="31" s="1"/>
  <c r="G38" i="31" a="1"/>
  <c r="G38" i="31" s="1"/>
  <c r="H38" i="31" a="1"/>
  <c r="H38" i="31" s="1"/>
  <c r="I38" i="31" a="1"/>
  <c r="I38" i="31" s="1"/>
  <c r="J38" i="31" s="1"/>
  <c r="M38" i="31" a="1"/>
  <c r="M38" i="31" s="1"/>
  <c r="K38" i="31" s="1"/>
  <c r="L38" i="31" a="1"/>
  <c r="L38" i="31" s="1"/>
  <c r="F21" i="31"/>
  <c r="M21" i="30" l="1"/>
  <c r="R14" i="7"/>
  <c r="Q233" i="31"/>
  <c r="T226" i="31" a="1"/>
  <c r="T226" i="31" s="1"/>
  <c r="N226" i="31" a="1"/>
  <c r="N226" i="31" s="1"/>
  <c r="R226" i="31" a="1"/>
  <c r="R226" i="31" s="1"/>
  <c r="J226" i="31"/>
  <c r="F226" i="31"/>
  <c r="O226" i="31"/>
  <c r="S140" i="31"/>
  <c r="S37" i="31"/>
  <c r="S158" i="31"/>
  <c r="S175" i="31"/>
  <c r="Q150" i="31" a="1"/>
  <c r="Q150" i="31" s="1"/>
  <c r="O119" i="31"/>
  <c r="S111" i="31"/>
  <c r="S47" i="31"/>
  <c r="S59" i="31"/>
  <c r="S112" i="31"/>
  <c r="S92" i="31"/>
  <c r="C54" i="32"/>
  <c r="P93" i="31"/>
  <c r="O93" i="31"/>
  <c r="P141" i="31"/>
  <c r="O141" i="31"/>
  <c r="P176" i="31"/>
  <c r="O176" i="31"/>
  <c r="P38" i="31"/>
  <c r="O38" i="31"/>
  <c r="O203" i="31"/>
  <c r="O68" i="31"/>
  <c r="P60" i="31"/>
  <c r="O60" i="31"/>
  <c r="O102" i="31"/>
  <c r="P48" i="31"/>
  <c r="O48" i="31"/>
  <c r="O189" i="31"/>
  <c r="P159" i="31"/>
  <c r="O159" i="31"/>
  <c r="S67" i="31"/>
  <c r="O217" i="31"/>
  <c r="T93" i="31" a="1"/>
  <c r="T93" i="31" s="1"/>
  <c r="T60" i="31" a="1"/>
  <c r="T60" i="31" s="1"/>
  <c r="T141" i="31" a="1"/>
  <c r="T141" i="31" s="1"/>
  <c r="T203" i="31" a="1"/>
  <c r="T203" i="31" s="1"/>
  <c r="T189" i="31" a="1"/>
  <c r="T189" i="31" s="1"/>
  <c r="T159" i="31" a="1"/>
  <c r="T159" i="31" s="1"/>
  <c r="S187" i="31"/>
  <c r="S236" i="31"/>
  <c r="S21" i="31"/>
  <c r="S199" i="31"/>
  <c r="S215" i="31"/>
  <c r="S213" i="31"/>
  <c r="S235" i="31"/>
  <c r="R159" i="31" a="1"/>
  <c r="R159" i="31" s="1"/>
  <c r="N189" i="31" a="1"/>
  <c r="N189" i="31" s="1"/>
  <c r="R141" i="31" a="1"/>
  <c r="R141" i="31" s="1"/>
  <c r="N203" i="31" a="1"/>
  <c r="N203" i="31" s="1"/>
  <c r="H118" i="31" a="1"/>
  <c r="H118" i="31" s="1"/>
  <c r="R93" i="31" a="1"/>
  <c r="R93" i="31" s="1"/>
  <c r="R60" i="31" a="1"/>
  <c r="R60" i="31" s="1"/>
  <c r="J60" i="31"/>
  <c r="Q117" i="31" a="1"/>
  <c r="Q117" i="31" s="1"/>
  <c r="Q126" i="31" a="1"/>
  <c r="Q126" i="31" s="1"/>
  <c r="M22" i="31" a="1"/>
  <c r="M22" i="31" s="1"/>
  <c r="K22" i="31" s="1"/>
  <c r="N22" i="31" s="1" a="1"/>
  <c r="N22" i="31" s="1"/>
  <c r="L22" i="31" a="1"/>
  <c r="L22" i="31" s="1"/>
  <c r="I118" i="31" a="1"/>
  <c r="I118" i="31" s="1"/>
  <c r="J118" i="31" s="1"/>
  <c r="L118" i="31" a="1"/>
  <c r="L118" i="31" s="1"/>
  <c r="M118" i="31" a="1"/>
  <c r="M118" i="31" s="1"/>
  <c r="K118" i="31" s="1"/>
  <c r="N118" i="31" s="1" a="1"/>
  <c r="N118" i="31" s="1"/>
  <c r="G118" i="31" a="1"/>
  <c r="G118" i="31" s="1"/>
  <c r="G22" i="31" a="1"/>
  <c r="G22" i="31" s="1"/>
  <c r="H22" i="31" a="1"/>
  <c r="H22" i="31" s="1"/>
  <c r="I22" i="31" a="1"/>
  <c r="I22" i="31" s="1"/>
  <c r="F217" i="31"/>
  <c r="F203" i="31"/>
  <c r="F189" i="31"/>
  <c r="F176" i="31"/>
  <c r="F159" i="31"/>
  <c r="I151" i="31" a="1"/>
  <c r="I151" i="31" s="1"/>
  <c r="J151" i="31" s="1"/>
  <c r="L151" i="31" a="1"/>
  <c r="L151" i="31" s="1"/>
  <c r="G151" i="31" a="1"/>
  <c r="G151" i="31" s="1"/>
  <c r="H151" i="31" a="1"/>
  <c r="H151" i="31" s="1"/>
  <c r="M151" i="31" a="1"/>
  <c r="M151" i="31" s="1"/>
  <c r="K151" i="31" s="1"/>
  <c r="N151" i="31" s="1" a="1"/>
  <c r="N151" i="31" s="1"/>
  <c r="F141" i="31"/>
  <c r="M127" i="31" a="1"/>
  <c r="M127" i="31" s="1"/>
  <c r="K127" i="31" s="1"/>
  <c r="N127" i="31" s="1" a="1"/>
  <c r="N127" i="31" s="1"/>
  <c r="L127" i="31" a="1"/>
  <c r="L127" i="31" s="1"/>
  <c r="I127" i="31" a="1"/>
  <c r="I127" i="31" s="1"/>
  <c r="J127" i="31" s="1"/>
  <c r="G127" i="31" a="1"/>
  <c r="G127" i="31" s="1"/>
  <c r="H127" i="31" a="1"/>
  <c r="H127" i="31" s="1"/>
  <c r="F102" i="31"/>
  <c r="F93" i="31"/>
  <c r="F68" i="31"/>
  <c r="F60" i="31"/>
  <c r="F48" i="31"/>
  <c r="F38" i="31"/>
  <c r="E7" i="30"/>
  <c r="E8" i="31" s="1"/>
  <c r="F8" i="31" s="1"/>
  <c r="M9" i="31" s="1" a="1"/>
  <c r="M9" i="31" s="1"/>
  <c r="K9" i="31" s="1"/>
  <c r="N181" i="8"/>
  <c r="G74" i="8"/>
  <c r="G72" i="8"/>
  <c r="G71" i="8"/>
  <c r="G70" i="8"/>
  <c r="G69" i="8"/>
  <c r="S233" i="31" l="1"/>
  <c r="Q226" i="31" a="1"/>
  <c r="Q226" i="31" s="1"/>
  <c r="P226" i="31"/>
  <c r="M227" i="31" a="1"/>
  <c r="M227" i="31" s="1"/>
  <c r="K227" i="31" s="1"/>
  <c r="R227" i="31" s="1" a="1"/>
  <c r="R227" i="31" s="1"/>
  <c r="L227" i="31" a="1"/>
  <c r="L227" i="31" s="1"/>
  <c r="I227" i="31" a="1"/>
  <c r="I227" i="31" s="1"/>
  <c r="H227" i="31" a="1"/>
  <c r="H227" i="31" s="1"/>
  <c r="G227" i="31" a="1"/>
  <c r="G227" i="31" s="1"/>
  <c r="O74" i="8"/>
  <c r="P74" i="8"/>
  <c r="N74" i="8"/>
  <c r="M74" i="8"/>
  <c r="L74" i="8"/>
  <c r="P71" i="8"/>
  <c r="M71" i="8"/>
  <c r="L71" i="8"/>
  <c r="O71" i="8"/>
  <c r="N71" i="8"/>
  <c r="O70" i="8"/>
  <c r="N70" i="8"/>
  <c r="M70" i="8"/>
  <c r="L70" i="8"/>
  <c r="P70" i="8"/>
  <c r="O69" i="8"/>
  <c r="N69" i="8"/>
  <c r="P69" i="8"/>
  <c r="L69" i="8"/>
  <c r="M69" i="8"/>
  <c r="M72" i="8"/>
  <c r="P72" i="8"/>
  <c r="N72" i="8"/>
  <c r="O72" i="8"/>
  <c r="L72" i="8"/>
  <c r="S150" i="31"/>
  <c r="Q141" i="31" a="1"/>
  <c r="Q141" i="31" s="1"/>
  <c r="S117" i="31"/>
  <c r="O54" i="31"/>
  <c r="O53" i="31" s="1"/>
  <c r="D42" i="32" s="1"/>
  <c r="S126" i="31"/>
  <c r="Q159" i="31" a="1"/>
  <c r="Q159" i="31" s="1"/>
  <c r="P203" i="31"/>
  <c r="P189" i="31"/>
  <c r="R9" i="31" a="1"/>
  <c r="R9" i="31" s="1"/>
  <c r="R8" i="31" s="1"/>
  <c r="R4" i="31" s="1"/>
  <c r="G38" i="32" s="1"/>
  <c r="G60" i="32" s="1"/>
  <c r="P118" i="31"/>
  <c r="O118" i="31"/>
  <c r="P22" i="31"/>
  <c r="O22" i="31"/>
  <c r="P151" i="31"/>
  <c r="O151" i="31"/>
  <c r="P127" i="31"/>
  <c r="O127" i="31"/>
  <c r="N9" i="31" a="1"/>
  <c r="N9" i="31" s="1"/>
  <c r="T8" i="31"/>
  <c r="T4" i="31" s="1"/>
  <c r="H2" i="32" s="1"/>
  <c r="T127" i="31" a="1"/>
  <c r="T127" i="31" s="1"/>
  <c r="T118" i="31" a="1"/>
  <c r="T118" i="31" s="1"/>
  <c r="T151" i="31" a="1"/>
  <c r="T151" i="31" s="1"/>
  <c r="T22" i="31" a="1"/>
  <c r="T22" i="31" s="1"/>
  <c r="Q189" i="31" a="1"/>
  <c r="Q189" i="31" s="1"/>
  <c r="R127" i="31" a="1"/>
  <c r="R127" i="31" s="1"/>
  <c r="R151" i="31" a="1"/>
  <c r="R151" i="31" s="1"/>
  <c r="R118" i="31" a="1"/>
  <c r="R118" i="31" s="1"/>
  <c r="S269" i="31"/>
  <c r="Q60" i="31" a="1"/>
  <c r="Q60" i="31" s="1"/>
  <c r="Q203" i="31" a="1"/>
  <c r="Q203" i="31" s="1"/>
  <c r="Q93" i="31" a="1"/>
  <c r="Q93" i="31" s="1"/>
  <c r="R22" i="31" a="1"/>
  <c r="R22" i="31" s="1"/>
  <c r="J22" i="31"/>
  <c r="F118" i="31"/>
  <c r="M174" i="31" a="1"/>
  <c r="M174" i="31" s="1"/>
  <c r="K174" i="31" s="1"/>
  <c r="M176" i="31" a="1"/>
  <c r="M176" i="31" s="1"/>
  <c r="K176" i="31" s="1"/>
  <c r="M171" i="31" a="1"/>
  <c r="M171" i="31" s="1"/>
  <c r="K171" i="31" s="1"/>
  <c r="M173" i="31" a="1"/>
  <c r="M173" i="31" s="1"/>
  <c r="K173" i="31" s="1"/>
  <c r="M172" i="31" a="1"/>
  <c r="M172" i="31" s="1"/>
  <c r="K172" i="31" s="1"/>
  <c r="H9" i="31" a="1"/>
  <c r="H9" i="31" s="1"/>
  <c r="I9" i="31" a="1"/>
  <c r="I9" i="31" s="1"/>
  <c r="L218" i="31" a="1"/>
  <c r="L218" i="31" s="1"/>
  <c r="H218" i="31" a="1"/>
  <c r="H218" i="31" s="1"/>
  <c r="G218" i="31" a="1"/>
  <c r="G218" i="31" s="1"/>
  <c r="I218" i="31" a="1"/>
  <c r="I218" i="31" s="1"/>
  <c r="J218" i="31" s="1"/>
  <c r="L204" i="31" a="1"/>
  <c r="L204" i="31" s="1"/>
  <c r="G204" i="31" a="1"/>
  <c r="G204" i="31" s="1"/>
  <c r="H204" i="31" a="1"/>
  <c r="H204" i="31" s="1"/>
  <c r="I204" i="31" a="1"/>
  <c r="I204" i="31" s="1"/>
  <c r="J204" i="31" s="1"/>
  <c r="I190" i="31" a="1"/>
  <c r="I190" i="31" s="1"/>
  <c r="J190" i="31" s="1"/>
  <c r="L190" i="31" a="1"/>
  <c r="L190" i="31" s="1"/>
  <c r="G190" i="31" a="1"/>
  <c r="G190" i="31" s="1"/>
  <c r="H190" i="31" a="1"/>
  <c r="H190" i="31" s="1"/>
  <c r="G177" i="31" a="1"/>
  <c r="G177" i="31" s="1"/>
  <c r="H177" i="31" a="1"/>
  <c r="H177" i="31" s="1"/>
  <c r="I177" i="31" a="1"/>
  <c r="I177" i="31" s="1"/>
  <c r="J177" i="31" s="1"/>
  <c r="M177" i="31" a="1"/>
  <c r="M177" i="31" s="1"/>
  <c r="K177" i="31" s="1"/>
  <c r="L177" i="31" a="1"/>
  <c r="L177" i="31" s="1"/>
  <c r="M160" i="31" a="1"/>
  <c r="M160" i="31" s="1"/>
  <c r="K160" i="31" s="1"/>
  <c r="R160" i="31" s="1" a="1"/>
  <c r="R160" i="31" s="1"/>
  <c r="L160" i="31" a="1"/>
  <c r="L160" i="31" s="1"/>
  <c r="G160" i="31" a="1"/>
  <c r="G160" i="31" s="1"/>
  <c r="H160" i="31" a="1"/>
  <c r="H160" i="31" s="1"/>
  <c r="I160" i="31" a="1"/>
  <c r="I160" i="31" s="1"/>
  <c r="J160" i="31" s="1"/>
  <c r="F151" i="31"/>
  <c r="M142" i="31" a="1"/>
  <c r="M142" i="31" s="1"/>
  <c r="K142" i="31" s="1"/>
  <c r="N142" i="31" s="1" a="1"/>
  <c r="N142" i="31" s="1"/>
  <c r="L142" i="31" a="1"/>
  <c r="L142" i="31" s="1"/>
  <c r="G142" i="31" a="1"/>
  <c r="G142" i="31" s="1"/>
  <c r="I142" i="31" a="1"/>
  <c r="I142" i="31" s="1"/>
  <c r="J142" i="31" s="1"/>
  <c r="H142" i="31" a="1"/>
  <c r="H142" i="31" s="1"/>
  <c r="F127" i="31"/>
  <c r="I103" i="31" a="1"/>
  <c r="I103" i="31" s="1"/>
  <c r="J103" i="31" s="1"/>
  <c r="H103" i="31" a="1"/>
  <c r="H103" i="31" s="1"/>
  <c r="L103" i="31" a="1"/>
  <c r="L103" i="31" s="1"/>
  <c r="G103" i="31" a="1"/>
  <c r="G103" i="31" s="1"/>
  <c r="I94" i="31" a="1"/>
  <c r="I94" i="31" s="1"/>
  <c r="J94" i="31" s="1"/>
  <c r="G94" i="31" a="1"/>
  <c r="G94" i="31" s="1"/>
  <c r="H94" i="31" a="1"/>
  <c r="H94" i="31" s="1"/>
  <c r="M94" i="31" a="1"/>
  <c r="M94" i="31" s="1"/>
  <c r="K94" i="31" s="1"/>
  <c r="R94" i="31" s="1" a="1"/>
  <c r="R94" i="31" s="1"/>
  <c r="L94" i="31" a="1"/>
  <c r="L94" i="31" s="1"/>
  <c r="I69" i="31" a="1"/>
  <c r="I69" i="31" s="1"/>
  <c r="J69" i="31" s="1"/>
  <c r="M69" i="31" a="1"/>
  <c r="M69" i="31" s="1"/>
  <c r="K69" i="31" s="1"/>
  <c r="N69" i="31" s="1" a="1"/>
  <c r="N69" i="31" s="1"/>
  <c r="G69" i="31" a="1"/>
  <c r="G69" i="31" s="1"/>
  <c r="L69" i="31" a="1"/>
  <c r="L69" i="31" s="1"/>
  <c r="H69" i="31" a="1"/>
  <c r="H69" i="31" s="1"/>
  <c r="G49" i="31" a="1"/>
  <c r="G49" i="31" s="1"/>
  <c r="H49" i="31" a="1"/>
  <c r="H49" i="31" s="1"/>
  <c r="I49" i="31" a="1"/>
  <c r="I49" i="31" s="1"/>
  <c r="J49" i="31" s="1"/>
  <c r="L49" i="31" a="1"/>
  <c r="L49" i="31" s="1"/>
  <c r="G39" i="31" a="1"/>
  <c r="G39" i="31" s="1"/>
  <c r="H39" i="31" a="1"/>
  <c r="H39" i="31" s="1"/>
  <c r="I39" i="31" a="1"/>
  <c r="I39" i="31" s="1"/>
  <c r="J39" i="31" s="1"/>
  <c r="L39" i="31" a="1"/>
  <c r="L39" i="31" s="1"/>
  <c r="M39" i="31" a="1"/>
  <c r="M39" i="31" s="1"/>
  <c r="F22" i="31"/>
  <c r="N16" i="8"/>
  <c r="T113" i="31" s="1" a="1"/>
  <c r="T113" i="31" s="1"/>
  <c r="N20" i="8"/>
  <c r="S23" i="10"/>
  <c r="T23" i="10"/>
  <c r="K39" i="31" l="1"/>
  <c r="N39" i="31" s="1" a="1"/>
  <c r="N39" i="31" s="1"/>
  <c r="S226" i="31"/>
  <c r="B4" i="37" a="1"/>
  <c r="B4" i="37" s="1"/>
  <c r="T227" i="31" a="1"/>
  <c r="T227" i="31" s="1"/>
  <c r="O227" i="31"/>
  <c r="J227" i="31"/>
  <c r="F227" i="31"/>
  <c r="N227" i="31" a="1"/>
  <c r="N227" i="31" s="1"/>
  <c r="M66" i="30"/>
  <c r="O75" i="8"/>
  <c r="P75" i="8"/>
  <c r="S159" i="31"/>
  <c r="S93" i="31"/>
  <c r="O15" i="31"/>
  <c r="O14" i="31" s="1"/>
  <c r="D39" i="32" s="1"/>
  <c r="P15" i="31"/>
  <c r="P14" i="31" s="1"/>
  <c r="E39" i="32" s="1"/>
  <c r="Q22" i="31" a="1"/>
  <c r="Q22" i="31" s="1"/>
  <c r="O110" i="31"/>
  <c r="O109" i="31" s="1"/>
  <c r="D47" i="32" s="1"/>
  <c r="S60" i="31"/>
  <c r="Q127" i="31" a="1"/>
  <c r="Q127" i="31" s="1"/>
  <c r="S141" i="31"/>
  <c r="T174" i="31" a="1"/>
  <c r="T174" i="31" s="1"/>
  <c r="T172" i="31" a="1"/>
  <c r="T172" i="31" s="1"/>
  <c r="T176" i="31" a="1"/>
  <c r="T176" i="31" s="1"/>
  <c r="T173" i="31" a="1"/>
  <c r="T173" i="31" s="1"/>
  <c r="T171" i="31" a="1"/>
  <c r="T171" i="31" s="1"/>
  <c r="T110" i="31"/>
  <c r="O49" i="31"/>
  <c r="P49" i="31"/>
  <c r="P177" i="31"/>
  <c r="O177" i="31"/>
  <c r="O103" i="31"/>
  <c r="P94" i="31"/>
  <c r="O94" i="31"/>
  <c r="O204" i="31"/>
  <c r="P160" i="31"/>
  <c r="O160" i="31"/>
  <c r="O39" i="31"/>
  <c r="P39" i="31"/>
  <c r="O190" i="31"/>
  <c r="P142" i="31"/>
  <c r="O142" i="31"/>
  <c r="O69" i="31"/>
  <c r="O218" i="31"/>
  <c r="T142" i="31" a="1"/>
  <c r="T142" i="31" s="1"/>
  <c r="T94" i="31" a="1"/>
  <c r="T94" i="31" s="1"/>
  <c r="T69" i="31" a="1"/>
  <c r="T69" i="31" s="1"/>
  <c r="T160" i="31" a="1"/>
  <c r="T160" i="31" s="1"/>
  <c r="S203" i="31"/>
  <c r="S189" i="31"/>
  <c r="N160" i="31" a="1"/>
  <c r="N160" i="31" s="1"/>
  <c r="R142" i="31" a="1"/>
  <c r="R142" i="31" s="1"/>
  <c r="N173" i="31" a="1"/>
  <c r="N173" i="31" s="1"/>
  <c r="R173" i="31" a="1"/>
  <c r="R173" i="31" s="1"/>
  <c r="R172" i="31" a="1"/>
  <c r="R172" i="31" s="1"/>
  <c r="N172" i="31" a="1"/>
  <c r="N172" i="31" s="1"/>
  <c r="N171" i="31" a="1"/>
  <c r="N171" i="31" s="1"/>
  <c r="R171" i="31" a="1"/>
  <c r="R171" i="31" s="1"/>
  <c r="N174" i="31" a="1"/>
  <c r="N174" i="31" s="1"/>
  <c r="R174" i="31" a="1"/>
  <c r="R174" i="31" s="1"/>
  <c r="N176" i="31" a="1"/>
  <c r="N176" i="31" s="1"/>
  <c r="R176" i="31" a="1"/>
  <c r="R176" i="31" s="1"/>
  <c r="Q118" i="31" a="1"/>
  <c r="Q118" i="31" s="1"/>
  <c r="R69" i="31" a="1"/>
  <c r="R69" i="31" s="1"/>
  <c r="N94" i="31" a="1"/>
  <c r="N94" i="31" s="1"/>
  <c r="Q9" i="31" a="1"/>
  <c r="Q9" i="31" s="1"/>
  <c r="Q151" i="31" a="1"/>
  <c r="Q151" i="31" s="1"/>
  <c r="F218" i="31"/>
  <c r="F204" i="31"/>
  <c r="F190" i="31"/>
  <c r="F177" i="31"/>
  <c r="F160" i="31"/>
  <c r="L152" i="31" a="1"/>
  <c r="L152" i="31" s="1"/>
  <c r="G152" i="31" a="1"/>
  <c r="G152" i="31" s="1"/>
  <c r="H152" i="31" a="1"/>
  <c r="H152" i="31" s="1"/>
  <c r="I152" i="31" a="1"/>
  <c r="I152" i="31" s="1"/>
  <c r="J152" i="31" s="1"/>
  <c r="M152" i="31" a="1"/>
  <c r="M152" i="31" s="1"/>
  <c r="K152" i="31" s="1"/>
  <c r="R152" i="31" s="1" a="1"/>
  <c r="R152" i="31" s="1"/>
  <c r="F142" i="31"/>
  <c r="F103" i="31"/>
  <c r="F94" i="31"/>
  <c r="F69" i="31"/>
  <c r="F49" i="31"/>
  <c r="F39" i="31"/>
  <c r="N75" i="8"/>
  <c r="M75" i="8"/>
  <c r="R177" i="31" s="1" a="1"/>
  <c r="R177" i="31" s="1"/>
  <c r="L75" i="8"/>
  <c r="T39" i="31" l="1" a="1"/>
  <c r="T39" i="31" s="1"/>
  <c r="R39" i="31" a="1"/>
  <c r="R39" i="31" s="1"/>
  <c r="Q39" i="31" s="1" a="1"/>
  <c r="Q39" i="31" s="1"/>
  <c r="N177" i="31" a="1"/>
  <c r="N177" i="31" s="1"/>
  <c r="N169" i="31" s="1"/>
  <c r="R75" i="8"/>
  <c r="B5" i="37" a="1"/>
  <c r="B5" i="37" s="1"/>
  <c r="Q227" i="31" a="1"/>
  <c r="Q227" i="31" s="1"/>
  <c r="P227" i="31"/>
  <c r="M228" i="31" a="1"/>
  <c r="M228" i="31" s="1"/>
  <c r="K228" i="31" s="1"/>
  <c r="N228" i="31" s="1" a="1"/>
  <c r="N228" i="31" s="1"/>
  <c r="N225" i="31" s="1"/>
  <c r="L228" i="31" a="1"/>
  <c r="L228" i="31" s="1"/>
  <c r="I228" i="31" a="1"/>
  <c r="I228" i="31" s="1"/>
  <c r="H228" i="31" a="1"/>
  <c r="H228" i="31" s="1"/>
  <c r="G228" i="31" a="1"/>
  <c r="G228" i="31" s="1"/>
  <c r="O211" i="31"/>
  <c r="Q69" i="31" a="1"/>
  <c r="Q69" i="31" s="1"/>
  <c r="S151" i="31"/>
  <c r="S127" i="31"/>
  <c r="O169" i="31"/>
  <c r="O168" i="31" s="1"/>
  <c r="D50" i="32" s="1"/>
  <c r="P169" i="31"/>
  <c r="P168" i="31" s="1"/>
  <c r="E50" i="32" s="1"/>
  <c r="O153" i="31"/>
  <c r="P153" i="31"/>
  <c r="O197" i="31"/>
  <c r="O87" i="31"/>
  <c r="O86" i="31" s="1"/>
  <c r="D45" i="32" s="1"/>
  <c r="S22" i="31"/>
  <c r="P87" i="31"/>
  <c r="P86" i="31" s="1"/>
  <c r="E45" i="32" s="1"/>
  <c r="Q160" i="31" a="1"/>
  <c r="Q160" i="31" s="1"/>
  <c r="T177" i="31" a="1"/>
  <c r="T177" i="31" s="1"/>
  <c r="P69" i="31"/>
  <c r="P152" i="31"/>
  <c r="O152" i="31"/>
  <c r="T152" i="31" a="1"/>
  <c r="T152" i="31" s="1"/>
  <c r="Q8" i="31"/>
  <c r="Q4" i="31" s="1"/>
  <c r="F38" i="32" s="1"/>
  <c r="F60" i="32" s="1"/>
  <c r="S9" i="31"/>
  <c r="S118" i="31"/>
  <c r="Q94" i="31" a="1"/>
  <c r="Q94" i="31" s="1"/>
  <c r="Q176" i="31" a="1"/>
  <c r="Q176" i="31" s="1"/>
  <c r="R169" i="31"/>
  <c r="R168" i="31" s="1"/>
  <c r="G50" i="32" s="1"/>
  <c r="N152" i="31" a="1"/>
  <c r="N152" i="31" s="1"/>
  <c r="Q171" i="31" a="1"/>
  <c r="Q171" i="31" s="1"/>
  <c r="Q174" i="31" a="1"/>
  <c r="Q174" i="31" s="1"/>
  <c r="Q173" i="31" a="1"/>
  <c r="Q173" i="31" s="1"/>
  <c r="Q172" i="31" a="1"/>
  <c r="Q172" i="31" s="1"/>
  <c r="Q142" i="31" a="1"/>
  <c r="Q142" i="31" s="1"/>
  <c r="H219" i="31" a="1"/>
  <c r="H219" i="31" s="1"/>
  <c r="I219" i="31" a="1"/>
  <c r="I219" i="31" s="1"/>
  <c r="M219" i="31" a="1"/>
  <c r="M219" i="31" s="1"/>
  <c r="K219" i="31" s="1"/>
  <c r="N219" i="31" s="1" a="1"/>
  <c r="N219" i="31" s="1"/>
  <c r="L219" i="31" a="1"/>
  <c r="L219" i="31" s="1"/>
  <c r="G219" i="31" a="1"/>
  <c r="G219" i="31" s="1"/>
  <c r="G205" i="31" a="1"/>
  <c r="G205" i="31" s="1"/>
  <c r="H205" i="31" a="1"/>
  <c r="H205" i="31" s="1"/>
  <c r="I205" i="31" a="1"/>
  <c r="I205" i="31" s="1"/>
  <c r="M205" i="31" a="1"/>
  <c r="M205" i="31" s="1"/>
  <c r="K205" i="31" s="1"/>
  <c r="L205" i="31" a="1"/>
  <c r="L205" i="31" s="1"/>
  <c r="G191" i="31" a="1"/>
  <c r="G191" i="31" s="1"/>
  <c r="H191" i="31" a="1"/>
  <c r="H191" i="31" s="1"/>
  <c r="I191" i="31" a="1"/>
  <c r="I191" i="31" s="1"/>
  <c r="M191" i="31" a="1"/>
  <c r="M191" i="31" s="1"/>
  <c r="K191" i="31" s="1"/>
  <c r="L191" i="31" a="1"/>
  <c r="L191" i="31" s="1"/>
  <c r="N8" i="31"/>
  <c r="N4" i="31" s="1"/>
  <c r="C38" i="32" s="1"/>
  <c r="C60" i="32" s="1"/>
  <c r="F152" i="31"/>
  <c r="M143" i="31" a="1"/>
  <c r="M143" i="31" s="1"/>
  <c r="L143" i="31" a="1"/>
  <c r="L143" i="31" s="1"/>
  <c r="I143" i="31" a="1"/>
  <c r="I143" i="31" s="1"/>
  <c r="J143" i="31" s="1"/>
  <c r="H143" i="31" a="1"/>
  <c r="H143" i="31" s="1"/>
  <c r="G143" i="31" a="1"/>
  <c r="G143" i="31" s="1"/>
  <c r="L104" i="31" a="1"/>
  <c r="L104" i="31" s="1"/>
  <c r="M104" i="31" a="1"/>
  <c r="M104" i="31" s="1"/>
  <c r="K104" i="31" s="1"/>
  <c r="H104" i="31" a="1"/>
  <c r="H104" i="31" s="1"/>
  <c r="I104" i="31" a="1"/>
  <c r="I104" i="31" s="1"/>
  <c r="J104" i="31" s="1"/>
  <c r="G104" i="31" a="1"/>
  <c r="G104" i="31" s="1"/>
  <c r="M70" i="31" a="1"/>
  <c r="M70" i="31" s="1"/>
  <c r="K70" i="31" s="1"/>
  <c r="L70" i="31" a="1"/>
  <c r="L70" i="31" s="1"/>
  <c r="G70" i="31" a="1"/>
  <c r="G70" i="31" s="1"/>
  <c r="H70" i="31" a="1"/>
  <c r="H70" i="31" s="1"/>
  <c r="I70" i="31" a="1"/>
  <c r="I70" i="31" s="1"/>
  <c r="J70" i="31" s="1"/>
  <c r="G50" i="31" a="1"/>
  <c r="G50" i="31" s="1"/>
  <c r="H50" i="31" a="1"/>
  <c r="H50" i="31" s="1"/>
  <c r="I50" i="31" a="1"/>
  <c r="I50" i="31" s="1"/>
  <c r="J50" i="31" s="1"/>
  <c r="L50" i="31" a="1"/>
  <c r="L50" i="31" s="1"/>
  <c r="G40" i="31" a="1"/>
  <c r="G40" i="31" s="1"/>
  <c r="H40" i="31" a="1"/>
  <c r="H40" i="31" s="1"/>
  <c r="I40" i="31" a="1"/>
  <c r="I40" i="31" s="1"/>
  <c r="J40" i="31" s="1"/>
  <c r="M40" i="31" a="1"/>
  <c r="M40" i="31" s="1"/>
  <c r="K40" i="31" s="1"/>
  <c r="N40" i="31" s="1" a="1"/>
  <c r="N40" i="31" s="1"/>
  <c r="L40" i="31" a="1"/>
  <c r="L40" i="31" s="1"/>
  <c r="G183" i="8"/>
  <c r="G108" i="8"/>
  <c r="G25" i="8"/>
  <c r="K143" i="31" l="1"/>
  <c r="N143" i="31" s="1" a="1"/>
  <c r="N143" i="31" s="1"/>
  <c r="Q177" i="31" a="1"/>
  <c r="Q177" i="31" s="1"/>
  <c r="Q169" i="31" s="1"/>
  <c r="Q168" i="31" s="1"/>
  <c r="F50" i="32" s="1"/>
  <c r="B6" i="37" a="1"/>
  <c r="B6" i="37" s="1"/>
  <c r="B7" i="37" s="1" a="1"/>
  <c r="B7" i="37" s="1"/>
  <c r="S227" i="31"/>
  <c r="T228" i="31" a="1"/>
  <c r="T228" i="31" s="1"/>
  <c r="T225" i="31" s="1"/>
  <c r="R228" i="31" a="1"/>
  <c r="R228" i="31" s="1"/>
  <c r="R225" i="31" s="1"/>
  <c r="J228" i="31"/>
  <c r="F228" i="31"/>
  <c r="O228" i="31"/>
  <c r="O225" i="31" s="1"/>
  <c r="N183" i="8"/>
  <c r="N187" i="8" s="1"/>
  <c r="M183" i="8"/>
  <c r="M187" i="8" s="1"/>
  <c r="L183" i="8"/>
  <c r="L187" i="8" s="1"/>
  <c r="O183" i="8"/>
  <c r="O187" i="8" s="1"/>
  <c r="P183" i="8"/>
  <c r="P187" i="8" s="1"/>
  <c r="L25" i="8"/>
  <c r="P25" i="8"/>
  <c r="P28" i="8" s="1"/>
  <c r="N25" i="8"/>
  <c r="N28" i="8" s="1"/>
  <c r="M25" i="8"/>
  <c r="O25" i="8"/>
  <c r="O28" i="8" s="1"/>
  <c r="N108" i="8"/>
  <c r="M108" i="8"/>
  <c r="L108" i="8"/>
  <c r="P108" i="8"/>
  <c r="O108" i="8"/>
  <c r="S39" i="31"/>
  <c r="S160" i="31"/>
  <c r="T169" i="31"/>
  <c r="T168" i="31" s="1"/>
  <c r="H14" i="32" s="1"/>
  <c r="S171" i="31"/>
  <c r="S173" i="31"/>
  <c r="S172" i="31"/>
  <c r="S176" i="31"/>
  <c r="O144" i="31"/>
  <c r="S174" i="31"/>
  <c r="S94" i="31"/>
  <c r="P144" i="31"/>
  <c r="S142" i="31"/>
  <c r="S69" i="31"/>
  <c r="N168" i="31"/>
  <c r="O104" i="31"/>
  <c r="P40" i="31"/>
  <c r="O40" i="31"/>
  <c r="P143" i="31"/>
  <c r="O143" i="31"/>
  <c r="S4" i="31"/>
  <c r="O191" i="31"/>
  <c r="O183" i="31" s="1"/>
  <c r="O205" i="31"/>
  <c r="P50" i="31"/>
  <c r="O50" i="31"/>
  <c r="O70" i="31"/>
  <c r="O219" i="31"/>
  <c r="T219" i="31" a="1"/>
  <c r="T219" i="31" s="1"/>
  <c r="T40" i="31" a="1"/>
  <c r="T40" i="31" s="1"/>
  <c r="Q152" i="31" a="1"/>
  <c r="Q152" i="31" s="1"/>
  <c r="R219" i="31" a="1"/>
  <c r="R219" i="31" s="1"/>
  <c r="R40" i="31" a="1"/>
  <c r="R40" i="31" s="1"/>
  <c r="J219" i="31"/>
  <c r="F219" i="31"/>
  <c r="J205" i="31"/>
  <c r="F205" i="31"/>
  <c r="F191" i="31"/>
  <c r="J191" i="31"/>
  <c r="M204" i="31" a="1"/>
  <c r="M204" i="31" s="1"/>
  <c r="K204" i="31" s="1"/>
  <c r="M190" i="31" a="1"/>
  <c r="M190" i="31" s="1"/>
  <c r="K190" i="31" s="1"/>
  <c r="M218" i="31" a="1"/>
  <c r="M218" i="31" s="1"/>
  <c r="K218" i="31" s="1"/>
  <c r="M120" i="31" a="1"/>
  <c r="M120" i="31" s="1"/>
  <c r="K120" i="31" s="1"/>
  <c r="M200" i="31" a="1"/>
  <c r="M200" i="31" s="1"/>
  <c r="K200" i="31" s="1"/>
  <c r="M186" i="31" a="1"/>
  <c r="M186" i="31" s="1"/>
  <c r="K186" i="31" s="1"/>
  <c r="M202" i="31" a="1"/>
  <c r="M202" i="31" s="1"/>
  <c r="K202" i="31" s="1"/>
  <c r="M188" i="31" a="1"/>
  <c r="M188" i="31" s="1"/>
  <c r="K188" i="31" s="1"/>
  <c r="F143" i="31"/>
  <c r="F104" i="31"/>
  <c r="F70" i="31"/>
  <c r="F50" i="31"/>
  <c r="F40" i="31"/>
  <c r="S10" i="10"/>
  <c r="T10" i="10"/>
  <c r="T143" i="31" l="1" a="1"/>
  <c r="T143" i="31" s="1"/>
  <c r="R143" i="31" a="1"/>
  <c r="R143" i="31" s="1"/>
  <c r="Q143" i="31" s="1" a="1"/>
  <c r="Q143" i="31" s="1"/>
  <c r="S177" i="31"/>
  <c r="R108" i="8"/>
  <c r="R187" i="8"/>
  <c r="B8" i="37" a="1"/>
  <c r="B8" i="37" s="1"/>
  <c r="P228" i="31"/>
  <c r="P225" i="31" s="1"/>
  <c r="Q228" i="31" a="1"/>
  <c r="Q228" i="31" s="1"/>
  <c r="Q225" i="31" s="1"/>
  <c r="I221" i="31" a="1"/>
  <c r="I221" i="31" s="1"/>
  <c r="M221" i="31" a="1"/>
  <c r="M221" i="31" s="1"/>
  <c r="K221" i="31" s="1"/>
  <c r="N221" i="31" s="1" a="1"/>
  <c r="N221" i="31" s="1"/>
  <c r="L221" i="31" a="1"/>
  <c r="L221" i="31" s="1"/>
  <c r="H221" i="31" a="1"/>
  <c r="H221" i="31" s="1"/>
  <c r="G221" i="31" a="1"/>
  <c r="G221" i="31" s="1"/>
  <c r="I207" i="31" a="1"/>
  <c r="I207" i="31" s="1"/>
  <c r="H207" i="31" a="1"/>
  <c r="H207" i="31" s="1"/>
  <c r="G207" i="31" a="1"/>
  <c r="G207" i="31" s="1"/>
  <c r="M207" i="31" a="1"/>
  <c r="M207" i="31" s="1"/>
  <c r="K207" i="31" s="1"/>
  <c r="N207" i="31" s="1" a="1"/>
  <c r="N207" i="31" s="1"/>
  <c r="L207" i="31" a="1"/>
  <c r="L207" i="31" s="1"/>
  <c r="I193" i="31" a="1"/>
  <c r="I193" i="31" s="1"/>
  <c r="H193" i="31" a="1"/>
  <c r="H193" i="31" s="1"/>
  <c r="G193" i="31" a="1"/>
  <c r="G193" i="31" s="1"/>
  <c r="M193" i="31" a="1"/>
  <c r="M193" i="31" s="1"/>
  <c r="K193" i="31" s="1"/>
  <c r="N193" i="31" s="1" a="1"/>
  <c r="N193" i="31" s="1"/>
  <c r="L193" i="31" a="1"/>
  <c r="L193" i="31" s="1"/>
  <c r="O62" i="31"/>
  <c r="P135" i="31"/>
  <c r="P134" i="31" s="1"/>
  <c r="E48" i="32" s="1"/>
  <c r="O32" i="31"/>
  <c r="O31" i="31" s="1"/>
  <c r="D40" i="32" s="1"/>
  <c r="Q219" i="31" a="1"/>
  <c r="Q219" i="31" s="1"/>
  <c r="O96" i="31"/>
  <c r="O95" i="31" s="1"/>
  <c r="O135" i="31"/>
  <c r="O134" i="31" s="1"/>
  <c r="D48" i="32" s="1"/>
  <c r="P32" i="31"/>
  <c r="P31" i="31" s="1"/>
  <c r="E40" i="32" s="1"/>
  <c r="S152" i="31"/>
  <c r="C50" i="32"/>
  <c r="T190" i="31" a="1"/>
  <c r="T190" i="31" s="1"/>
  <c r="T204" i="31" a="1"/>
  <c r="T204" i="31" s="1"/>
  <c r="T186" i="31" a="1"/>
  <c r="T186" i="31" s="1"/>
  <c r="T120" i="31" a="1"/>
  <c r="T120" i="31" s="1"/>
  <c r="T218" i="31" a="1"/>
  <c r="T218" i="31" s="1"/>
  <c r="T202" i="31" a="1"/>
  <c r="T202" i="31" s="1"/>
  <c r="T200" i="31" a="1"/>
  <c r="T200" i="31" s="1"/>
  <c r="T188" i="31" a="1"/>
  <c r="T188" i="31" s="1"/>
  <c r="B38" i="32"/>
  <c r="D2" i="32"/>
  <c r="T123" i="31" a="1"/>
  <c r="T123" i="31" s="1"/>
  <c r="P219" i="31"/>
  <c r="S266" i="31"/>
  <c r="D56" i="32"/>
  <c r="D77" i="32" s="1"/>
  <c r="N120" i="31" a="1"/>
  <c r="N120" i="31" s="1"/>
  <c r="R120" i="31" a="1"/>
  <c r="R120" i="31" s="1"/>
  <c r="N218" i="31" a="1"/>
  <c r="N218" i="31" s="1"/>
  <c r="R218" i="31" a="1"/>
  <c r="R218" i="31" s="1"/>
  <c r="R204" i="31" a="1"/>
  <c r="R204" i="31" s="1"/>
  <c r="N204" i="31" a="1"/>
  <c r="N204" i="31" s="1"/>
  <c r="N188" i="31" a="1"/>
  <c r="N188" i="31" s="1"/>
  <c r="R188" i="31" a="1"/>
  <c r="R188" i="31" s="1"/>
  <c r="N186" i="31" a="1"/>
  <c r="N186" i="31" s="1"/>
  <c r="R186" i="31" a="1"/>
  <c r="R186" i="31" s="1"/>
  <c r="N202" i="31" a="1"/>
  <c r="N202" i="31" s="1"/>
  <c r="R202" i="31" a="1"/>
  <c r="R202" i="31" s="1"/>
  <c r="N200" i="31" a="1"/>
  <c r="N200" i="31" s="1"/>
  <c r="R200" i="31" a="1"/>
  <c r="R200" i="31" s="1"/>
  <c r="N190" i="31" a="1"/>
  <c r="N190" i="31" s="1"/>
  <c r="R190" i="31" a="1"/>
  <c r="R190" i="31" s="1"/>
  <c r="Q40" i="31" a="1"/>
  <c r="Q40" i="31" s="1"/>
  <c r="L51" i="31" a="1"/>
  <c r="L51" i="31" s="1"/>
  <c r="M51" i="31" a="1"/>
  <c r="M51" i="31" s="1"/>
  <c r="K51" i="31" s="1"/>
  <c r="R51" i="31" s="1" a="1"/>
  <c r="R51" i="31" s="1"/>
  <c r="G51" i="31" a="1"/>
  <c r="G51" i="31" s="1"/>
  <c r="H51" i="31" a="1"/>
  <c r="H51" i="31" s="1"/>
  <c r="I51" i="31" a="1"/>
  <c r="I51" i="31" s="1"/>
  <c r="J51" i="31" s="1"/>
  <c r="G7" i="8"/>
  <c r="G6" i="8"/>
  <c r="G131" i="7"/>
  <c r="G59" i="7"/>
  <c r="G215" i="7"/>
  <c r="G213" i="7"/>
  <c r="G210" i="7"/>
  <c r="G209" i="7"/>
  <c r="G208" i="7"/>
  <c r="G9" i="7"/>
  <c r="G5" i="7"/>
  <c r="G80" i="5"/>
  <c r="G74" i="5"/>
  <c r="G67" i="5"/>
  <c r="G63" i="5"/>
  <c r="G54" i="5"/>
  <c r="K38" i="32" l="1"/>
  <c r="L38" i="32" s="1"/>
  <c r="I38" i="32"/>
  <c r="B9" i="37" a="1"/>
  <c r="B9" i="37" s="1"/>
  <c r="B10" i="37" s="1" a="1"/>
  <c r="B10" i="37" s="1"/>
  <c r="S228" i="31"/>
  <c r="S225" i="31" s="1"/>
  <c r="R221" i="31" a="1"/>
  <c r="R221" i="31" s="1"/>
  <c r="Q221" i="31" s="1" a="1"/>
  <c r="Q221" i="31" s="1"/>
  <c r="T221" i="31" a="1"/>
  <c r="T221" i="31" s="1"/>
  <c r="R207" i="31" a="1"/>
  <c r="R207" i="31" s="1"/>
  <c r="T207" i="31" a="1"/>
  <c r="T207" i="31" s="1"/>
  <c r="O221" i="31"/>
  <c r="J221" i="31"/>
  <c r="F221" i="31"/>
  <c r="O207" i="31"/>
  <c r="J207" i="31"/>
  <c r="F207" i="31"/>
  <c r="O193" i="31"/>
  <c r="R193" i="31" a="1"/>
  <c r="R193" i="31" s="1"/>
  <c r="T193" i="31" a="1"/>
  <c r="T193" i="31" s="1"/>
  <c r="J193" i="31"/>
  <c r="F193" i="31"/>
  <c r="O61" i="31"/>
  <c r="D43" i="32" s="1"/>
  <c r="D46" i="32"/>
  <c r="M64" i="30"/>
  <c r="T205" i="31" a="1"/>
  <c r="T205" i="31" s="1"/>
  <c r="T191" i="31" a="1"/>
  <c r="T191" i="31" s="1"/>
  <c r="T183" i="31" s="1"/>
  <c r="L7" i="8"/>
  <c r="M7" i="8"/>
  <c r="N7" i="8"/>
  <c r="O7" i="8"/>
  <c r="P7" i="8"/>
  <c r="P6" i="8"/>
  <c r="L6" i="8"/>
  <c r="N6" i="8"/>
  <c r="M6" i="8"/>
  <c r="O6" i="8"/>
  <c r="N74" i="5"/>
  <c r="P74" i="5"/>
  <c r="O74" i="5"/>
  <c r="P80" i="5"/>
  <c r="N80" i="5"/>
  <c r="O80" i="5"/>
  <c r="O67" i="5"/>
  <c r="N67" i="5"/>
  <c r="P67" i="5"/>
  <c r="N54" i="5"/>
  <c r="P54" i="5"/>
  <c r="O54" i="5"/>
  <c r="O63" i="5"/>
  <c r="N63" i="5"/>
  <c r="P63" i="5"/>
  <c r="O210" i="7"/>
  <c r="P210" i="7"/>
  <c r="P213" i="7"/>
  <c r="O213" i="7"/>
  <c r="P131" i="7"/>
  <c r="O131" i="7"/>
  <c r="P209" i="7"/>
  <c r="O209" i="7"/>
  <c r="O5" i="7"/>
  <c r="P5" i="7"/>
  <c r="P9" i="7"/>
  <c r="P10" i="7" s="1"/>
  <c r="O9" i="7"/>
  <c r="O10" i="7" s="1"/>
  <c r="O208" i="7"/>
  <c r="P208" i="7"/>
  <c r="P215" i="7"/>
  <c r="O215" i="7"/>
  <c r="O59" i="7"/>
  <c r="P59" i="7"/>
  <c r="S219" i="31"/>
  <c r="S40" i="31"/>
  <c r="S143" i="31"/>
  <c r="N209" i="7"/>
  <c r="L209" i="7"/>
  <c r="M209" i="7"/>
  <c r="L213" i="7"/>
  <c r="M213" i="7"/>
  <c r="N213" i="7"/>
  <c r="L5" i="7"/>
  <c r="N5" i="7"/>
  <c r="M5" i="7"/>
  <c r="M9" i="7"/>
  <c r="N9" i="7"/>
  <c r="L9" i="7"/>
  <c r="N208" i="7"/>
  <c r="L208" i="7"/>
  <c r="M208" i="7"/>
  <c r="M210" i="7"/>
  <c r="N210" i="7"/>
  <c r="L210" i="7"/>
  <c r="N215" i="7"/>
  <c r="L215" i="7"/>
  <c r="M215" i="7"/>
  <c r="L59" i="7"/>
  <c r="M59" i="7"/>
  <c r="N59" i="7"/>
  <c r="N131" i="7"/>
  <c r="L131" i="7"/>
  <c r="M131" i="7"/>
  <c r="T119" i="31"/>
  <c r="T197" i="31"/>
  <c r="L63" i="5"/>
  <c r="M63" i="5"/>
  <c r="M54" i="5"/>
  <c r="L54" i="5"/>
  <c r="L74" i="5"/>
  <c r="M74" i="5"/>
  <c r="L67" i="5"/>
  <c r="M67" i="5"/>
  <c r="L80" i="5"/>
  <c r="M80" i="5"/>
  <c r="B60" i="32"/>
  <c r="P186" i="31"/>
  <c r="P200" i="31"/>
  <c r="P188" i="31"/>
  <c r="P218" i="31"/>
  <c r="P120" i="31"/>
  <c r="P190" i="31"/>
  <c r="P51" i="31"/>
  <c r="O51" i="31"/>
  <c r="P204" i="31"/>
  <c r="P202" i="31"/>
  <c r="T51" i="31" a="1"/>
  <c r="T51" i="31" s="1"/>
  <c r="R197" i="31"/>
  <c r="N197" i="31"/>
  <c r="N51" i="31" a="1"/>
  <c r="N51" i="31" s="1"/>
  <c r="Q186" i="31" a="1"/>
  <c r="Q186" i="31" s="1"/>
  <c r="Q202" i="31" a="1"/>
  <c r="Q202" i="31" s="1"/>
  <c r="Q120" i="31" a="1"/>
  <c r="Q120" i="31" s="1"/>
  <c r="Q188" i="31" a="1"/>
  <c r="Q188" i="31" s="1"/>
  <c r="Q204" i="31" a="1"/>
  <c r="Q204" i="31" s="1"/>
  <c r="Q218" i="31" a="1"/>
  <c r="Q218" i="31" s="1"/>
  <c r="Q200" i="31" a="1"/>
  <c r="Q200" i="31" s="1"/>
  <c r="Q190" i="31" a="1"/>
  <c r="Q190" i="31" s="1"/>
  <c r="M56" i="31" a="1"/>
  <c r="M56" i="31" s="1"/>
  <c r="K56" i="31" s="1"/>
  <c r="M50" i="31" a="1"/>
  <c r="M50" i="31" s="1"/>
  <c r="M44" i="31" a="1"/>
  <c r="M44" i="31" s="1"/>
  <c r="K44" i="31" s="1"/>
  <c r="M130" i="31" a="1"/>
  <c r="M130" i="31" s="1"/>
  <c r="K130" i="31" s="1"/>
  <c r="M131" i="31" a="1"/>
  <c r="M131" i="31" s="1"/>
  <c r="K131" i="31" s="1"/>
  <c r="F51" i="31"/>
  <c r="G53" i="5"/>
  <c r="G62" i="5"/>
  <c r="G73" i="5"/>
  <c r="G130" i="7"/>
  <c r="G4" i="7"/>
  <c r="G5" i="8"/>
  <c r="G214" i="7"/>
  <c r="G28" i="5"/>
  <c r="K50" i="31" l="1"/>
  <c r="B11" i="37" a="1"/>
  <c r="B11" i="37" s="1"/>
  <c r="B12" i="37" s="1" a="1"/>
  <c r="B12" i="37" s="1"/>
  <c r="P221" i="31"/>
  <c r="S221" i="31" s="1"/>
  <c r="P207" i="31"/>
  <c r="Q207" i="31" a="1"/>
  <c r="Q207" i="31" s="1"/>
  <c r="L222" i="31" a="1"/>
  <c r="L222" i="31" s="1"/>
  <c r="G222" i="31" a="1"/>
  <c r="G222" i="31" s="1"/>
  <c r="M222" i="31" a="1"/>
  <c r="M222" i="31" s="1"/>
  <c r="K222" i="31" s="1"/>
  <c r="I222" i="31" a="1"/>
  <c r="I222" i="31" s="1"/>
  <c r="H222" i="31" a="1"/>
  <c r="H222" i="31" s="1"/>
  <c r="L208" i="31" a="1"/>
  <c r="L208" i="31" s="1"/>
  <c r="I208" i="31" a="1"/>
  <c r="I208" i="31" s="1"/>
  <c r="G208" i="31" a="1"/>
  <c r="G208" i="31" s="1"/>
  <c r="M208" i="31" a="1"/>
  <c r="M208" i="31" s="1"/>
  <c r="K208" i="31" s="1"/>
  <c r="R208" i="31" s="1" a="1"/>
  <c r="R208" i="31" s="1"/>
  <c r="H208" i="31" a="1"/>
  <c r="H208" i="31" s="1"/>
  <c r="P193" i="31"/>
  <c r="Q193" i="31" a="1"/>
  <c r="Q193" i="31" s="1"/>
  <c r="L194" i="31" a="1"/>
  <c r="L194" i="31" s="1"/>
  <c r="I194" i="31" a="1"/>
  <c r="I194" i="31" s="1"/>
  <c r="G194" i="31" a="1"/>
  <c r="G194" i="31" s="1"/>
  <c r="H194" i="31" a="1"/>
  <c r="H194" i="31" s="1"/>
  <c r="M194" i="31" a="1"/>
  <c r="M194" i="31" s="1"/>
  <c r="K194" i="31" s="1"/>
  <c r="R194" i="31" s="1" a="1"/>
  <c r="R194" i="31" s="1"/>
  <c r="D64" i="32"/>
  <c r="P211" i="7"/>
  <c r="P5" i="8"/>
  <c r="P8" i="8" s="1"/>
  <c r="L5" i="8"/>
  <c r="L8" i="8" s="1"/>
  <c r="N5" i="8"/>
  <c r="N8" i="8" s="1"/>
  <c r="T132" i="31" s="1" a="1"/>
  <c r="T132" i="31" s="1"/>
  <c r="O5" i="8"/>
  <c r="O8" i="8" s="1"/>
  <c r="M5" i="8"/>
  <c r="M8" i="8" s="1"/>
  <c r="R132" i="31" s="1" a="1"/>
  <c r="R132" i="31" s="1"/>
  <c r="O73" i="5"/>
  <c r="P73" i="5"/>
  <c r="N73" i="5"/>
  <c r="O28" i="5"/>
  <c r="N28" i="5"/>
  <c r="P28" i="5"/>
  <c r="O62" i="5"/>
  <c r="P62" i="5"/>
  <c r="N62" i="5"/>
  <c r="P53" i="5"/>
  <c r="N53" i="5"/>
  <c r="O53" i="5"/>
  <c r="O211" i="7"/>
  <c r="N63" i="7"/>
  <c r="P75" i="7"/>
  <c r="O75" i="7"/>
  <c r="O214" i="7"/>
  <c r="O216" i="7" s="1"/>
  <c r="P214" i="7"/>
  <c r="P216" i="7" s="1"/>
  <c r="O130" i="7"/>
  <c r="P130" i="7"/>
  <c r="O69" i="7"/>
  <c r="P69" i="7"/>
  <c r="P4" i="7"/>
  <c r="P7" i="7" s="1"/>
  <c r="O4" i="7"/>
  <c r="O7" i="7" s="1"/>
  <c r="P63" i="7"/>
  <c r="O63" i="7"/>
  <c r="M63" i="7"/>
  <c r="L63" i="7"/>
  <c r="L10" i="7"/>
  <c r="M10" i="7"/>
  <c r="R56" i="31" s="1" a="1"/>
  <c r="R56" i="31" s="1"/>
  <c r="P70" i="31"/>
  <c r="N130" i="7"/>
  <c r="L130" i="7"/>
  <c r="M130" i="7"/>
  <c r="L211" i="7"/>
  <c r="N10" i="7"/>
  <c r="T56" i="31" s="1" a="1"/>
  <c r="T56" i="31" s="1"/>
  <c r="N75" i="7"/>
  <c r="L75" i="7"/>
  <c r="M75" i="7"/>
  <c r="N4" i="7"/>
  <c r="N7" i="7" s="1"/>
  <c r="T58" i="31" s="1" a="1"/>
  <c r="T58" i="31" s="1"/>
  <c r="L4" i="7"/>
  <c r="L7" i="7" s="1"/>
  <c r="M4" i="7"/>
  <c r="M7" i="7" s="1"/>
  <c r="R58" i="31" s="1" a="1"/>
  <c r="R58" i="31" s="1"/>
  <c r="M211" i="7"/>
  <c r="N211" i="7"/>
  <c r="L214" i="7"/>
  <c r="L216" i="7" s="1"/>
  <c r="M214" i="7"/>
  <c r="M216" i="7" s="1"/>
  <c r="N214" i="7"/>
  <c r="N216" i="7" s="1"/>
  <c r="N69" i="7"/>
  <c r="L69" i="7"/>
  <c r="M69" i="7"/>
  <c r="T44" i="31" a="1"/>
  <c r="T44" i="31" s="1"/>
  <c r="T131" i="31" a="1"/>
  <c r="T131" i="31" s="1"/>
  <c r="T130" i="31" a="1"/>
  <c r="T130" i="31" s="1"/>
  <c r="L73" i="5"/>
  <c r="M73" i="5"/>
  <c r="L53" i="5"/>
  <c r="M53" i="5"/>
  <c r="L62" i="5"/>
  <c r="M62" i="5"/>
  <c r="L28" i="5"/>
  <c r="M28" i="5"/>
  <c r="S202" i="31"/>
  <c r="S186" i="31"/>
  <c r="S200" i="31"/>
  <c r="S218" i="31"/>
  <c r="S120" i="31"/>
  <c r="S188" i="31"/>
  <c r="S190" i="31"/>
  <c r="S204" i="31"/>
  <c r="Q197" i="31"/>
  <c r="P197" i="31"/>
  <c r="N131" i="31" a="1"/>
  <c r="N131" i="31" s="1"/>
  <c r="R131" i="31" a="1"/>
  <c r="R131" i="31" s="1"/>
  <c r="R130" i="31" a="1"/>
  <c r="R130" i="31" s="1"/>
  <c r="N130" i="31" a="1"/>
  <c r="N130" i="31" s="1"/>
  <c r="N44" i="31" a="1"/>
  <c r="N44" i="31" s="1"/>
  <c r="R44" i="31" a="1"/>
  <c r="R44" i="31" s="1"/>
  <c r="Q51" i="31" a="1"/>
  <c r="Q51" i="31" s="1"/>
  <c r="M34" i="31" a="1"/>
  <c r="M34" i="31" s="1"/>
  <c r="K34" i="31" s="1"/>
  <c r="M129" i="31" a="1"/>
  <c r="M129" i="31" s="1"/>
  <c r="K129" i="31" s="1"/>
  <c r="M43" i="31" a="1"/>
  <c r="M43" i="31" s="1"/>
  <c r="K43" i="31" s="1"/>
  <c r="L52" i="31" a="1"/>
  <c r="L52" i="31" s="1"/>
  <c r="G52" i="31" a="1"/>
  <c r="G52" i="31" s="1"/>
  <c r="H52" i="31" a="1"/>
  <c r="H52" i="31" s="1"/>
  <c r="I52" i="31" a="1"/>
  <c r="I52" i="31" s="1"/>
  <c r="J52" i="31" s="1"/>
  <c r="S19" i="10"/>
  <c r="T19" i="10"/>
  <c r="S20" i="10"/>
  <c r="T20" i="10"/>
  <c r="S16" i="10"/>
  <c r="T16" i="10"/>
  <c r="S5" i="10"/>
  <c r="M216" i="31" a="1"/>
  <c r="M216" i="31" s="1"/>
  <c r="K216" i="31" s="1"/>
  <c r="M214" i="31" a="1"/>
  <c r="M214" i="31" s="1"/>
  <c r="K214" i="31" s="1"/>
  <c r="M95" i="8"/>
  <c r="L95" i="8"/>
  <c r="G57" i="8"/>
  <c r="G55" i="8"/>
  <c r="G45" i="8"/>
  <c r="G42" i="8"/>
  <c r="G41" i="8"/>
  <c r="G180" i="7"/>
  <c r="G177" i="7"/>
  <c r="G174" i="7"/>
  <c r="G173" i="7"/>
  <c r="G171" i="7"/>
  <c r="R216" i="7" l="1"/>
  <c r="R211" i="7"/>
  <c r="R95" i="8"/>
  <c r="N132" i="31" a="1"/>
  <c r="N132" i="31" s="1"/>
  <c r="Q132" i="31" s="1" a="1"/>
  <c r="Q132" i="31" s="1"/>
  <c r="R8" i="8"/>
  <c r="R69" i="7"/>
  <c r="N56" i="31" a="1"/>
  <c r="N56" i="31" s="1"/>
  <c r="Q56" i="31" s="1" a="1"/>
  <c r="Q56" i="31" s="1"/>
  <c r="R10" i="7"/>
  <c r="N58" i="31" a="1"/>
  <c r="N58" i="31" s="1"/>
  <c r="Q58" i="31" s="1" a="1"/>
  <c r="Q58" i="31" s="1"/>
  <c r="R7" i="7"/>
  <c r="R63" i="7"/>
  <c r="R75" i="7"/>
  <c r="B13" i="37" a="1"/>
  <c r="B13" i="37" s="1"/>
  <c r="S207" i="31"/>
  <c r="S193" i="31"/>
  <c r="T208" i="31" a="1"/>
  <c r="T208" i="31" s="1"/>
  <c r="T222" i="31" a="1"/>
  <c r="T222" i="31" s="1"/>
  <c r="N222" i="31" a="1"/>
  <c r="N222" i="31" s="1"/>
  <c r="N208" i="31" a="1"/>
  <c r="N208" i="31" s="1"/>
  <c r="T194" i="31" a="1"/>
  <c r="T194" i="31" s="1"/>
  <c r="R222" i="31" a="1"/>
  <c r="R222" i="31" s="1"/>
  <c r="F222" i="31"/>
  <c r="J222" i="31"/>
  <c r="P222" i="31"/>
  <c r="O222" i="31"/>
  <c r="J208" i="31"/>
  <c r="F208" i="31"/>
  <c r="P208" i="31"/>
  <c r="O208" i="31"/>
  <c r="J194" i="31"/>
  <c r="F194" i="31"/>
  <c r="N194" i="31" a="1"/>
  <c r="N194" i="31" s="1"/>
  <c r="O194" i="31"/>
  <c r="P58" i="31"/>
  <c r="P56" i="31"/>
  <c r="N41" i="8"/>
  <c r="M41" i="8"/>
  <c r="L41" i="8"/>
  <c r="O41" i="8"/>
  <c r="P41" i="8"/>
  <c r="O55" i="8"/>
  <c r="L55" i="8"/>
  <c r="P55" i="8"/>
  <c r="M55" i="8"/>
  <c r="N55" i="8"/>
  <c r="N57" i="8"/>
  <c r="M57" i="8"/>
  <c r="L57" i="8"/>
  <c r="P57" i="8"/>
  <c r="O57" i="8"/>
  <c r="T214" i="31" a="1"/>
  <c r="T214" i="31" s="1"/>
  <c r="R214" i="31" a="1"/>
  <c r="R214" i="31" s="1"/>
  <c r="N214" i="31" a="1"/>
  <c r="N214" i="31" s="1"/>
  <c r="R216" i="31" a="1"/>
  <c r="R216" i="31" s="1"/>
  <c r="N216" i="31" a="1"/>
  <c r="N216" i="31" s="1"/>
  <c r="T216" i="31" a="1"/>
  <c r="T216" i="31" s="1"/>
  <c r="L42" i="8"/>
  <c r="O42" i="8"/>
  <c r="M42" i="8"/>
  <c r="P42" i="8"/>
  <c r="N42" i="8"/>
  <c r="N45" i="8"/>
  <c r="N48" i="8" s="1"/>
  <c r="L45" i="8"/>
  <c r="P45" i="8"/>
  <c r="P48" i="8" s="1"/>
  <c r="O45" i="8"/>
  <c r="O48" i="8" s="1"/>
  <c r="M45" i="8"/>
  <c r="M48" i="8" s="1"/>
  <c r="O35" i="5"/>
  <c r="P35" i="5"/>
  <c r="N35" i="5"/>
  <c r="P173" i="7"/>
  <c r="O173" i="7"/>
  <c r="O177" i="7"/>
  <c r="P177" i="7"/>
  <c r="O174" i="7"/>
  <c r="P174" i="7"/>
  <c r="O180" i="7"/>
  <c r="P180" i="7"/>
  <c r="P171" i="7"/>
  <c r="O171" i="7"/>
  <c r="S51" i="31"/>
  <c r="L171" i="7"/>
  <c r="M171" i="7"/>
  <c r="N171" i="7"/>
  <c r="N174" i="7"/>
  <c r="L174" i="7"/>
  <c r="M174" i="7"/>
  <c r="L177" i="7"/>
  <c r="N177" i="7"/>
  <c r="M177" i="7"/>
  <c r="N180" i="7"/>
  <c r="L180" i="7"/>
  <c r="M180" i="7"/>
  <c r="N173" i="7"/>
  <c r="L173" i="7"/>
  <c r="M173" i="7"/>
  <c r="T129" i="31" a="1"/>
  <c r="T129" i="31" s="1"/>
  <c r="T34" i="31" a="1"/>
  <c r="T34" i="31" s="1"/>
  <c r="T43" i="31" a="1"/>
  <c r="T43" i="31" s="1"/>
  <c r="L35" i="5"/>
  <c r="M35" i="5"/>
  <c r="P52" i="31"/>
  <c r="O52" i="31"/>
  <c r="N129" i="31" a="1"/>
  <c r="N129" i="31" s="1"/>
  <c r="R129" i="31" a="1"/>
  <c r="R129" i="31" s="1"/>
  <c r="Q44" i="31" a="1"/>
  <c r="Q44" i="31" s="1"/>
  <c r="S272" i="31"/>
  <c r="E58" i="32"/>
  <c r="F58" i="32"/>
  <c r="S270" i="31"/>
  <c r="F55" i="32"/>
  <c r="R43" i="31" a="1"/>
  <c r="R43" i="31" s="1"/>
  <c r="N43" i="31" a="1"/>
  <c r="N43" i="31" s="1"/>
  <c r="N34" i="31" a="1"/>
  <c r="N34" i="31" s="1"/>
  <c r="R34" i="31" a="1"/>
  <c r="R34" i="31" s="1"/>
  <c r="Q130" i="31" a="1"/>
  <c r="Q130" i="31" s="1"/>
  <c r="Q131" i="31" a="1"/>
  <c r="Q131" i="31" s="1"/>
  <c r="T15" i="10"/>
  <c r="T17" i="10" s="1"/>
  <c r="C57" i="32"/>
  <c r="C58" i="32"/>
  <c r="S15" i="10"/>
  <c r="S17" i="10" s="1"/>
  <c r="M146" i="31" a="1"/>
  <c r="M146" i="31" s="1"/>
  <c r="K146" i="31" s="1"/>
  <c r="M155" i="31" a="1"/>
  <c r="M155" i="31" s="1"/>
  <c r="K155" i="31" s="1"/>
  <c r="M137" i="31" a="1"/>
  <c r="M137" i="31" s="1"/>
  <c r="K137" i="31" s="1"/>
  <c r="M147" i="31" a="1"/>
  <c r="M147" i="31" s="1"/>
  <c r="K147" i="31" s="1"/>
  <c r="M156" i="31" a="1"/>
  <c r="M156" i="31" s="1"/>
  <c r="K156" i="31" s="1"/>
  <c r="M138" i="31" a="1"/>
  <c r="M138" i="31" s="1"/>
  <c r="K138" i="31" s="1"/>
  <c r="F52" i="31"/>
  <c r="S3" i="10"/>
  <c r="S29" i="10"/>
  <c r="T3" i="10"/>
  <c r="S25" i="10"/>
  <c r="T29" i="10"/>
  <c r="T4" i="10"/>
  <c r="S28" i="10"/>
  <c r="S34" i="10"/>
  <c r="T28" i="10"/>
  <c r="T34" i="10"/>
  <c r="S4" i="10"/>
  <c r="S35" i="10"/>
  <c r="T35" i="10"/>
  <c r="S30" i="10"/>
  <c r="T30" i="10"/>
  <c r="L181" i="8"/>
  <c r="M181" i="8"/>
  <c r="T21" i="10"/>
  <c r="S21" i="10"/>
  <c r="L20" i="8"/>
  <c r="M16" i="8"/>
  <c r="R113" i="31" s="1" a="1"/>
  <c r="R113" i="31" s="1"/>
  <c r="J21" i="10"/>
  <c r="K17" i="10"/>
  <c r="K21" i="10"/>
  <c r="J17" i="10"/>
  <c r="L91" i="8"/>
  <c r="M91" i="8"/>
  <c r="L21" i="10"/>
  <c r="L17" i="10"/>
  <c r="L28" i="8"/>
  <c r="M28" i="8"/>
  <c r="G40" i="8"/>
  <c r="L16" i="8"/>
  <c r="G160" i="7"/>
  <c r="G159" i="7"/>
  <c r="M101" i="31" s="1" a="1"/>
  <c r="M101" i="31" s="1"/>
  <c r="K101" i="31" s="1"/>
  <c r="G157" i="7"/>
  <c r="M99" i="31" s="1" a="1"/>
  <c r="M99" i="31" s="1"/>
  <c r="K99" i="31" s="1"/>
  <c r="G155" i="7"/>
  <c r="G142" i="7"/>
  <c r="G141" i="7"/>
  <c r="G126" i="7"/>
  <c r="R181" i="8" l="1"/>
  <c r="N113" i="31" a="1"/>
  <c r="N113" i="31" s="1"/>
  <c r="Q113" i="31" s="1" a="1"/>
  <c r="Q113" i="31" s="1"/>
  <c r="R16" i="8"/>
  <c r="N123" i="31" a="1"/>
  <c r="N123" i="31" s="1"/>
  <c r="R28" i="8"/>
  <c r="R91" i="8"/>
  <c r="B14" i="37" a="1"/>
  <c r="B14" i="37" s="1"/>
  <c r="Q208" i="31" a="1"/>
  <c r="Q208" i="31" s="1"/>
  <c r="S208" i="31" s="1"/>
  <c r="Q222" i="31" a="1"/>
  <c r="Q222" i="31" s="1"/>
  <c r="Q194" i="31" a="1"/>
  <c r="Q194" i="31" s="1"/>
  <c r="M223" i="31" a="1"/>
  <c r="M223" i="31" s="1"/>
  <c r="K223" i="31" s="1"/>
  <c r="N223" i="31" s="1" a="1"/>
  <c r="N223" i="31" s="1"/>
  <c r="H223" i="31" a="1"/>
  <c r="H223" i="31" s="1"/>
  <c r="G223" i="31" a="1"/>
  <c r="G223" i="31" s="1"/>
  <c r="L223" i="31" a="1"/>
  <c r="L223" i="31" s="1"/>
  <c r="I223" i="31" a="1"/>
  <c r="I223" i="31" s="1"/>
  <c r="M209" i="31" a="1"/>
  <c r="M209" i="31" s="1"/>
  <c r="K209" i="31" s="1"/>
  <c r="N209" i="31" s="1" a="1"/>
  <c r="N209" i="31" s="1"/>
  <c r="L209" i="31" a="1"/>
  <c r="L209" i="31" s="1"/>
  <c r="H209" i="31" a="1"/>
  <c r="H209" i="31" s="1"/>
  <c r="G209" i="31" a="1"/>
  <c r="G209" i="31" s="1"/>
  <c r="I209" i="31" a="1"/>
  <c r="I209" i="31" s="1"/>
  <c r="M195" i="31" a="1"/>
  <c r="M195" i="31" s="1"/>
  <c r="K195" i="31" s="1"/>
  <c r="N195" i="31" s="1" a="1"/>
  <c r="N195" i="31" s="1"/>
  <c r="L195" i="31" a="1"/>
  <c r="L195" i="31" s="1"/>
  <c r="G195" i="31" a="1"/>
  <c r="G195" i="31" s="1"/>
  <c r="I195" i="31" a="1"/>
  <c r="I195" i="31" s="1"/>
  <c r="H195" i="31" a="1"/>
  <c r="H195" i="31" s="1"/>
  <c r="P194" i="31"/>
  <c r="M67" i="30"/>
  <c r="M69" i="30"/>
  <c r="R205" i="31" a="1"/>
  <c r="R205" i="31" s="1"/>
  <c r="R191" i="31" a="1"/>
  <c r="R191" i="31" s="1"/>
  <c r="Q216" i="31" a="1"/>
  <c r="Q216" i="31" s="1"/>
  <c r="P216" i="31"/>
  <c r="Q214" i="31" a="1"/>
  <c r="Q214" i="31" s="1"/>
  <c r="P214" i="31"/>
  <c r="P58" i="8"/>
  <c r="O58" i="8"/>
  <c r="N40" i="8"/>
  <c r="N43" i="8" s="1"/>
  <c r="P40" i="8"/>
  <c r="P43" i="8" s="1"/>
  <c r="O40" i="8"/>
  <c r="O43" i="8" s="1"/>
  <c r="L40" i="8"/>
  <c r="L43" i="8" s="1"/>
  <c r="M40" i="8"/>
  <c r="S58" i="31"/>
  <c r="O175" i="7"/>
  <c r="P175" i="7"/>
  <c r="P181" i="7"/>
  <c r="O181" i="7"/>
  <c r="P126" i="7"/>
  <c r="O126" i="7"/>
  <c r="O155" i="7"/>
  <c r="P156" i="7"/>
  <c r="P141" i="7"/>
  <c r="O141" i="7"/>
  <c r="O142" i="7"/>
  <c r="P142" i="7"/>
  <c r="O157" i="7"/>
  <c r="P158" i="7"/>
  <c r="O159" i="7"/>
  <c r="P160" i="7"/>
  <c r="O160" i="7"/>
  <c r="P113" i="31"/>
  <c r="T128" i="31"/>
  <c r="T109" i="31" s="1"/>
  <c r="H11" i="32" s="1"/>
  <c r="S130" i="31"/>
  <c r="S131" i="31"/>
  <c r="S44" i="31"/>
  <c r="R128" i="31"/>
  <c r="O42" i="31"/>
  <c r="O41" i="31" s="1"/>
  <c r="D41" i="32" s="1"/>
  <c r="D61" i="32" s="1"/>
  <c r="R110" i="31"/>
  <c r="P42" i="31"/>
  <c r="P41" i="31" s="1"/>
  <c r="E41" i="32" s="1"/>
  <c r="E61" i="32" s="1"/>
  <c r="S56" i="31"/>
  <c r="S132" i="31"/>
  <c r="N141" i="7"/>
  <c r="L141" i="7"/>
  <c r="M141" i="7"/>
  <c r="L155" i="7"/>
  <c r="M155" i="7"/>
  <c r="N155" i="7"/>
  <c r="L157" i="7"/>
  <c r="N99" i="31" s="1" a="1"/>
  <c r="N99" i="31" s="1"/>
  <c r="M157" i="7"/>
  <c r="R99" i="31" s="1" a="1"/>
  <c r="R99" i="31" s="1"/>
  <c r="N157" i="7"/>
  <c r="T99" i="31" s="1" a="1"/>
  <c r="T99" i="31" s="1"/>
  <c r="N159" i="7"/>
  <c r="T101" i="31" s="1" a="1"/>
  <c r="T101" i="31" s="1"/>
  <c r="L159" i="7"/>
  <c r="N101" i="31" s="1" a="1"/>
  <c r="N101" i="31" s="1"/>
  <c r="M159" i="7"/>
  <c r="R101" i="31" s="1" a="1"/>
  <c r="R101" i="31" s="1"/>
  <c r="L160" i="7"/>
  <c r="N160" i="7"/>
  <c r="M160" i="7"/>
  <c r="N126" i="7"/>
  <c r="L126" i="7"/>
  <c r="M126" i="7"/>
  <c r="N142" i="7"/>
  <c r="L142" i="7"/>
  <c r="M142" i="7"/>
  <c r="N181" i="7"/>
  <c r="L181" i="7"/>
  <c r="M175" i="7"/>
  <c r="M181" i="7"/>
  <c r="N175" i="7"/>
  <c r="L175" i="7"/>
  <c r="T155" i="31" a="1"/>
  <c r="T155" i="31" s="1"/>
  <c r="T138" i="31" a="1"/>
  <c r="T138" i="31" s="1"/>
  <c r="T156" i="31" a="1"/>
  <c r="T156" i="31" s="1"/>
  <c r="T137" i="31" a="1"/>
  <c r="T137" i="31" s="1"/>
  <c r="T146" i="31" a="1"/>
  <c r="T146" i="31" s="1"/>
  <c r="T147" i="31" a="1"/>
  <c r="T147" i="31" s="1"/>
  <c r="R123" i="31" a="1"/>
  <c r="R123" i="31" s="1"/>
  <c r="S273" i="31"/>
  <c r="E57" i="32"/>
  <c r="F57" i="32"/>
  <c r="E55" i="32"/>
  <c r="S263" i="31"/>
  <c r="S262" i="31" s="1"/>
  <c r="M61" i="30" s="1"/>
  <c r="S275" i="31"/>
  <c r="N128" i="31"/>
  <c r="N138" i="31" a="1"/>
  <c r="N138" i="31" s="1"/>
  <c r="R138" i="31" a="1"/>
  <c r="R138" i="31" s="1"/>
  <c r="N147" i="31" a="1"/>
  <c r="N147" i="31" s="1"/>
  <c r="R147" i="31" a="1"/>
  <c r="R147" i="31" s="1"/>
  <c r="N137" i="31" a="1"/>
  <c r="N137" i="31" s="1"/>
  <c r="R137" i="31" a="1"/>
  <c r="R137" i="31" s="1"/>
  <c r="N155" i="31" a="1"/>
  <c r="N155" i="31" s="1"/>
  <c r="R155" i="31" a="1"/>
  <c r="R155" i="31" s="1"/>
  <c r="N146" i="31" a="1"/>
  <c r="N146" i="31" s="1"/>
  <c r="R146" i="31" a="1"/>
  <c r="R146" i="31" s="1"/>
  <c r="R156" i="31" a="1"/>
  <c r="R156" i="31" s="1"/>
  <c r="N156" i="31" a="1"/>
  <c r="N156" i="31" s="1"/>
  <c r="F56" i="32"/>
  <c r="E56" i="32"/>
  <c r="Q34" i="31" a="1"/>
  <c r="Q34" i="31" s="1"/>
  <c r="Q129" i="31" a="1"/>
  <c r="Q129" i="31" s="1"/>
  <c r="Q43" i="31" a="1"/>
  <c r="Q43" i="31" s="1"/>
  <c r="T217" i="31" a="1"/>
  <c r="T217" i="31" s="1"/>
  <c r="T211" i="31" s="1"/>
  <c r="C56" i="32"/>
  <c r="C77" i="32" s="1"/>
  <c r="M97" i="31" a="1"/>
  <c r="M97" i="31" s="1"/>
  <c r="K97" i="31" s="1"/>
  <c r="M103" i="31" a="1"/>
  <c r="M103" i="31" s="1"/>
  <c r="K103" i="31" s="1"/>
  <c r="M98" i="31" a="1"/>
  <c r="M98" i="31" s="1"/>
  <c r="M100" i="31" a="1"/>
  <c r="M100" i="31" s="1"/>
  <c r="K100" i="31" s="1"/>
  <c r="M102" i="31" a="1"/>
  <c r="M102" i="31" s="1"/>
  <c r="K102" i="31" s="1"/>
  <c r="M145" i="31" a="1"/>
  <c r="M145" i="31" s="1"/>
  <c r="K145" i="31" s="1"/>
  <c r="M154" i="31" a="1"/>
  <c r="M154" i="31" s="1"/>
  <c r="K154" i="31" s="1"/>
  <c r="M136" i="31" a="1"/>
  <c r="M136" i="31" s="1"/>
  <c r="K136" i="31" s="1"/>
  <c r="N58" i="8"/>
  <c r="T148" i="31" s="1" a="1"/>
  <c r="T148" i="31" s="1"/>
  <c r="L58" i="8"/>
  <c r="R217" i="31" a="1"/>
  <c r="R217" i="31" s="1"/>
  <c r="R211" i="31" s="1"/>
  <c r="L48" i="8"/>
  <c r="R48" i="8" s="1"/>
  <c r="M20" i="8"/>
  <c r="R20" i="8" s="1"/>
  <c r="M58" i="8"/>
  <c r="N217" i="31" a="1"/>
  <c r="N217" i="31" s="1"/>
  <c r="N211" i="31" s="1"/>
  <c r="R175" i="7" l="1"/>
  <c r="R181" i="7"/>
  <c r="K98" i="31"/>
  <c r="N98" i="31" s="1" a="1"/>
  <c r="N98" i="31" s="1"/>
  <c r="R58" i="8"/>
  <c r="N110" i="31"/>
  <c r="N119" i="31"/>
  <c r="B15" i="37" a="1"/>
  <c r="B15" i="37" s="1"/>
  <c r="S222" i="31"/>
  <c r="S194" i="31"/>
  <c r="R183" i="31"/>
  <c r="R195" i="31" a="1"/>
  <c r="R195" i="31" s="1"/>
  <c r="T195" i="31" a="1"/>
  <c r="T195" i="31" s="1"/>
  <c r="T223" i="31" a="1"/>
  <c r="T223" i="31" s="1"/>
  <c r="R223" i="31" a="1"/>
  <c r="R223" i="31" s="1"/>
  <c r="R209" i="31" a="1"/>
  <c r="R209" i="31" s="1"/>
  <c r="T209" i="31" a="1"/>
  <c r="T209" i="31" s="1"/>
  <c r="F223" i="31"/>
  <c r="J223" i="31"/>
  <c r="P223" i="31"/>
  <c r="O223" i="31"/>
  <c r="J209" i="31"/>
  <c r="F209" i="31"/>
  <c r="P209" i="31"/>
  <c r="O209" i="31"/>
  <c r="P195" i="31"/>
  <c r="O195" i="31"/>
  <c r="J195" i="31"/>
  <c r="F195" i="31"/>
  <c r="P99" i="31"/>
  <c r="Q101" i="31" a="1"/>
  <c r="Q101" i="31" s="1"/>
  <c r="P101" i="31"/>
  <c r="Q99" i="31" a="1"/>
  <c r="Q99" i="31" s="1"/>
  <c r="M72" i="30"/>
  <c r="M70" i="30"/>
  <c r="S216" i="31"/>
  <c r="S214" i="31"/>
  <c r="N205" i="31" a="1"/>
  <c r="N205" i="31" s="1"/>
  <c r="N191" i="31" a="1"/>
  <c r="N191" i="31" s="1"/>
  <c r="N183" i="31" s="1"/>
  <c r="Q217" i="31" a="1"/>
  <c r="Q217" i="31" s="1"/>
  <c r="P217" i="31"/>
  <c r="P211" i="31" s="1"/>
  <c r="T157" i="31" a="1"/>
  <c r="T157" i="31" s="1"/>
  <c r="T139" i="31" a="1"/>
  <c r="T139" i="31" s="1"/>
  <c r="O161" i="7"/>
  <c r="P161" i="7"/>
  <c r="O145" i="7"/>
  <c r="P145" i="7"/>
  <c r="P110" i="31"/>
  <c r="R104" i="31" a="1"/>
  <c r="R104" i="31" s="1"/>
  <c r="T104" i="31" a="1"/>
  <c r="T104" i="31" s="1"/>
  <c r="Q123" i="31" a="1"/>
  <c r="Q123" i="31" s="1"/>
  <c r="S34" i="31"/>
  <c r="S43" i="31"/>
  <c r="S129" i="31"/>
  <c r="L161" i="7"/>
  <c r="L145" i="7"/>
  <c r="N161" i="7"/>
  <c r="M161" i="7"/>
  <c r="M145" i="7"/>
  <c r="N104" i="31" a="1"/>
  <c r="N104" i="31" s="1"/>
  <c r="N145" i="7"/>
  <c r="D19" i="32"/>
  <c r="T154" i="31" a="1"/>
  <c r="T154" i="31" s="1"/>
  <c r="T102" i="31" a="1"/>
  <c r="T102" i="31" s="1"/>
  <c r="T100" i="31" a="1"/>
  <c r="T100" i="31" s="1"/>
  <c r="T103" i="31" a="1"/>
  <c r="T103" i="31" s="1"/>
  <c r="T97" i="31" a="1"/>
  <c r="T97" i="31" s="1"/>
  <c r="T136" i="31" a="1"/>
  <c r="T136" i="31" s="1"/>
  <c r="T145" i="31" a="1"/>
  <c r="T145" i="31" s="1"/>
  <c r="E77" i="32"/>
  <c r="F77" i="32"/>
  <c r="N148" i="31" a="1"/>
  <c r="N148" i="31" s="1"/>
  <c r="N139" i="31" a="1"/>
  <c r="N139" i="31" s="1"/>
  <c r="N157" i="31" a="1"/>
  <c r="N157" i="31" s="1"/>
  <c r="P123" i="31"/>
  <c r="R119" i="31"/>
  <c r="R109" i="31" s="1"/>
  <c r="G47" i="32" s="1"/>
  <c r="S113" i="31"/>
  <c r="Q110" i="31"/>
  <c r="S267" i="31"/>
  <c r="M65" i="30" s="1" a="1"/>
  <c r="M65" i="30" s="1"/>
  <c r="Q128" i="31"/>
  <c r="N136" i="31" a="1"/>
  <c r="N136" i="31" s="1"/>
  <c r="R136" i="31" a="1"/>
  <c r="R136" i="31" s="1"/>
  <c r="N154" i="31" a="1"/>
  <c r="N154" i="31" s="1"/>
  <c r="R154" i="31" a="1"/>
  <c r="R154" i="31" s="1"/>
  <c r="N145" i="31" a="1"/>
  <c r="N145" i="31" s="1"/>
  <c r="R145" i="31" a="1"/>
  <c r="R145" i="31" s="1"/>
  <c r="N100" i="31" a="1"/>
  <c r="N100" i="31" s="1"/>
  <c r="R100" i="31" a="1"/>
  <c r="R100" i="31" s="1"/>
  <c r="R103" i="31" a="1"/>
  <c r="R103" i="31" s="1"/>
  <c r="N103" i="31" a="1"/>
  <c r="N103" i="31" s="1"/>
  <c r="N97" i="31" a="1"/>
  <c r="N97" i="31" s="1"/>
  <c r="R97" i="31" a="1"/>
  <c r="R97" i="31" s="1"/>
  <c r="N102" i="31" a="1"/>
  <c r="N102" i="31" s="1"/>
  <c r="R102" i="31" a="1"/>
  <c r="R102" i="31" s="1"/>
  <c r="Q137" i="31" a="1"/>
  <c r="Q137" i="31" s="1"/>
  <c r="Q138" i="31" a="1"/>
  <c r="Q138" i="31" s="1"/>
  <c r="Q156" i="31" a="1"/>
  <c r="Q156" i="31" s="1"/>
  <c r="Q146" i="31" a="1"/>
  <c r="Q146" i="31" s="1"/>
  <c r="Q147" i="31" a="1"/>
  <c r="Q147" i="31" s="1"/>
  <c r="Q155" i="31" a="1"/>
  <c r="Q155" i="31" s="1"/>
  <c r="M43" i="8"/>
  <c r="R43" i="8" s="1"/>
  <c r="G125" i="7"/>
  <c r="G148" i="7"/>
  <c r="G132" i="7"/>
  <c r="G121" i="7"/>
  <c r="G122" i="7"/>
  <c r="R145" i="7" l="1"/>
  <c r="R161" i="7"/>
  <c r="T98" i="31" a="1"/>
  <c r="T98" i="31" s="1"/>
  <c r="T96" i="31" s="1"/>
  <c r="T95" i="31" s="1"/>
  <c r="R98" i="31" a="1"/>
  <c r="R98" i="31" s="1"/>
  <c r="P98" i="31" s="1"/>
  <c r="R148" i="31" a="1"/>
  <c r="R148" i="31" s="1"/>
  <c r="R157" i="31" a="1"/>
  <c r="R157" i="31" s="1"/>
  <c r="R153" i="31" s="1"/>
  <c r="R139" i="31" a="1"/>
  <c r="R139" i="31" s="1"/>
  <c r="R135" i="31" s="1"/>
  <c r="B16" i="37" a="1"/>
  <c r="B16" i="37" s="1"/>
  <c r="Q209" i="31" a="1"/>
  <c r="Q209" i="31" s="1"/>
  <c r="S209" i="31" s="1"/>
  <c r="Q195" i="31" a="1"/>
  <c r="Q195" i="31" s="1"/>
  <c r="Q223" i="31" a="1"/>
  <c r="Q223" i="31" s="1"/>
  <c r="I224" i="31" a="1"/>
  <c r="I224" i="31" s="1"/>
  <c r="H224" i="31" a="1"/>
  <c r="H224" i="31" s="1"/>
  <c r="G224" i="31" a="1"/>
  <c r="G224" i="31" s="1"/>
  <c r="L224" i="31" a="1"/>
  <c r="L224" i="31" s="1"/>
  <c r="M224" i="31" a="1"/>
  <c r="M224" i="31" s="1"/>
  <c r="K224" i="31" s="1"/>
  <c r="M210" i="31" a="1"/>
  <c r="M210" i="31" s="1"/>
  <c r="K210" i="31" s="1"/>
  <c r="R210" i="31" s="1" a="1"/>
  <c r="R210" i="31" s="1"/>
  <c r="R206" i="31" s="1"/>
  <c r="I210" i="31" a="1"/>
  <c r="I210" i="31" s="1"/>
  <c r="H210" i="31" a="1"/>
  <c r="H210" i="31" s="1"/>
  <c r="G210" i="31" a="1"/>
  <c r="G210" i="31" s="1"/>
  <c r="L210" i="31" a="1"/>
  <c r="L210" i="31" s="1"/>
  <c r="M196" i="31" a="1"/>
  <c r="M196" i="31" s="1"/>
  <c r="K196" i="31" s="1"/>
  <c r="L196" i="31" a="1"/>
  <c r="L196" i="31" s="1"/>
  <c r="H196" i="31" a="1"/>
  <c r="H196" i="31" s="1"/>
  <c r="I196" i="31" a="1"/>
  <c r="I196" i="31" s="1"/>
  <c r="G196" i="31" a="1"/>
  <c r="G196" i="31" s="1"/>
  <c r="S101" i="31"/>
  <c r="S99" i="31"/>
  <c r="N96" i="31"/>
  <c r="N95" i="31" s="1"/>
  <c r="S217" i="31"/>
  <c r="Q191" i="31" a="1"/>
  <c r="Q191" i="31" s="1"/>
  <c r="P191" i="31"/>
  <c r="P205" i="31"/>
  <c r="Q205" i="31" a="1"/>
  <c r="Q205" i="31" s="1"/>
  <c r="Q211" i="31"/>
  <c r="P125" i="7"/>
  <c r="P127" i="7" s="1"/>
  <c r="O125" i="7"/>
  <c r="O127" i="7" s="1"/>
  <c r="O121" i="7"/>
  <c r="P121" i="7"/>
  <c r="O132" i="7"/>
  <c r="O133" i="7" s="1"/>
  <c r="P132" i="7"/>
  <c r="P133" i="7" s="1"/>
  <c r="P104" i="31"/>
  <c r="Q104" i="31" a="1"/>
  <c r="Q104" i="31" s="1"/>
  <c r="O148" i="7"/>
  <c r="P148" i="7"/>
  <c r="O122" i="7"/>
  <c r="P122" i="7"/>
  <c r="T153" i="31"/>
  <c r="T135" i="31"/>
  <c r="T144" i="31"/>
  <c r="S155" i="31"/>
  <c r="S147" i="31"/>
  <c r="S138" i="31"/>
  <c r="S137" i="31"/>
  <c r="P119" i="31"/>
  <c r="P109" i="31" s="1"/>
  <c r="E47" i="32" s="1"/>
  <c r="S146" i="31"/>
  <c r="Q119" i="31"/>
  <c r="S156" i="31"/>
  <c r="B55" i="32"/>
  <c r="K55" i="32" s="1"/>
  <c r="P55" i="32" s="1"/>
  <c r="N122" i="7"/>
  <c r="L122" i="7"/>
  <c r="M122" i="7"/>
  <c r="L121" i="7"/>
  <c r="N121" i="7"/>
  <c r="M121" i="7"/>
  <c r="N132" i="7"/>
  <c r="N133" i="7" s="1"/>
  <c r="L132" i="7"/>
  <c r="L133" i="7" s="1"/>
  <c r="M132" i="7"/>
  <c r="M133" i="7" s="1"/>
  <c r="L148" i="7"/>
  <c r="M148" i="7"/>
  <c r="N148" i="7"/>
  <c r="N125" i="7"/>
  <c r="N127" i="7" s="1"/>
  <c r="L125" i="7"/>
  <c r="L127" i="7" s="1"/>
  <c r="M125" i="7"/>
  <c r="M127" i="7" s="1"/>
  <c r="S123" i="31"/>
  <c r="P102" i="31"/>
  <c r="P97" i="31"/>
  <c r="P103" i="31"/>
  <c r="P100" i="31"/>
  <c r="N144" i="31"/>
  <c r="N153" i="31"/>
  <c r="N135" i="31"/>
  <c r="Q103" i="31" a="1"/>
  <c r="Q103" i="31" s="1"/>
  <c r="Q145" i="31" a="1"/>
  <c r="Q145" i="31" s="1"/>
  <c r="Q100" i="31" a="1"/>
  <c r="Q100" i="31" s="1"/>
  <c r="Q136" i="31" a="1"/>
  <c r="Q136" i="31" s="1"/>
  <c r="Q102" i="31" a="1"/>
  <c r="Q102" i="31" s="1"/>
  <c r="Q97" i="31" a="1"/>
  <c r="Q97" i="31" s="1"/>
  <c r="Q154" i="31" a="1"/>
  <c r="Q154" i="31" s="1"/>
  <c r="M90" i="31" a="1"/>
  <c r="M90" i="31" s="1"/>
  <c r="K90" i="31" s="1"/>
  <c r="M89" i="31" a="1"/>
  <c r="M89" i="31" s="1"/>
  <c r="K89" i="31" s="1"/>
  <c r="G147" i="7"/>
  <c r="G120" i="7"/>
  <c r="R133" i="7" l="1"/>
  <c r="Q98" i="31" a="1"/>
  <c r="Q98" i="31" s="1"/>
  <c r="S98" i="31" s="1"/>
  <c r="R96" i="31"/>
  <c r="R95" i="31" s="1"/>
  <c r="G46" i="32" s="1"/>
  <c r="Q157" i="31" a="1"/>
  <c r="Q157" i="31" s="1"/>
  <c r="Q148" i="31" a="1"/>
  <c r="Q148" i="31" s="1"/>
  <c r="R144" i="31"/>
  <c r="R134" i="31" s="1"/>
  <c r="G48" i="32" s="1"/>
  <c r="Q139" i="31" a="1"/>
  <c r="Q139" i="31" s="1"/>
  <c r="R127" i="7"/>
  <c r="B17" i="37" a="1"/>
  <c r="B17" i="37" s="1"/>
  <c r="S195" i="31"/>
  <c r="S223" i="31"/>
  <c r="P183" i="31"/>
  <c r="T196" i="31" a="1"/>
  <c r="T196" i="31" s="1"/>
  <c r="T192" i="31" s="1"/>
  <c r="N210" i="31" a="1"/>
  <c r="N210" i="31" s="1"/>
  <c r="N206" i="31" s="1"/>
  <c r="N224" i="31" a="1"/>
  <c r="N224" i="31" s="1"/>
  <c r="N220" i="31" s="1"/>
  <c r="T224" i="31" a="1"/>
  <c r="T224" i="31" s="1"/>
  <c r="T220" i="31" s="1"/>
  <c r="J224" i="31"/>
  <c r="F224" i="31"/>
  <c r="T210" i="31" a="1"/>
  <c r="T210" i="31" s="1"/>
  <c r="T206" i="31" s="1"/>
  <c r="P224" i="31"/>
  <c r="P220" i="31" s="1"/>
  <c r="O224" i="31"/>
  <c r="O220" i="31" s="1"/>
  <c r="R224" i="31" a="1"/>
  <c r="R224" i="31" s="1"/>
  <c r="R220" i="31" s="1"/>
  <c r="P210" i="31"/>
  <c r="P206" i="31" s="1"/>
  <c r="O210" i="31"/>
  <c r="O206" i="31" s="1"/>
  <c r="J210" i="31"/>
  <c r="F210" i="31"/>
  <c r="J196" i="31"/>
  <c r="F196" i="31"/>
  <c r="O196" i="31"/>
  <c r="O192" i="31" s="1"/>
  <c r="R196" i="31" a="1"/>
  <c r="R196" i="31" s="1"/>
  <c r="R192" i="31" s="1"/>
  <c r="N196" i="31" a="1"/>
  <c r="N196" i="31" s="1"/>
  <c r="H10" i="32"/>
  <c r="S191" i="31"/>
  <c r="S205" i="31"/>
  <c r="S104" i="31"/>
  <c r="O120" i="7"/>
  <c r="O123" i="7" s="1"/>
  <c r="P120" i="7"/>
  <c r="P123" i="7" s="1"/>
  <c r="P147" i="7"/>
  <c r="P151" i="7" s="1"/>
  <c r="O147" i="7"/>
  <c r="O151" i="7" s="1"/>
  <c r="T134" i="31"/>
  <c r="H12" i="32" s="1"/>
  <c r="S154" i="31"/>
  <c r="S136" i="31"/>
  <c r="N120" i="7"/>
  <c r="N123" i="7" s="1"/>
  <c r="T91" i="31" s="1" a="1"/>
  <c r="T91" i="31" s="1"/>
  <c r="L120" i="7"/>
  <c r="L123" i="7" s="1"/>
  <c r="M120" i="7"/>
  <c r="M123" i="7" s="1"/>
  <c r="R91" i="31" s="1" a="1"/>
  <c r="R91" i="31" s="1"/>
  <c r="L147" i="7"/>
  <c r="L151" i="7" s="1"/>
  <c r="M147" i="7"/>
  <c r="M151" i="7" s="1"/>
  <c r="N147" i="7"/>
  <c r="N151" i="7" s="1"/>
  <c r="T89" i="31" a="1"/>
  <c r="T89" i="31" s="1"/>
  <c r="T90" i="31" a="1"/>
  <c r="T90" i="31" s="1"/>
  <c r="N134" i="31"/>
  <c r="S102" i="31"/>
  <c r="S97" i="31"/>
  <c r="S100" i="31"/>
  <c r="S103" i="31"/>
  <c r="S145" i="31"/>
  <c r="P96" i="31"/>
  <c r="P95" i="31" s="1"/>
  <c r="Q109" i="31"/>
  <c r="F47" i="32" s="1"/>
  <c r="N109" i="31"/>
  <c r="N89" i="31" a="1"/>
  <c r="N89" i="31" s="1"/>
  <c r="R89" i="31" a="1"/>
  <c r="R89" i="31" s="1"/>
  <c r="N90" i="31" a="1"/>
  <c r="N90" i="31" s="1"/>
  <c r="R90" i="31" a="1"/>
  <c r="R90" i="31" s="1"/>
  <c r="M88" i="31" a="1"/>
  <c r="M88" i="31" s="1"/>
  <c r="K88" i="31" s="1"/>
  <c r="Q96" i="31" l="1"/>
  <c r="Q95" i="31" s="1"/>
  <c r="F46" i="32" s="1"/>
  <c r="Q153" i="31"/>
  <c r="S157" i="31"/>
  <c r="S148" i="31"/>
  <c r="Q144" i="31"/>
  <c r="Q135" i="31"/>
  <c r="S139" i="31"/>
  <c r="N91" i="31" a="1"/>
  <c r="N91" i="31" s="1"/>
  <c r="Q91" i="31" s="1" a="1"/>
  <c r="Q91" i="31" s="1"/>
  <c r="R123" i="7"/>
  <c r="R151" i="7"/>
  <c r="B18" i="37" a="1"/>
  <c r="B18" i="37" s="1"/>
  <c r="Q196" i="31" a="1"/>
  <c r="Q196" i="31" s="1"/>
  <c r="Q192" i="31" s="1"/>
  <c r="N192" i="31"/>
  <c r="N182" i="31" s="1"/>
  <c r="C52" i="32" s="1"/>
  <c r="T182" i="31"/>
  <c r="Q224" i="31" a="1"/>
  <c r="Q224" i="31" s="1"/>
  <c r="Q210" i="31" a="1"/>
  <c r="Q210" i="31" s="1"/>
  <c r="O182" i="31"/>
  <c r="P196" i="31"/>
  <c r="P192" i="31" s="1"/>
  <c r="E46" i="32"/>
  <c r="C47" i="32"/>
  <c r="C48" i="32"/>
  <c r="C46" i="32"/>
  <c r="T88" i="31" a="1"/>
  <c r="T88" i="31" s="1"/>
  <c r="Q89" i="31" a="1"/>
  <c r="Q89" i="31" s="1"/>
  <c r="Q90" i="31" a="1"/>
  <c r="Q90" i="31" s="1"/>
  <c r="R88" i="31" a="1"/>
  <c r="R88" i="31" s="1"/>
  <c r="N88" i="31" a="1"/>
  <c r="N88" i="31" s="1"/>
  <c r="G35" i="7"/>
  <c r="G31" i="7"/>
  <c r="Q134" i="31" l="1"/>
  <c r="F48" i="32" s="1"/>
  <c r="B19" i="37" a="1"/>
  <c r="B19" i="37" s="1"/>
  <c r="S224" i="31"/>
  <c r="S220" i="31" s="1"/>
  <c r="Q220" i="31"/>
  <c r="S210" i="31"/>
  <c r="S206" i="31" s="1"/>
  <c r="Q206" i="31"/>
  <c r="R182" i="31"/>
  <c r="G52" i="32" s="1"/>
  <c r="G69" i="32" s="1"/>
  <c r="D52" i="32"/>
  <c r="D69" i="32" s="1"/>
  <c r="O277" i="31"/>
  <c r="D53" i="29" s="1"/>
  <c r="S196" i="31"/>
  <c r="S192" i="31" s="1"/>
  <c r="M55" i="31" a="1"/>
  <c r="M55" i="31" s="1"/>
  <c r="K55" i="31" s="1"/>
  <c r="M63" i="31" a="1"/>
  <c r="M63" i="31" s="1"/>
  <c r="K63" i="31" s="1"/>
  <c r="S91" i="31"/>
  <c r="P35" i="7"/>
  <c r="O35" i="7"/>
  <c r="O31" i="7"/>
  <c r="O33" i="7" s="1"/>
  <c r="P31" i="7"/>
  <c r="P33" i="7" s="1"/>
  <c r="T87" i="31"/>
  <c r="T86" i="31" s="1"/>
  <c r="H9" i="32" s="1"/>
  <c r="C69" i="32"/>
  <c r="S89" i="31"/>
  <c r="S90" i="31"/>
  <c r="R87" i="31"/>
  <c r="R86" i="31" s="1"/>
  <c r="G45" i="32" s="1"/>
  <c r="M68" i="31" a="1"/>
  <c r="M68" i="31" s="1"/>
  <c r="K68" i="31" s="1"/>
  <c r="N31" i="7"/>
  <c r="N33" i="7" s="1"/>
  <c r="L31" i="7"/>
  <c r="L33" i="7" s="1"/>
  <c r="M31" i="7"/>
  <c r="M33" i="7" s="1"/>
  <c r="N35" i="7"/>
  <c r="L35" i="7"/>
  <c r="M35" i="7"/>
  <c r="N87" i="31"/>
  <c r="Q88" i="31" a="1"/>
  <c r="Q88" i="31" s="1"/>
  <c r="R33" i="7" l="1"/>
  <c r="B20" i="37" a="1"/>
  <c r="B20" i="37" s="1"/>
  <c r="R63" i="31" a="1"/>
  <c r="R63" i="31" s="1"/>
  <c r="N63" i="31" a="1"/>
  <c r="N63" i="31" s="1"/>
  <c r="T63" i="31" a="1"/>
  <c r="T63" i="31" s="1"/>
  <c r="M42" i="7"/>
  <c r="R70" i="31" s="1" a="1"/>
  <c r="R70" i="31" s="1"/>
  <c r="R55" i="31" a="1"/>
  <c r="R55" i="31" s="1"/>
  <c r="O42" i="7"/>
  <c r="N42" i="7"/>
  <c r="T70" i="31" s="1" a="1"/>
  <c r="T70" i="31" s="1"/>
  <c r="T55" i="31" a="1"/>
  <c r="T55" i="31" s="1"/>
  <c r="L42" i="7"/>
  <c r="N55" i="31" a="1"/>
  <c r="N55" i="31" s="1"/>
  <c r="P55" i="31" s="1"/>
  <c r="P42" i="7"/>
  <c r="Q87" i="31"/>
  <c r="Q86" i="31" s="1"/>
  <c r="F45" i="32" s="1"/>
  <c r="N86" i="31"/>
  <c r="T68" i="31" a="1"/>
  <c r="T68" i="31" s="1"/>
  <c r="N68" i="31" a="1"/>
  <c r="N68" i="31" s="1"/>
  <c r="R68" i="31" a="1"/>
  <c r="R68" i="31" s="1"/>
  <c r="S88" i="31"/>
  <c r="N70" i="31" l="1" a="1"/>
  <c r="N70" i="31" s="1"/>
  <c r="R42" i="7"/>
  <c r="B21" i="37" a="1"/>
  <c r="B21" i="37" s="1"/>
  <c r="P63" i="31"/>
  <c r="Q63" i="31" a="1"/>
  <c r="Q63" i="31" s="1"/>
  <c r="Q55" i="31" a="1"/>
  <c r="Q55" i="31" s="1"/>
  <c r="S55" i="31" s="1"/>
  <c r="T62" i="31"/>
  <c r="R62" i="31"/>
  <c r="C45" i="32"/>
  <c r="Q68" i="31" a="1"/>
  <c r="Q68" i="31" s="1"/>
  <c r="P68" i="31"/>
  <c r="G79" i="5"/>
  <c r="G78" i="5"/>
  <c r="G82" i="5"/>
  <c r="G75" i="5"/>
  <c r="G39" i="5"/>
  <c r="G14" i="5"/>
  <c r="G70" i="5"/>
  <c r="G68" i="5"/>
  <c r="G64" i="5"/>
  <c r="G59" i="5"/>
  <c r="G55" i="5"/>
  <c r="G29" i="5"/>
  <c r="G4" i="5"/>
  <c r="G6" i="5"/>
  <c r="N62" i="31" l="1"/>
  <c r="N61" i="31" s="1"/>
  <c r="C43" i="32" s="1"/>
  <c r="Q70" i="31" a="1"/>
  <c r="Q70" i="31" s="1"/>
  <c r="B22" i="37" a="1"/>
  <c r="B22" i="37" s="1"/>
  <c r="T61" i="31"/>
  <c r="H7" i="32" s="1"/>
  <c r="R61" i="31"/>
  <c r="G43" i="32" s="1"/>
  <c r="S63" i="31"/>
  <c r="O14" i="5"/>
  <c r="P14" i="5"/>
  <c r="N14" i="5"/>
  <c r="N29" i="5"/>
  <c r="P29" i="5"/>
  <c r="O29" i="5"/>
  <c r="O55" i="5"/>
  <c r="P55" i="5"/>
  <c r="N55" i="5"/>
  <c r="O68" i="5"/>
  <c r="P68" i="5"/>
  <c r="N68" i="5"/>
  <c r="O39" i="5"/>
  <c r="N39" i="5"/>
  <c r="P39" i="5"/>
  <c r="N82" i="5"/>
  <c r="P82" i="5"/>
  <c r="O82" i="5"/>
  <c r="O79" i="5"/>
  <c r="P79" i="5"/>
  <c r="N79" i="5"/>
  <c r="N59" i="5"/>
  <c r="O59" i="5"/>
  <c r="P59" i="5"/>
  <c r="P70" i="5"/>
  <c r="O70" i="5"/>
  <c r="N70" i="5"/>
  <c r="P75" i="5"/>
  <c r="N75" i="5"/>
  <c r="O75" i="5"/>
  <c r="N78" i="5"/>
  <c r="P78" i="5"/>
  <c r="O78" i="5"/>
  <c r="O6" i="5"/>
  <c r="N6" i="5"/>
  <c r="P6" i="5"/>
  <c r="O4" i="5"/>
  <c r="N4" i="5"/>
  <c r="P4" i="5"/>
  <c r="P64" i="5"/>
  <c r="O64" i="5"/>
  <c r="N64" i="5"/>
  <c r="P62" i="31"/>
  <c r="S68" i="31"/>
  <c r="L6" i="5"/>
  <c r="M6" i="5"/>
  <c r="M18" i="31" a="1"/>
  <c r="M18" i="31" s="1"/>
  <c r="L29" i="5"/>
  <c r="M29" i="5"/>
  <c r="L55" i="5"/>
  <c r="M55" i="5"/>
  <c r="L14" i="5"/>
  <c r="M14" i="5"/>
  <c r="M82" i="5"/>
  <c r="L82" i="5"/>
  <c r="L59" i="5"/>
  <c r="M59" i="5"/>
  <c r="M68" i="5"/>
  <c r="L68" i="5"/>
  <c r="L39" i="5"/>
  <c r="M39" i="5"/>
  <c r="L79" i="5"/>
  <c r="M79" i="5"/>
  <c r="M4" i="5"/>
  <c r="L4" i="5"/>
  <c r="M16" i="31" a="1"/>
  <c r="M16" i="31" s="1"/>
  <c r="K16" i="31" s="1"/>
  <c r="N16" i="31" s="1" a="1"/>
  <c r="N16" i="31" s="1"/>
  <c r="L64" i="5"/>
  <c r="M64" i="5"/>
  <c r="M70" i="5"/>
  <c r="L70" i="5"/>
  <c r="M75" i="5"/>
  <c r="L75" i="5"/>
  <c r="M78" i="5"/>
  <c r="L78" i="5"/>
  <c r="M57" i="31" a="1"/>
  <c r="M57" i="31" s="1"/>
  <c r="K57" i="31" s="1"/>
  <c r="M35" i="31" a="1"/>
  <c r="M35" i="31" s="1"/>
  <c r="K35" i="31" s="1"/>
  <c r="M52" i="31" a="1"/>
  <c r="M52" i="31" s="1"/>
  <c r="K52" i="31" s="1"/>
  <c r="M48" i="31" a="1"/>
  <c r="M48" i="31" s="1"/>
  <c r="K48" i="31" s="1"/>
  <c r="M45" i="31" a="1"/>
  <c r="M45" i="31" s="1"/>
  <c r="K45" i="31" s="1"/>
  <c r="M49" i="31" a="1"/>
  <c r="M49" i="31" s="1"/>
  <c r="K49" i="31" s="1"/>
  <c r="G5" i="5"/>
  <c r="G27" i="5"/>
  <c r="S70" i="31" l="1"/>
  <c r="Q62" i="31"/>
  <c r="Q61" i="31" s="1"/>
  <c r="F43" i="32" s="1"/>
  <c r="B23" i="37" a="1"/>
  <c r="B23" i="37" s="1"/>
  <c r="P61" i="31"/>
  <c r="E43" i="32" s="1"/>
  <c r="P71" i="5"/>
  <c r="P60" i="5"/>
  <c r="O60" i="5"/>
  <c r="N60" i="5"/>
  <c r="P11" i="5"/>
  <c r="O11" i="5"/>
  <c r="N11" i="5"/>
  <c r="P27" i="5"/>
  <c r="P32" i="5" s="1"/>
  <c r="N27" i="5"/>
  <c r="N32" i="5" s="1"/>
  <c r="O27" i="5"/>
  <c r="O32" i="5" s="1"/>
  <c r="O83" i="5"/>
  <c r="O5" i="5"/>
  <c r="O7" i="5" s="1"/>
  <c r="P5" i="5"/>
  <c r="P7" i="5" s="1"/>
  <c r="N5" i="5"/>
  <c r="O36" i="5"/>
  <c r="P36" i="5"/>
  <c r="N36" i="5"/>
  <c r="N71" i="5"/>
  <c r="N7" i="5"/>
  <c r="O9" i="5"/>
  <c r="N9" i="5"/>
  <c r="P9" i="5"/>
  <c r="N83" i="5"/>
  <c r="P83" i="5"/>
  <c r="O71" i="5"/>
  <c r="T45" i="31" a="1"/>
  <c r="T45" i="31" s="1"/>
  <c r="T52" i="31" a="1"/>
  <c r="T52" i="31" s="1"/>
  <c r="T49" i="31" a="1"/>
  <c r="T49" i="31" s="1"/>
  <c r="T48" i="31" a="1"/>
  <c r="T48" i="31" s="1"/>
  <c r="T35" i="31" a="1"/>
  <c r="T35" i="31" s="1"/>
  <c r="T57" i="31" a="1"/>
  <c r="T57" i="31" s="1"/>
  <c r="T16" i="31" a="1"/>
  <c r="T16" i="31" s="1"/>
  <c r="R16" i="31" a="1"/>
  <c r="R16" i="31" s="1"/>
  <c r="M36" i="5"/>
  <c r="L36" i="5"/>
  <c r="M26" i="31" a="1"/>
  <c r="M26" i="31" s="1"/>
  <c r="K26" i="31" s="1"/>
  <c r="T26" i="31" s="1" a="1"/>
  <c r="T26" i="31" s="1"/>
  <c r="L11" i="5"/>
  <c r="M11" i="5"/>
  <c r="L27" i="5"/>
  <c r="L32" i="5" s="1"/>
  <c r="N38" i="31" s="1" a="1"/>
  <c r="N38" i="31" s="1"/>
  <c r="M27" i="5"/>
  <c r="M32" i="5" s="1"/>
  <c r="R38" i="31" s="1" a="1"/>
  <c r="R38" i="31" s="1"/>
  <c r="M60" i="5"/>
  <c r="R50" i="31" s="1" a="1"/>
  <c r="R50" i="31" s="1"/>
  <c r="L60" i="5"/>
  <c r="N50" i="31" s="1" a="1"/>
  <c r="N50" i="31" s="1"/>
  <c r="M5" i="5"/>
  <c r="M7" i="5" s="1"/>
  <c r="L5" i="5"/>
  <c r="L7" i="5" s="1"/>
  <c r="M17" i="31" a="1"/>
  <c r="M17" i="31" s="1"/>
  <c r="M83" i="5"/>
  <c r="L71" i="5"/>
  <c r="M71" i="5"/>
  <c r="L83" i="5"/>
  <c r="L9" i="5"/>
  <c r="M9" i="5"/>
  <c r="N57" i="31" a="1"/>
  <c r="N57" i="31" s="1"/>
  <c r="R57" i="31" a="1"/>
  <c r="R57" i="31" s="1"/>
  <c r="N45" i="31" a="1"/>
  <c r="N45" i="31" s="1"/>
  <c r="R45" i="31" a="1"/>
  <c r="R45" i="31" s="1"/>
  <c r="N35" i="31" a="1"/>
  <c r="N35" i="31" s="1"/>
  <c r="R35" i="31" a="1"/>
  <c r="R35" i="31" s="1"/>
  <c r="N52" i="31" a="1"/>
  <c r="N52" i="31" s="1"/>
  <c r="R52" i="31" a="1"/>
  <c r="R52" i="31" s="1"/>
  <c r="R49" i="31" a="1"/>
  <c r="R49" i="31" s="1"/>
  <c r="N49" i="31" a="1"/>
  <c r="N49" i="31" s="1"/>
  <c r="R48" i="31" a="1"/>
  <c r="R48" i="31" s="1"/>
  <c r="N48" i="31" a="1"/>
  <c r="N48" i="31" s="1"/>
  <c r="M33" i="31" a="1"/>
  <c r="M33" i="31" s="1"/>
  <c r="K33" i="31" s="1"/>
  <c r="K18" i="31"/>
  <c r="M24" i="31" a="1"/>
  <c r="M24" i="31" s="1"/>
  <c r="K24" i="31" s="1"/>
  <c r="T24" i="31" s="1" a="1"/>
  <c r="T24" i="31" s="1"/>
  <c r="T50" i="31" a="1"/>
  <c r="T50" i="31" s="1"/>
  <c r="B24" i="37" l="1" a="1"/>
  <c r="B24" i="37" s="1"/>
  <c r="P57" i="31"/>
  <c r="P10" i="5"/>
  <c r="P15" i="5" s="1"/>
  <c r="O10" i="5"/>
  <c r="O15" i="5" s="1"/>
  <c r="N10" i="5"/>
  <c r="N15" i="5" s="1"/>
  <c r="N17" i="5"/>
  <c r="O17" i="5"/>
  <c r="P17" i="5"/>
  <c r="N19" i="5"/>
  <c r="P19" i="5"/>
  <c r="O19" i="5"/>
  <c r="N34" i="5"/>
  <c r="N41" i="5" s="1"/>
  <c r="O34" i="5"/>
  <c r="O41" i="5" s="1"/>
  <c r="P34" i="5"/>
  <c r="P41" i="5" s="1"/>
  <c r="T54" i="31"/>
  <c r="T53" i="31" s="1"/>
  <c r="H6" i="32" s="1"/>
  <c r="G6" i="32" s="1"/>
  <c r="R54" i="31"/>
  <c r="R53" i="31" s="1"/>
  <c r="G42" i="32" s="1"/>
  <c r="G64" i="32" s="1"/>
  <c r="T33" i="31" a="1"/>
  <c r="T33" i="31" s="1"/>
  <c r="T42" i="31"/>
  <c r="T41" i="31" s="1"/>
  <c r="H5" i="32" s="1"/>
  <c r="Q16" i="31" a="1"/>
  <c r="Q16" i="31" s="1"/>
  <c r="Q38" i="31" a="1"/>
  <c r="Q38" i="31" s="1"/>
  <c r="Q50" i="31" a="1"/>
  <c r="Q50" i="31" s="1"/>
  <c r="M25" i="31" a="1"/>
  <c r="M25" i="31" s="1"/>
  <c r="L10" i="5"/>
  <c r="L15" i="5" s="1"/>
  <c r="M10" i="5"/>
  <c r="M15" i="5" s="1"/>
  <c r="L19" i="5"/>
  <c r="N26" i="31" s="1" a="1"/>
  <c r="N26" i="31" s="1"/>
  <c r="M19" i="5"/>
  <c r="R26" i="31" s="1" a="1"/>
  <c r="R26" i="31" s="1"/>
  <c r="L17" i="5"/>
  <c r="N24" i="31" s="1" a="1"/>
  <c r="N24" i="31" s="1"/>
  <c r="M17" i="5"/>
  <c r="R24" i="31" s="1" a="1"/>
  <c r="R24" i="31" s="1"/>
  <c r="L34" i="5"/>
  <c r="L41" i="5" s="1"/>
  <c r="M34" i="5"/>
  <c r="M41" i="5" s="1"/>
  <c r="N27" i="31" a="1"/>
  <c r="N27" i="31" s="1"/>
  <c r="N19" i="31" a="1"/>
  <c r="N19" i="31" s="1"/>
  <c r="R27" i="31" a="1"/>
  <c r="R27" i="31" s="1"/>
  <c r="R19" i="31" a="1"/>
  <c r="R19" i="31" s="1"/>
  <c r="Q48" i="31" a="1"/>
  <c r="Q48" i="31" s="1"/>
  <c r="Q45" i="31" a="1"/>
  <c r="Q45" i="31" s="1"/>
  <c r="T18" i="31" a="1"/>
  <c r="T18" i="31" s="1"/>
  <c r="N54" i="31"/>
  <c r="Q49" i="31" a="1"/>
  <c r="Q49" i="31" s="1"/>
  <c r="Q57" i="31" a="1"/>
  <c r="Q57" i="31" s="1"/>
  <c r="R42" i="31"/>
  <c r="R41" i="31" s="1"/>
  <c r="G41" i="32" s="1"/>
  <c r="N42" i="31"/>
  <c r="R33" i="31" a="1"/>
  <c r="R33" i="31" s="1"/>
  <c r="N33" i="31" a="1"/>
  <c r="N33" i="31" s="1"/>
  <c r="Q52" i="31" a="1"/>
  <c r="Q52" i="31" s="1"/>
  <c r="Q35" i="31" a="1"/>
  <c r="Q35" i="31" s="1"/>
  <c r="N18" i="31" a="1"/>
  <c r="N18" i="31" s="1"/>
  <c r="R18" i="31" a="1"/>
  <c r="R18" i="31" s="1"/>
  <c r="T38" i="31" a="1"/>
  <c r="T38" i="31" s="1"/>
  <c r="K25" i="31" l="1"/>
  <c r="T25" i="31" s="1" a="1"/>
  <c r="T25" i="31" s="1"/>
  <c r="B25" i="37" a="1"/>
  <c r="B25" i="37" s="1"/>
  <c r="P54" i="31"/>
  <c r="P53" i="31" s="1"/>
  <c r="E42" i="32" s="1"/>
  <c r="E64" i="32" s="1"/>
  <c r="Q24" i="31" a="1"/>
  <c r="Q24" i="31" s="1"/>
  <c r="Q26" i="31" a="1"/>
  <c r="Q26" i="31" s="1"/>
  <c r="P18" i="5"/>
  <c r="N18" i="5"/>
  <c r="N23" i="5" s="1"/>
  <c r="O18" i="5"/>
  <c r="R32" i="31"/>
  <c r="R31" i="31" s="1"/>
  <c r="G40" i="32" s="1"/>
  <c r="S52" i="31"/>
  <c r="S35" i="31"/>
  <c r="S50" i="31"/>
  <c r="S45" i="31"/>
  <c r="Q54" i="31"/>
  <c r="Q53" i="31" s="1"/>
  <c r="F42" i="32" s="1"/>
  <c r="F64" i="32" s="1"/>
  <c r="S38" i="31"/>
  <c r="S48" i="31"/>
  <c r="S49" i="31"/>
  <c r="S16" i="31"/>
  <c r="N41" i="31"/>
  <c r="N53" i="31"/>
  <c r="T32" i="31"/>
  <c r="T31" i="31" s="1"/>
  <c r="H4" i="32" s="1"/>
  <c r="K17" i="31"/>
  <c r="L18" i="5"/>
  <c r="M18" i="5"/>
  <c r="T27" i="31" a="1"/>
  <c r="T27" i="31" s="1"/>
  <c r="T19" i="31" a="1"/>
  <c r="T19" i="31" s="1"/>
  <c r="Q19" i="31" a="1"/>
  <c r="Q19" i="31" s="1"/>
  <c r="Q27" i="31" a="1"/>
  <c r="Q27" i="31" s="1"/>
  <c r="N32" i="31"/>
  <c r="S57" i="31"/>
  <c r="Q42" i="31"/>
  <c r="Q41" i="31" s="1"/>
  <c r="F41" i="32" s="1"/>
  <c r="Q185" i="31" a="1"/>
  <c r="Q185" i="31" s="1"/>
  <c r="Q33" i="31" a="1"/>
  <c r="Q33" i="31" s="1"/>
  <c r="Q18" i="31" a="1"/>
  <c r="Q18" i="31" s="1"/>
  <c r="E5" i="37" l="1" a="1"/>
  <c r="E5" i="37" s="1"/>
  <c r="E7" i="37" a="1"/>
  <c r="E7" i="37" s="1"/>
  <c r="E6" i="37" a="1"/>
  <c r="E6" i="37" s="1"/>
  <c r="E10" i="37" a="1"/>
  <c r="E10" i="37" s="1"/>
  <c r="E12" i="37" a="1"/>
  <c r="E12" i="37" s="1"/>
  <c r="E13" i="37" a="1"/>
  <c r="E13" i="37" s="1"/>
  <c r="E15" i="37" a="1"/>
  <c r="E15" i="37" s="1"/>
  <c r="E17" i="37" a="1"/>
  <c r="E17" i="37" s="1"/>
  <c r="E19" i="37" a="1"/>
  <c r="E19" i="37" s="1"/>
  <c r="E21" i="37" a="1"/>
  <c r="E21" i="37" s="1"/>
  <c r="E22" i="37" a="1"/>
  <c r="E22" i="37" s="1"/>
  <c r="E8" i="37" a="1"/>
  <c r="E8" i="37" s="1"/>
  <c r="E9" i="37" a="1"/>
  <c r="E9" i="37" s="1"/>
  <c r="E11" i="37" a="1"/>
  <c r="E11" i="37" s="1"/>
  <c r="E14" i="37" a="1"/>
  <c r="E14" i="37" s="1"/>
  <c r="E16" i="37" a="1"/>
  <c r="E16" i="37" s="1"/>
  <c r="E18" i="37" a="1"/>
  <c r="E18" i="37" s="1"/>
  <c r="E20" i="37" a="1"/>
  <c r="E20" i="37" s="1"/>
  <c r="E23" i="37" a="1"/>
  <c r="E23" i="37" s="1"/>
  <c r="E24" i="37" a="1"/>
  <c r="E24" i="37" s="1"/>
  <c r="B26" i="37" a="1"/>
  <c r="B26" i="37" s="1"/>
  <c r="E25" i="37" a="1"/>
  <c r="E25" i="37" s="1"/>
  <c r="E3" i="37" a="1"/>
  <c r="E3" i="37" s="1"/>
  <c r="E4" i="37" a="1"/>
  <c r="E4" i="37" s="1"/>
  <c r="Q183" i="31"/>
  <c r="Q182" i="31" s="1"/>
  <c r="S24" i="31"/>
  <c r="S26" i="31"/>
  <c r="O23" i="5"/>
  <c r="P23" i="5"/>
  <c r="M23" i="5"/>
  <c r="R25" i="31" a="1"/>
  <c r="R25" i="31" s="1"/>
  <c r="L23" i="5"/>
  <c r="N25" i="31" a="1"/>
  <c r="N25" i="31" s="1"/>
  <c r="T23" i="31"/>
  <c r="S19" i="31"/>
  <c r="S27" i="31"/>
  <c r="S18" i="31"/>
  <c r="S33" i="31"/>
  <c r="N31" i="31"/>
  <c r="C42" i="32"/>
  <c r="C64" i="32" s="1"/>
  <c r="C41" i="32"/>
  <c r="T17" i="31" a="1"/>
  <c r="T17" i="31" s="1"/>
  <c r="R17" i="31" a="1"/>
  <c r="R17" i="31" s="1"/>
  <c r="N17" i="31" a="1"/>
  <c r="N17" i="31" s="1"/>
  <c r="P182" i="31"/>
  <c r="S185" i="31"/>
  <c r="Q32" i="31"/>
  <c r="Q31" i="31" s="1"/>
  <c r="F40" i="32" s="1"/>
  <c r="B27" i="37" l="1" a="1"/>
  <c r="B27" i="37" s="1"/>
  <c r="E26" i="37" a="1"/>
  <c r="E26" i="37" s="1"/>
  <c r="S183" i="31"/>
  <c r="F52" i="32"/>
  <c r="F69" i="32" s="1"/>
  <c r="N29" i="31" a="1"/>
  <c r="N29" i="31" s="1"/>
  <c r="N30" i="31" a="1"/>
  <c r="N30" i="31" s="1"/>
  <c r="R29" i="31" a="1"/>
  <c r="R29" i="31" s="1"/>
  <c r="R30" i="31" a="1"/>
  <c r="R30" i="31" s="1"/>
  <c r="Q25" i="31" a="1"/>
  <c r="Q25" i="31" s="1"/>
  <c r="T15" i="31"/>
  <c r="T14" i="31" s="1"/>
  <c r="R15" i="31"/>
  <c r="C40" i="32"/>
  <c r="N15" i="31"/>
  <c r="Q17" i="31" a="1"/>
  <c r="Q17" i="31" s="1"/>
  <c r="P277" i="31"/>
  <c r="D54" i="29" s="1"/>
  <c r="E52" i="32"/>
  <c r="E69" i="32" s="1"/>
  <c r="B28" i="37" l="1" a="1"/>
  <c r="B28" i="37" s="1"/>
  <c r="E27" i="37" a="1"/>
  <c r="E27" i="37" s="1"/>
  <c r="Q29" i="31" a="1"/>
  <c r="Q29" i="31" s="1"/>
  <c r="N23" i="31"/>
  <c r="N14" i="31" s="1"/>
  <c r="C39" i="32" s="1"/>
  <c r="C61" i="32" s="1"/>
  <c r="R23" i="31"/>
  <c r="R14" i="31" s="1"/>
  <c r="R277" i="31" s="1"/>
  <c r="D56" i="29" s="1"/>
  <c r="Q30" i="31" a="1"/>
  <c r="Q30" i="31" s="1"/>
  <c r="S25" i="31"/>
  <c r="H3" i="32"/>
  <c r="G3" i="32" s="1"/>
  <c r="S17" i="31"/>
  <c r="Q15" i="31"/>
  <c r="B29" i="37" l="1" a="1"/>
  <c r="B29" i="37" s="1"/>
  <c r="E28" i="37" a="1"/>
  <c r="E28" i="37" s="1"/>
  <c r="S29" i="31"/>
  <c r="G39" i="32"/>
  <c r="G61" i="32" s="1"/>
  <c r="Q23" i="31"/>
  <c r="Q14" i="31" s="1"/>
  <c r="Q277" i="31" s="1"/>
  <c r="D55" i="29" s="1"/>
  <c r="S30" i="31"/>
  <c r="N277" i="31"/>
  <c r="D52" i="29" s="1"/>
  <c r="S15" i="31"/>
  <c r="B30" i="37" l="1" a="1"/>
  <c r="B30" i="37" s="1"/>
  <c r="E29" i="37" a="1"/>
  <c r="E29" i="37" s="1"/>
  <c r="M11" i="30"/>
  <c r="F39" i="32"/>
  <c r="F61" i="32" s="1"/>
  <c r="D3" i="37"/>
  <c r="B31" i="37" l="1" a="1"/>
  <c r="B31" i="37" s="1"/>
  <c r="E30" i="37" a="1"/>
  <c r="E30" i="37" s="1"/>
  <c r="G3" i="37" a="1"/>
  <c r="G3" i="37" s="1"/>
  <c r="I4" i="37"/>
  <c r="I5" i="37"/>
  <c r="D4" i="37"/>
  <c r="G4" i="37" s="1" a="1"/>
  <c r="G4" i="37" s="1"/>
  <c r="F3" i="37" a="1"/>
  <c r="F3" i="37" s="1"/>
  <c r="B32" i="37" l="1" a="1"/>
  <c r="B32" i="37" s="1"/>
  <c r="E31" i="37" a="1"/>
  <c r="E31" i="37" s="1"/>
  <c r="H3" i="37"/>
  <c r="D5" i="37"/>
  <c r="G5" i="37" s="1" a="1"/>
  <c r="G5" i="37" s="1"/>
  <c r="F4" i="37" a="1"/>
  <c r="F4" i="37" s="1"/>
  <c r="B33" i="37" l="1" a="1"/>
  <c r="B33" i="37" s="1"/>
  <c r="E32" i="37" a="1"/>
  <c r="E32" i="37" s="1"/>
  <c r="H4" i="37"/>
  <c r="D6" i="37"/>
  <c r="G6" i="37" s="1" a="1"/>
  <c r="G6" i="37" s="1"/>
  <c r="F5" i="37" a="1"/>
  <c r="F5" i="37" s="1"/>
  <c r="I6" i="37"/>
  <c r="B34" i="37" l="1" a="1"/>
  <c r="B34" i="37" s="1"/>
  <c r="E33" i="37" a="1"/>
  <c r="E33" i="37" s="1"/>
  <c r="H5" i="37"/>
  <c r="F6" i="37" a="1"/>
  <c r="F6" i="37" s="1"/>
  <c r="D7" i="37"/>
  <c r="G7" i="37" s="1" a="1"/>
  <c r="G7" i="37" s="1"/>
  <c r="I7" i="37"/>
  <c r="E34" i="37" l="1" a="1"/>
  <c r="E34" i="37" s="1"/>
  <c r="B35" i="37" a="1"/>
  <c r="B35" i="37" s="1"/>
  <c r="H6" i="37"/>
  <c r="I8" i="37"/>
  <c r="F7" i="37" a="1"/>
  <c r="F7" i="37" s="1"/>
  <c r="D8" i="37"/>
  <c r="G8" i="37" s="1" a="1"/>
  <c r="G8" i="37" s="1"/>
  <c r="E35" i="37" l="1" a="1"/>
  <c r="E35" i="37" s="1"/>
  <c r="B36" i="37" a="1"/>
  <c r="B36" i="37" s="1"/>
  <c r="H7" i="37"/>
  <c r="D9" i="37"/>
  <c r="G9" i="37" s="1" a="1"/>
  <c r="G9" i="37" s="1"/>
  <c r="F8" i="37" a="1"/>
  <c r="F8" i="37" s="1"/>
  <c r="I9" i="37"/>
  <c r="B37" i="37" l="1" a="1"/>
  <c r="B37" i="37" s="1"/>
  <c r="E36" i="37" a="1"/>
  <c r="E36" i="37" s="1"/>
  <c r="H8" i="37"/>
  <c r="D10" i="37"/>
  <c r="G10" i="37" s="1" a="1"/>
  <c r="G10" i="37" s="1"/>
  <c r="F9" i="37" a="1"/>
  <c r="F9" i="37" s="1"/>
  <c r="I10" i="37"/>
  <c r="B38" i="37" l="1" a="1"/>
  <c r="B38" i="37" s="1"/>
  <c r="E37" i="37" a="1"/>
  <c r="E37" i="37" s="1"/>
  <c r="D11" i="37"/>
  <c r="G11" i="37" s="1" a="1"/>
  <c r="G11" i="37" s="1"/>
  <c r="H9" i="37"/>
  <c r="F10" i="37" a="1"/>
  <c r="F10" i="37" s="1"/>
  <c r="I11" i="37"/>
  <c r="B39" i="37" l="1" a="1"/>
  <c r="B39" i="37" s="1"/>
  <c r="E38" i="37" a="1"/>
  <c r="E38" i="37" s="1"/>
  <c r="F11" i="37" a="1"/>
  <c r="F11" i="37" s="1"/>
  <c r="H10" i="37"/>
  <c r="I12" i="37"/>
  <c r="D12" i="37"/>
  <c r="G12" i="37" s="1" a="1"/>
  <c r="G12" i="37" s="1"/>
  <c r="B40" i="37" l="1" a="1"/>
  <c r="B40" i="37" s="1"/>
  <c r="E39" i="37" a="1"/>
  <c r="E39" i="37" s="1"/>
  <c r="H11" i="37"/>
  <c r="D13" i="37"/>
  <c r="G13" i="37" s="1" a="1"/>
  <c r="G13" i="37" s="1"/>
  <c r="F12" i="37" a="1"/>
  <c r="F12" i="37" s="1"/>
  <c r="I13" i="37"/>
  <c r="B41" i="37" l="1" a="1"/>
  <c r="B41" i="37" s="1"/>
  <c r="E40" i="37" a="1"/>
  <c r="E40" i="37" s="1"/>
  <c r="H12" i="37"/>
  <c r="D14" i="37"/>
  <c r="G14" i="37" s="1" a="1"/>
  <c r="G14" i="37" s="1"/>
  <c r="F13" i="37" a="1"/>
  <c r="F13" i="37" s="1"/>
  <c r="I14" i="37"/>
  <c r="B42" i="37" l="1" a="1"/>
  <c r="B42" i="37" s="1"/>
  <c r="E41" i="37" a="1"/>
  <c r="E41" i="37" s="1"/>
  <c r="H13" i="37"/>
  <c r="F14" i="37" a="1"/>
  <c r="F14" i="37" s="1"/>
  <c r="D15" i="37"/>
  <c r="G15" i="37" s="1" a="1"/>
  <c r="G15" i="37" s="1"/>
  <c r="I15" i="37"/>
  <c r="B43" i="37" l="1" a="1"/>
  <c r="B43" i="37" s="1"/>
  <c r="E42" i="37" a="1"/>
  <c r="E42" i="37" s="1"/>
  <c r="H14" i="37"/>
  <c r="F15" i="37" a="1"/>
  <c r="F15" i="37" s="1"/>
  <c r="D16" i="37"/>
  <c r="G16" i="37" s="1" a="1"/>
  <c r="G16" i="37" s="1"/>
  <c r="I16" i="37"/>
  <c r="B44" i="37" l="1" a="1"/>
  <c r="B44" i="37" s="1"/>
  <c r="E43" i="37" a="1"/>
  <c r="E43" i="37" s="1"/>
  <c r="H15" i="37"/>
  <c r="D17" i="37"/>
  <c r="G17" i="37" s="1" a="1"/>
  <c r="G17" i="37" s="1"/>
  <c r="F16" i="37" a="1"/>
  <c r="F16" i="37" s="1"/>
  <c r="I17" i="37"/>
  <c r="B45" i="37" l="1" a="1"/>
  <c r="B45" i="37" s="1"/>
  <c r="E44" i="37" a="1"/>
  <c r="E44" i="37" s="1"/>
  <c r="H16" i="37"/>
  <c r="D18" i="37"/>
  <c r="G18" i="37" s="1" a="1"/>
  <c r="G18" i="37" s="1"/>
  <c r="F17" i="37" a="1"/>
  <c r="F17" i="37" s="1"/>
  <c r="I18" i="37"/>
  <c r="B46" i="37" l="1" a="1"/>
  <c r="B46" i="37" s="1"/>
  <c r="E45" i="37" a="1"/>
  <c r="E45" i="37" s="1"/>
  <c r="D20" i="37"/>
  <c r="G20" i="37" s="1" a="1"/>
  <c r="G20" i="37" s="1"/>
  <c r="H17" i="37"/>
  <c r="F18" i="37" a="1"/>
  <c r="F18" i="37" s="1"/>
  <c r="I19" i="37"/>
  <c r="D19" i="37"/>
  <c r="G19" i="37" s="1" a="1"/>
  <c r="G19" i="37" s="1"/>
  <c r="B47" i="37" l="1" a="1"/>
  <c r="B47" i="37" s="1"/>
  <c r="E46" i="37" a="1"/>
  <c r="E46" i="37" s="1"/>
  <c r="I21" i="37"/>
  <c r="I20" i="37"/>
  <c r="H18" i="37"/>
  <c r="F19" i="37" a="1"/>
  <c r="F19" i="37" s="1"/>
  <c r="F20" i="37" a="1"/>
  <c r="F20" i="37" s="1"/>
  <c r="B48" i="37" l="1" a="1"/>
  <c r="B48" i="37" s="1"/>
  <c r="E47" i="37" a="1"/>
  <c r="E47" i="37" s="1"/>
  <c r="D22" i="37"/>
  <c r="G22" i="37" s="1" a="1"/>
  <c r="G22" i="37" s="1"/>
  <c r="D21" i="37"/>
  <c r="G21" i="37" s="1" a="1"/>
  <c r="G21" i="37" s="1"/>
  <c r="H19" i="37"/>
  <c r="H20" i="37"/>
  <c r="E48" i="37" l="1" a="1"/>
  <c r="E48" i="37" s="1"/>
  <c r="B49" i="37" a="1"/>
  <c r="B49" i="37" s="1"/>
  <c r="I22" i="37"/>
  <c r="I23" i="37"/>
  <c r="F21" i="37" a="1"/>
  <c r="F21" i="37" s="1"/>
  <c r="F22" i="37" a="1"/>
  <c r="F22" i="37" s="1"/>
  <c r="B50" i="37" l="1" a="1"/>
  <c r="B50" i="37" s="1"/>
  <c r="E49" i="37" a="1"/>
  <c r="E49" i="37" s="1"/>
  <c r="H21" i="37"/>
  <c r="I24" i="37"/>
  <c r="D23" i="37"/>
  <c r="G23" i="37" s="1" a="1"/>
  <c r="G23" i="37" s="1"/>
  <c r="H22" i="37"/>
  <c r="B51" i="37" l="1" a="1"/>
  <c r="B51" i="37" s="1"/>
  <c r="E50" i="37" a="1"/>
  <c r="E50" i="37" s="1"/>
  <c r="D24" i="37"/>
  <c r="G24" i="37" s="1" a="1"/>
  <c r="G24" i="37" s="1"/>
  <c r="F23" i="37" a="1"/>
  <c r="F23" i="37" s="1"/>
  <c r="I25" i="37"/>
  <c r="B52" i="37" l="1" a="1"/>
  <c r="B52" i="37" s="1"/>
  <c r="E51" i="37" a="1"/>
  <c r="E51" i="37" s="1"/>
  <c r="H23" i="37"/>
  <c r="I26" i="37"/>
  <c r="D25" i="37"/>
  <c r="G25" i="37" s="1" a="1"/>
  <c r="G25" i="37" s="1"/>
  <c r="F24" i="37" a="1"/>
  <c r="F24" i="37" s="1"/>
  <c r="B53" i="37" l="1" a="1"/>
  <c r="B53" i="37" s="1"/>
  <c r="E52" i="37" a="1"/>
  <c r="E52" i="37" s="1"/>
  <c r="H24" i="37"/>
  <c r="I27" i="37"/>
  <c r="D26" i="37"/>
  <c r="G26" i="37" s="1" a="1"/>
  <c r="G26" i="37" s="1"/>
  <c r="F25" i="37" a="1"/>
  <c r="F25" i="37" s="1"/>
  <c r="B54" i="37" l="1" a="1"/>
  <c r="B54" i="37" s="1"/>
  <c r="E53" i="37" a="1"/>
  <c r="E53" i="37" s="1"/>
  <c r="H25" i="37"/>
  <c r="I28" i="37"/>
  <c r="D27" i="37"/>
  <c r="G27" i="37" s="1" a="1"/>
  <c r="G27" i="37" s="1"/>
  <c r="F26" i="37" a="1"/>
  <c r="F26" i="37" s="1"/>
  <c r="B55" i="37" l="1" a="1"/>
  <c r="B55" i="37" s="1"/>
  <c r="E54" i="37" a="1"/>
  <c r="E54" i="37" s="1"/>
  <c r="H26" i="37"/>
  <c r="I29" i="37"/>
  <c r="D28" i="37"/>
  <c r="G28" i="37" s="1" a="1"/>
  <c r="G28" i="37" s="1"/>
  <c r="F27" i="37" a="1"/>
  <c r="F27" i="37" s="1"/>
  <c r="B56" i="37" l="1" a="1"/>
  <c r="B56" i="37" s="1"/>
  <c r="E55" i="37" a="1"/>
  <c r="E55" i="37" s="1"/>
  <c r="H27" i="37"/>
  <c r="I30" i="37"/>
  <c r="D29" i="37"/>
  <c r="G29" i="37" s="1" a="1"/>
  <c r="G29" i="37" s="1"/>
  <c r="F28" i="37" a="1"/>
  <c r="F28" i="37" s="1"/>
  <c r="B57" i="37" l="1" a="1"/>
  <c r="B57" i="37" s="1"/>
  <c r="E56" i="37" a="1"/>
  <c r="E56" i="37" s="1"/>
  <c r="H28" i="37"/>
  <c r="D31" i="37"/>
  <c r="G31" i="37" s="1" a="1"/>
  <c r="G31" i="37" s="1"/>
  <c r="D30" i="37"/>
  <c r="G30" i="37" s="1" a="1"/>
  <c r="G30" i="37" s="1"/>
  <c r="F29" i="37" a="1"/>
  <c r="F29" i="37" s="1"/>
  <c r="B58" i="37" l="1" a="1"/>
  <c r="B58" i="37" s="1"/>
  <c r="E57" i="37" a="1"/>
  <c r="E57" i="37" s="1"/>
  <c r="H29" i="37"/>
  <c r="F30" i="37" a="1"/>
  <c r="F30" i="37" s="1"/>
  <c r="I32" i="37"/>
  <c r="I31" i="37"/>
  <c r="F31" i="37" a="1"/>
  <c r="F31" i="37" s="1"/>
  <c r="B59" i="37" l="1" a="1"/>
  <c r="B59" i="37" s="1"/>
  <c r="E58" i="37" a="1"/>
  <c r="E58" i="37" s="1"/>
  <c r="H30" i="37"/>
  <c r="H31" i="37"/>
  <c r="I33" i="37"/>
  <c r="D32" i="37"/>
  <c r="G32" i="37" s="1" a="1"/>
  <c r="G32" i="37" s="1"/>
  <c r="B60" i="37" l="1" a="1"/>
  <c r="B60" i="37" s="1"/>
  <c r="E59" i="37" a="1"/>
  <c r="E59" i="37" s="1"/>
  <c r="I34" i="37"/>
  <c r="D33" i="37"/>
  <c r="G33" i="37" s="1" a="1"/>
  <c r="G33" i="37" s="1"/>
  <c r="F32" i="37" a="1"/>
  <c r="F32" i="37" s="1"/>
  <c r="B61" i="37" l="1" a="1"/>
  <c r="B61" i="37" s="1"/>
  <c r="E60" i="37" a="1"/>
  <c r="E60" i="37" s="1"/>
  <c r="H32" i="37"/>
  <c r="I35" i="37"/>
  <c r="D34" i="37"/>
  <c r="G34" i="37" s="1" a="1"/>
  <c r="G34" i="37" s="1"/>
  <c r="F33" i="37" a="1"/>
  <c r="F33" i="37" s="1"/>
  <c r="B62" i="37" l="1" a="1"/>
  <c r="B62" i="37" s="1"/>
  <c r="E61" i="37" a="1"/>
  <c r="E61" i="37" s="1"/>
  <c r="H33" i="37"/>
  <c r="D35" i="37"/>
  <c r="G35" i="37" s="1" a="1"/>
  <c r="G35" i="37" s="1"/>
  <c r="F34" i="37" a="1"/>
  <c r="F34" i="37" s="1"/>
  <c r="B63" i="37" l="1" a="1"/>
  <c r="B63" i="37" s="1"/>
  <c r="E62" i="37" a="1"/>
  <c r="E62" i="37" s="1"/>
  <c r="H34" i="37"/>
  <c r="D36" i="37"/>
  <c r="G36" i="37" s="1" a="1"/>
  <c r="G36" i="37" s="1"/>
  <c r="F35" i="37" a="1"/>
  <c r="F35" i="37" s="1"/>
  <c r="I37" i="37"/>
  <c r="I36" i="37"/>
  <c r="B64" i="37" l="1" a="1"/>
  <c r="B64" i="37" s="1"/>
  <c r="E63" i="37" a="1"/>
  <c r="E63" i="37" s="1"/>
  <c r="H35" i="37"/>
  <c r="I38" i="37"/>
  <c r="D37" i="37"/>
  <c r="G37" i="37" s="1" a="1"/>
  <c r="G37" i="37" s="1"/>
  <c r="F36" i="37" a="1"/>
  <c r="F36" i="37" s="1"/>
  <c r="B65" i="37" l="1" a="1"/>
  <c r="B65" i="37" s="1"/>
  <c r="E64" i="37" a="1"/>
  <c r="E64" i="37" s="1"/>
  <c r="H36" i="37"/>
  <c r="I39" i="37"/>
  <c r="D38" i="37"/>
  <c r="G38" i="37" s="1" a="1"/>
  <c r="G38" i="37" s="1"/>
  <c r="F37" i="37" a="1"/>
  <c r="F37" i="37" s="1"/>
  <c r="B66" i="37" l="1" a="1"/>
  <c r="B66" i="37" s="1"/>
  <c r="E65" i="37" a="1"/>
  <c r="E65" i="37" s="1"/>
  <c r="H37" i="37"/>
  <c r="I40" i="37"/>
  <c r="D39" i="37"/>
  <c r="G39" i="37" s="1" a="1"/>
  <c r="G39" i="37" s="1"/>
  <c r="F38" i="37" a="1"/>
  <c r="F38" i="37" s="1"/>
  <c r="E66" i="37" l="1" a="1"/>
  <c r="E66" i="37" s="1"/>
  <c r="D66" i="37"/>
  <c r="B67" i="37" a="1"/>
  <c r="B67" i="37" s="1"/>
  <c r="H38" i="37"/>
  <c r="I41" i="37"/>
  <c r="D40" i="37"/>
  <c r="G40" i="37" s="1" a="1"/>
  <c r="G40" i="37" s="1"/>
  <c r="F39" i="37" a="1"/>
  <c r="F39" i="37" s="1"/>
  <c r="E67" i="37" l="1" a="1"/>
  <c r="E67" i="37" s="1"/>
  <c r="D67" i="37"/>
  <c r="B68" i="37" a="1"/>
  <c r="B68" i="37" s="1"/>
  <c r="H39" i="37"/>
  <c r="I42" i="37"/>
  <c r="D41" i="37"/>
  <c r="G41" i="37" s="1" a="1"/>
  <c r="G41" i="37" s="1"/>
  <c r="F40" i="37" a="1"/>
  <c r="F40" i="37" s="1"/>
  <c r="E68" i="37" l="1" a="1"/>
  <c r="E68" i="37" s="1"/>
  <c r="D68" i="37"/>
  <c r="B69" i="37" a="1"/>
  <c r="B69" i="37" s="1"/>
  <c r="H40" i="37"/>
  <c r="D42" i="37"/>
  <c r="G42" i="37" s="1" a="1"/>
  <c r="G42" i="37" s="1"/>
  <c r="F41" i="37" a="1"/>
  <c r="F41" i="37" s="1"/>
  <c r="E69" i="37" l="1" a="1"/>
  <c r="E69" i="37" s="1"/>
  <c r="D69" i="37"/>
  <c r="D43" i="37"/>
  <c r="G43" i="37" s="1" a="1"/>
  <c r="G43" i="37" s="1"/>
  <c r="I45" i="37"/>
  <c r="H41" i="37"/>
  <c r="F42" i="37" a="1"/>
  <c r="F42" i="37" s="1"/>
  <c r="I43" i="37"/>
  <c r="F43" i="37" l="1" a="1"/>
  <c r="F43" i="37" s="1"/>
  <c r="H42" i="37"/>
  <c r="D45" i="37"/>
  <c r="I46" i="37"/>
  <c r="I44" i="37"/>
  <c r="D44" i="37"/>
  <c r="G44" i="37" s="1" a="1"/>
  <c r="G44" i="37" s="1"/>
  <c r="H43" i="37" l="1"/>
  <c r="F45" i="37" a="1"/>
  <c r="F45" i="37" s="1"/>
  <c r="G45" i="37" a="1"/>
  <c r="G45" i="37" s="1"/>
  <c r="D46" i="37"/>
  <c r="I47" i="37"/>
  <c r="F44" i="37" a="1"/>
  <c r="F44" i="37" s="1"/>
  <c r="H45" i="37" l="1"/>
  <c r="H44" i="37"/>
  <c r="F46" i="37" a="1"/>
  <c r="F46" i="37" s="1"/>
  <c r="G46" i="37" a="1"/>
  <c r="G46" i="37" s="1"/>
  <c r="D47" i="37"/>
  <c r="I48" i="37"/>
  <c r="F17" i="34"/>
  <c r="G47" i="37" l="1" a="1"/>
  <c r="G47" i="37" s="1"/>
  <c r="F47" i="37" a="1"/>
  <c r="F47" i="37" s="1"/>
  <c r="H46" i="37"/>
  <c r="D48" i="37"/>
  <c r="I49" i="37"/>
  <c r="F25" i="32"/>
  <c r="D47" i="29" s="1"/>
  <c r="D62" i="29" s="1"/>
  <c r="S119" i="31"/>
  <c r="S153" i="31"/>
  <c r="S110" i="31"/>
  <c r="S144" i="31"/>
  <c r="S265" i="31"/>
  <c r="S54" i="31"/>
  <c r="S211" i="31"/>
  <c r="S245" i="31"/>
  <c r="S257" i="31"/>
  <c r="S76" i="31"/>
  <c r="S252" i="31"/>
  <c r="S271" i="31"/>
  <c r="S169" i="31"/>
  <c r="S128" i="31"/>
  <c r="S10" i="31"/>
  <c r="M8" i="30" s="1"/>
  <c r="S179" i="31"/>
  <c r="S274" i="31"/>
  <c r="S42" i="31"/>
  <c r="S239" i="31"/>
  <c r="S135" i="31"/>
  <c r="S81" i="31"/>
  <c r="S197" i="31"/>
  <c r="S96" i="31"/>
  <c r="S62" i="31"/>
  <c r="S32" i="31"/>
  <c r="S162" i="31"/>
  <c r="S8" i="31"/>
  <c r="M7" i="30" s="1"/>
  <c r="S87" i="31"/>
  <c r="S23" i="31"/>
  <c r="S12" i="31"/>
  <c r="M9" i="30" s="1"/>
  <c r="M39" i="30" l="1"/>
  <c r="M18" i="30"/>
  <c r="M14" i="30"/>
  <c r="S95" i="31"/>
  <c r="B46" i="32" s="1"/>
  <c r="M31" i="30"/>
  <c r="M16" i="30"/>
  <c r="M33" i="30"/>
  <c r="M41" i="30"/>
  <c r="M58" i="30"/>
  <c r="M23" i="30"/>
  <c r="M12" i="30"/>
  <c r="M59" i="30"/>
  <c r="M26" i="30"/>
  <c r="M56" i="30"/>
  <c r="M24" i="30"/>
  <c r="M32" i="30"/>
  <c r="M55" i="30"/>
  <c r="M49" i="30"/>
  <c r="M47" i="30"/>
  <c r="M46" i="30"/>
  <c r="M20" i="30"/>
  <c r="S61" i="31"/>
  <c r="M53" i="30"/>
  <c r="M51" i="30"/>
  <c r="M28" i="30"/>
  <c r="M45" i="30"/>
  <c r="M43" i="30"/>
  <c r="M37" i="30"/>
  <c r="M36" i="30"/>
  <c r="M35" i="30"/>
  <c r="S53" i="31"/>
  <c r="D6" i="32" s="1"/>
  <c r="S31" i="31"/>
  <c r="D21" i="32"/>
  <c r="D22" i="32"/>
  <c r="D20" i="32"/>
  <c r="S161" i="31"/>
  <c r="B49" i="32" s="1"/>
  <c r="S178" i="31"/>
  <c r="B58" i="32"/>
  <c r="K58" i="32" s="1"/>
  <c r="P58" i="32" s="1"/>
  <c r="B56" i="32"/>
  <c r="B57" i="32"/>
  <c r="K57" i="32" s="1"/>
  <c r="P57" i="32" s="1"/>
  <c r="H47" i="37"/>
  <c r="F48" i="37" a="1"/>
  <c r="F48" i="37" s="1"/>
  <c r="G48" i="37" a="1"/>
  <c r="G48" i="37" s="1"/>
  <c r="D49" i="37"/>
  <c r="S14" i="31"/>
  <c r="S168" i="31"/>
  <c r="S86" i="31"/>
  <c r="S251" i="31"/>
  <c r="S238" i="31"/>
  <c r="S41" i="31"/>
  <c r="S75" i="31"/>
  <c r="S109" i="31"/>
  <c r="S134" i="31"/>
  <c r="K56" i="32" l="1"/>
  <c r="P56" i="32" s="1"/>
  <c r="I52" i="32"/>
  <c r="I51" i="32"/>
  <c r="K46" i="32"/>
  <c r="N46" i="32" s="1"/>
  <c r="I46" i="32"/>
  <c r="M48" i="30"/>
  <c r="M50" i="30"/>
  <c r="M52" i="30"/>
  <c r="D7" i="32"/>
  <c r="B43" i="32"/>
  <c r="D10" i="32"/>
  <c r="B42" i="32"/>
  <c r="D4" i="32"/>
  <c r="B40" i="32"/>
  <c r="D12" i="32"/>
  <c r="D11" i="32"/>
  <c r="D15" i="32"/>
  <c r="D8" i="32"/>
  <c r="D5" i="32"/>
  <c r="B51" i="32"/>
  <c r="K51" i="32" s="1"/>
  <c r="O51" i="32" s="1"/>
  <c r="D17" i="32"/>
  <c r="D18" i="32"/>
  <c r="D9" i="32"/>
  <c r="D14" i="32"/>
  <c r="D13" i="32"/>
  <c r="B39" i="32"/>
  <c r="D3" i="32"/>
  <c r="E19" i="32"/>
  <c r="B77" i="32"/>
  <c r="B48" i="32"/>
  <c r="B47" i="32"/>
  <c r="B44" i="32"/>
  <c r="B41" i="32"/>
  <c r="B53" i="32"/>
  <c r="K53" i="32" s="1"/>
  <c r="O53" i="32" s="1"/>
  <c r="B54" i="32"/>
  <c r="K54" i="32" s="1"/>
  <c r="O54" i="32" s="1"/>
  <c r="B45" i="32"/>
  <c r="B50" i="32"/>
  <c r="I50" i="37"/>
  <c r="F49" i="37" a="1"/>
  <c r="F49" i="37" s="1"/>
  <c r="G49" i="37" a="1"/>
  <c r="G49" i="37" s="1"/>
  <c r="H48" i="37"/>
  <c r="D50" i="37"/>
  <c r="E2" i="32"/>
  <c r="K50" i="32" l="1"/>
  <c r="O50" i="32" s="1"/>
  <c r="I50" i="32"/>
  <c r="K45" i="32"/>
  <c r="N45" i="32" s="1"/>
  <c r="I45" i="32"/>
  <c r="K40" i="32"/>
  <c r="M40" i="32" s="1"/>
  <c r="I40" i="32"/>
  <c r="K41" i="32"/>
  <c r="M41" i="32" s="1"/>
  <c r="I41" i="32"/>
  <c r="K44" i="32"/>
  <c r="N44" i="32" s="1"/>
  <c r="I44" i="32"/>
  <c r="K42" i="32"/>
  <c r="N42" i="32" s="1"/>
  <c r="I42" i="32"/>
  <c r="K47" i="32"/>
  <c r="O47" i="32" s="1"/>
  <c r="I47" i="32"/>
  <c r="K48" i="32"/>
  <c r="O48" i="32" s="1"/>
  <c r="I48" i="32"/>
  <c r="K43" i="32"/>
  <c r="N43" i="32" s="1"/>
  <c r="I43" i="32"/>
  <c r="K39" i="32"/>
  <c r="M39" i="32" s="1"/>
  <c r="I39" i="32"/>
  <c r="S182" i="31"/>
  <c r="C3" i="37" s="1" a="1"/>
  <c r="C3" i="37" s="1"/>
  <c r="E6" i="32"/>
  <c r="E3" i="32"/>
  <c r="B64" i="32"/>
  <c r="B61" i="32"/>
  <c r="I51" i="37"/>
  <c r="H49" i="37"/>
  <c r="F50" i="37" a="1"/>
  <c r="F50" i="37" s="1"/>
  <c r="G50" i="37" a="1"/>
  <c r="G50" i="37" s="1"/>
  <c r="D51" i="37"/>
  <c r="C4" i="37" l="1" a="1"/>
  <c r="C4" i="37" s="1"/>
  <c r="C48" i="37" a="1"/>
  <c r="C48" i="37" s="1"/>
  <c r="C66" i="37" a="1"/>
  <c r="C66" i="37" s="1"/>
  <c r="C67" i="37" a="1"/>
  <c r="C67" i="37" s="1"/>
  <c r="C69" i="37" a="1"/>
  <c r="C69" i="37" s="1"/>
  <c r="C68" i="37" a="1"/>
  <c r="C68" i="37" s="1"/>
  <c r="C46" i="37" a="1"/>
  <c r="C46" i="37" s="1"/>
  <c r="C51" i="37" a="1"/>
  <c r="C51" i="37" s="1"/>
  <c r="C45" i="37" a="1"/>
  <c r="C45" i="37" s="1"/>
  <c r="C44" i="37" a="1"/>
  <c r="C44" i="37" s="1"/>
  <c r="C52" i="37" a="1"/>
  <c r="C52" i="37" s="1"/>
  <c r="C47" i="37" a="1"/>
  <c r="C47" i="37" s="1"/>
  <c r="C33" i="37" a="1"/>
  <c r="C33" i="37" s="1"/>
  <c r="C50" i="37" a="1"/>
  <c r="C50" i="37" s="1"/>
  <c r="C49" i="37" a="1"/>
  <c r="C49" i="37" s="1"/>
  <c r="C43" i="37" a="1"/>
  <c r="C43" i="37" s="1"/>
  <c r="C22" i="37" a="1"/>
  <c r="C22" i="37" s="1"/>
  <c r="C9" i="37" a="1"/>
  <c r="C9" i="37" s="1"/>
  <c r="C11" i="37" a="1"/>
  <c r="C11" i="37" s="1"/>
  <c r="C6" i="37" a="1"/>
  <c r="C6" i="37" s="1"/>
  <c r="C28" i="37" a="1"/>
  <c r="C28" i="37" s="1"/>
  <c r="C25" i="37" a="1"/>
  <c r="C25" i="37" s="1"/>
  <c r="C27" i="37" a="1"/>
  <c r="C27" i="37" s="1"/>
  <c r="C10" i="37" a="1"/>
  <c r="C10" i="37" s="1"/>
  <c r="C12" i="37" a="1"/>
  <c r="C12" i="37" s="1"/>
  <c r="C30" i="37" a="1"/>
  <c r="C30" i="37" s="1"/>
  <c r="C31" i="37" a="1"/>
  <c r="C31" i="37" s="1"/>
  <c r="C13" i="37" a="1"/>
  <c r="C13" i="37" s="1"/>
  <c r="C7" i="37" a="1"/>
  <c r="C7" i="37" s="1"/>
  <c r="B52" i="32"/>
  <c r="C23" i="37" a="1"/>
  <c r="C23" i="37" s="1"/>
  <c r="C21" i="37" a="1"/>
  <c r="C21" i="37" s="1"/>
  <c r="C32" i="37" a="1"/>
  <c r="C32" i="37" s="1"/>
  <c r="C37" i="37" a="1"/>
  <c r="C37" i="37" s="1"/>
  <c r="C34" i="37" a="1"/>
  <c r="C34" i="37" s="1"/>
  <c r="C16" i="37" a="1"/>
  <c r="C16" i="37" s="1"/>
  <c r="C19" i="37" a="1"/>
  <c r="C19" i="37" s="1"/>
  <c r="C40" i="37" a="1"/>
  <c r="C40" i="37" s="1"/>
  <c r="C18" i="37" a="1"/>
  <c r="C18" i="37" s="1"/>
  <c r="C20" i="37" a="1"/>
  <c r="C20" i="37" s="1"/>
  <c r="C42" i="37" a="1"/>
  <c r="C42" i="37" s="1"/>
  <c r="C5" i="37" a="1"/>
  <c r="C5" i="37" s="1"/>
  <c r="D16" i="32"/>
  <c r="E11" i="32" s="1"/>
  <c r="C8" i="37" a="1"/>
  <c r="C8" i="37" s="1"/>
  <c r="C35" i="37" a="1"/>
  <c r="C35" i="37" s="1"/>
  <c r="C17" i="37" a="1"/>
  <c r="C17" i="37" s="1"/>
  <c r="C38" i="37" a="1"/>
  <c r="C38" i="37" s="1"/>
  <c r="C26" i="37" a="1"/>
  <c r="C26" i="37" s="1"/>
  <c r="C39" i="37" a="1"/>
  <c r="C39" i="37" s="1"/>
  <c r="C29" i="37" a="1"/>
  <c r="C29" i="37" s="1"/>
  <c r="C36" i="37" a="1"/>
  <c r="C36" i="37" s="1"/>
  <c r="C41" i="37" a="1"/>
  <c r="C41" i="37" s="1"/>
  <c r="C24" i="37" a="1"/>
  <c r="C24" i="37" s="1"/>
  <c r="H16" i="32"/>
  <c r="G11" i="32" s="1"/>
  <c r="T277" i="31"/>
  <c r="S277" i="31"/>
  <c r="C14" i="37" a="1"/>
  <c r="C14" i="37" s="1"/>
  <c r="C15" i="37" a="1"/>
  <c r="C15" i="37" s="1"/>
  <c r="I52" i="37"/>
  <c r="C53" i="37" a="1"/>
  <c r="C53" i="37" s="1"/>
  <c r="D52" i="37"/>
  <c r="F51" i="37" a="1"/>
  <c r="F51" i="37" s="1"/>
  <c r="G51" i="37" a="1"/>
  <c r="G51" i="37" s="1"/>
  <c r="H50" i="37"/>
  <c r="K52" i="32" l="1"/>
  <c r="O52" i="32" s="1"/>
  <c r="I49" i="32"/>
  <c r="I53" i="32" s="1"/>
  <c r="B69" i="32"/>
  <c r="D104" i="29"/>
  <c r="I104" i="29" s="1"/>
  <c r="D57" i="29"/>
  <c r="D46" i="29"/>
  <c r="D48" i="29" s="1"/>
  <c r="H51" i="37"/>
  <c r="D53" i="37"/>
  <c r="G52" i="37" a="1"/>
  <c r="G52" i="37" s="1"/>
  <c r="F52" i="37" a="1"/>
  <c r="F52" i="37" s="1"/>
  <c r="C54" i="37" a="1"/>
  <c r="C54" i="37" s="1"/>
  <c r="I53" i="37"/>
  <c r="S38" i="32" l="1" a="1"/>
  <c r="S38" i="32" s="1"/>
  <c r="D59" i="29"/>
  <c r="D58" i="29"/>
  <c r="H52" i="37"/>
  <c r="I54" i="37"/>
  <c r="D54" i="37"/>
  <c r="F53" i="37" a="1"/>
  <c r="F53" i="37" s="1"/>
  <c r="G53" i="37" a="1"/>
  <c r="G53" i="37" s="1"/>
  <c r="C55" i="37" a="1"/>
  <c r="C55" i="37" s="1"/>
  <c r="T59" i="32" l="1"/>
  <c r="Z38" i="32" s="1"/>
  <c r="Z39" i="32" s="1"/>
  <c r="Z40" i="32" s="1"/>
  <c r="Z41" i="32" s="1"/>
  <c r="Z42" i="32" s="1"/>
  <c r="Z43" i="32" s="1"/>
  <c r="H53" i="37"/>
  <c r="C56" i="37" a="1"/>
  <c r="C56" i="37" s="1"/>
  <c r="I55" i="37"/>
  <c r="D55" i="37"/>
  <c r="F54" i="37" a="1"/>
  <c r="F54" i="37" s="1"/>
  <c r="G54" i="37" a="1"/>
  <c r="G54" i="37" s="1"/>
  <c r="Z44" i="32" l="1"/>
  <c r="Z45" i="32" s="1"/>
  <c r="Z46" i="32" s="1"/>
  <c r="Z47" i="32" s="1"/>
  <c r="Z48" i="32" s="1"/>
  <c r="Z49" i="32" s="1"/>
  <c r="Z50" i="32" s="1"/>
  <c r="Z51" i="32" s="1"/>
  <c r="Z52" i="32" s="1"/>
  <c r="Z53" i="32" s="1"/>
  <c r="Z54" i="32" s="1"/>
  <c r="Z55" i="32" s="1"/>
  <c r="Z56" i="32" s="1"/>
  <c r="Z57" i="32" s="1"/>
  <c r="Z58" i="32" s="1"/>
  <c r="H54" i="37"/>
  <c r="F55" i="37" a="1"/>
  <c r="F55" i="37" s="1"/>
  <c r="G55" i="37" a="1"/>
  <c r="G55" i="37" s="1"/>
  <c r="I56" i="37"/>
  <c r="D56" i="37"/>
  <c r="C57" i="37" a="1"/>
  <c r="C57" i="37" s="1"/>
  <c r="H55" i="37" l="1"/>
  <c r="I57" i="37"/>
  <c r="D57" i="37"/>
  <c r="F56" i="37" a="1"/>
  <c r="F56" i="37" s="1"/>
  <c r="G56" i="37" a="1"/>
  <c r="G56" i="37" s="1"/>
  <c r="C58" i="37" a="1"/>
  <c r="C58" i="37" s="1"/>
  <c r="H56" i="37" l="1"/>
  <c r="C59" i="37" a="1"/>
  <c r="C59" i="37" s="1"/>
  <c r="I58" i="37"/>
  <c r="D58" i="37"/>
  <c r="G57" i="37" a="1"/>
  <c r="G57" i="37" s="1"/>
  <c r="F57" i="37" a="1"/>
  <c r="F57" i="37" s="1"/>
  <c r="H57" i="37" l="1"/>
  <c r="C60" i="37" a="1"/>
  <c r="C60" i="37" s="1"/>
  <c r="D59" i="37"/>
  <c r="F59" i="37" s="1" a="1"/>
  <c r="F59" i="37" s="1"/>
  <c r="I59" i="37"/>
  <c r="F58" i="37" a="1"/>
  <c r="F58" i="37" s="1"/>
  <c r="G58" i="37" a="1"/>
  <c r="G58" i="37" s="1"/>
  <c r="H58" i="37" l="1"/>
  <c r="G59" i="37" a="1"/>
  <c r="G59" i="37" s="1"/>
  <c r="C61" i="37" a="1"/>
  <c r="C61" i="37" s="1"/>
  <c r="D60" i="37"/>
  <c r="I60" i="37"/>
  <c r="H59" i="37" l="1"/>
  <c r="G60" i="37" a="1"/>
  <c r="G60" i="37" s="1"/>
  <c r="F60" i="37" a="1"/>
  <c r="F60" i="37" s="1"/>
  <c r="C62" i="37" a="1"/>
  <c r="C62" i="37" s="1"/>
  <c r="D61" i="37"/>
  <c r="F61" i="37" s="1" a="1"/>
  <c r="F61" i="37" s="1"/>
  <c r="I61" i="37"/>
  <c r="H60" i="37" l="1"/>
  <c r="C63" i="37" a="1"/>
  <c r="C63" i="37" s="1"/>
  <c r="G61" i="37" a="1"/>
  <c r="G61" i="37" s="1"/>
  <c r="D62" i="37"/>
  <c r="G62" i="37" s="1" a="1"/>
  <c r="G62" i="37" s="1"/>
  <c r="I62" i="37"/>
  <c r="H61" i="37" l="1"/>
  <c r="F62" i="37" a="1"/>
  <c r="F62" i="37" s="1"/>
  <c r="C64" i="37" a="1"/>
  <c r="C64" i="37" s="1"/>
  <c r="D63" i="37"/>
  <c r="I63" i="37"/>
  <c r="H62" i="37" l="1"/>
  <c r="C65" i="37" a="1"/>
  <c r="C65" i="37" s="1"/>
  <c r="K3" i="37" s="1" a="1"/>
  <c r="D64" i="37"/>
  <c r="I64" i="37"/>
  <c r="G63" i="37" a="1"/>
  <c r="G63" i="37" s="1"/>
  <c r="F63" i="37" a="1"/>
  <c r="F63" i="37" s="1"/>
  <c r="Q43" i="37" l="1"/>
  <c r="R43" i="37" s="1"/>
  <c r="Q46" i="37"/>
  <c r="R46" i="37" s="1"/>
  <c r="Q44" i="37"/>
  <c r="R44" i="37" s="1"/>
  <c r="Q45" i="37"/>
  <c r="R45" i="37" s="1"/>
  <c r="Q38" i="37"/>
  <c r="R38" i="37" s="1"/>
  <c r="Q41" i="37"/>
  <c r="R41" i="37" s="1"/>
  <c r="Q42" i="37"/>
  <c r="R42" i="37" s="1"/>
  <c r="U2" i="37" a="1"/>
  <c r="U2" i="37" s="1"/>
  <c r="Q40" i="37"/>
  <c r="R40" i="37" s="1"/>
  <c r="K3" i="37"/>
  <c r="T2" i="37" s="1" a="1"/>
  <c r="T2" i="37" s="1"/>
  <c r="Q4" i="37"/>
  <c r="R4" i="37" s="1"/>
  <c r="Q24" i="37"/>
  <c r="R24" i="37" s="1"/>
  <c r="Q5" i="37"/>
  <c r="R5" i="37" s="1"/>
  <c r="Q25" i="37"/>
  <c r="R25" i="37" s="1"/>
  <c r="Q6" i="37"/>
  <c r="R6" i="37" s="1"/>
  <c r="Q26" i="37"/>
  <c r="R26" i="37" s="1"/>
  <c r="Q7" i="37"/>
  <c r="R7" i="37" s="1"/>
  <c r="Q27" i="37"/>
  <c r="R27" i="37" s="1"/>
  <c r="Q8" i="37"/>
  <c r="R8" i="37" s="1"/>
  <c r="Q28" i="37"/>
  <c r="R28" i="37" s="1"/>
  <c r="Q9" i="37"/>
  <c r="R9" i="37" s="1"/>
  <c r="Q29" i="37"/>
  <c r="R29" i="37" s="1"/>
  <c r="Q10" i="37"/>
  <c r="R10" i="37" s="1"/>
  <c r="Q30" i="37"/>
  <c r="R30" i="37" s="1"/>
  <c r="Q11" i="37"/>
  <c r="R11" i="37" s="1"/>
  <c r="Q31" i="37"/>
  <c r="R31" i="37" s="1"/>
  <c r="Q12" i="37"/>
  <c r="R12" i="37" s="1"/>
  <c r="Q32" i="37"/>
  <c r="R32" i="37" s="1"/>
  <c r="Q13" i="37"/>
  <c r="R13" i="37" s="1"/>
  <c r="Q33" i="37"/>
  <c r="R33" i="37" s="1"/>
  <c r="Q14" i="37"/>
  <c r="R14" i="37" s="1"/>
  <c r="Q34" i="37"/>
  <c r="R34" i="37" s="1"/>
  <c r="Q15" i="37"/>
  <c r="R15" i="37" s="1"/>
  <c r="Q35" i="37"/>
  <c r="R35" i="37" s="1"/>
  <c r="Q16" i="37"/>
  <c r="R16" i="37" s="1"/>
  <c r="Q36" i="37"/>
  <c r="R36" i="37" s="1"/>
  <c r="Q17" i="37"/>
  <c r="R17" i="37" s="1"/>
  <c r="Q37" i="37"/>
  <c r="R37" i="37" s="1"/>
  <c r="Q18" i="37"/>
  <c r="R18" i="37" s="1"/>
  <c r="Q19" i="37"/>
  <c r="R19" i="37" s="1"/>
  <c r="Q39" i="37"/>
  <c r="R39" i="37" s="1"/>
  <c r="Q20" i="37"/>
  <c r="R20" i="37" s="1"/>
  <c r="Q21" i="37"/>
  <c r="R21" i="37" s="1"/>
  <c r="Q22" i="37"/>
  <c r="R22" i="37" s="1"/>
  <c r="Q23" i="37"/>
  <c r="R23" i="37" s="1"/>
  <c r="O2" i="37"/>
  <c r="H63" i="37"/>
  <c r="G64" i="37" a="1"/>
  <c r="G64" i="37" s="1"/>
  <c r="F64" i="37" a="1"/>
  <c r="F64" i="37" s="1"/>
  <c r="D65" i="37"/>
  <c r="I65" i="37"/>
  <c r="Q3" i="37" l="1"/>
  <c r="R3" i="37" s="1"/>
  <c r="W2" i="37" s="1" a="1"/>
  <c r="W2" i="37" s="1"/>
  <c r="P3" i="37"/>
  <c r="H64" i="37"/>
  <c r="G65" i="37" a="1"/>
  <c r="G65" i="37" s="1"/>
  <c r="F65" i="37" a="1"/>
  <c r="F65" i="37" s="1"/>
  <c r="I66" i="37"/>
  <c r="P4" i="37" l="1"/>
  <c r="P5" i="37" s="1"/>
  <c r="P6" i="37" s="1"/>
  <c r="P7" i="37" s="1"/>
  <c r="P8" i="37" s="1"/>
  <c r="P9" i="37" s="1"/>
  <c r="P10" i="37" s="1"/>
  <c r="P11" i="37" s="1"/>
  <c r="P12" i="37" s="1"/>
  <c r="P13" i="37" s="1"/>
  <c r="P14" i="37" s="1"/>
  <c r="P15" i="37" s="1"/>
  <c r="P16" i="37" s="1"/>
  <c r="P17" i="37" s="1"/>
  <c r="P18" i="37" s="1"/>
  <c r="P19" i="37" s="1"/>
  <c r="P20" i="37" s="1"/>
  <c r="P21" i="37" s="1"/>
  <c r="P22" i="37" s="1"/>
  <c r="P23" i="37" s="1"/>
  <c r="P24" i="37" s="1"/>
  <c r="P25" i="37" s="1"/>
  <c r="P26" i="37" s="1"/>
  <c r="P27" i="37" s="1"/>
  <c r="P28" i="37" s="1"/>
  <c r="P29" i="37" s="1"/>
  <c r="P30" i="37" s="1"/>
  <c r="P31" i="37" s="1"/>
  <c r="P32" i="37" s="1"/>
  <c r="P33" i="37" s="1"/>
  <c r="P34" i="37" s="1"/>
  <c r="P35" i="37" s="1"/>
  <c r="P36" i="37" s="1"/>
  <c r="P37" i="37" s="1"/>
  <c r="P38" i="37" s="1"/>
  <c r="P39" i="37" s="1"/>
  <c r="P40" i="37" s="1"/>
  <c r="P41" i="37" s="1"/>
  <c r="P42" i="37" s="1"/>
  <c r="P43" i="37" s="1"/>
  <c r="P44" i="37" s="1"/>
  <c r="P45" i="37" s="1"/>
  <c r="P46" i="37" s="1"/>
  <c r="P47" i="37" s="1"/>
  <c r="P48" i="37" s="1"/>
  <c r="P49" i="37" s="1"/>
  <c r="P50" i="37" s="1"/>
  <c r="P51" i="37" s="1"/>
  <c r="P52" i="37" s="1"/>
  <c r="P53" i="37" s="1"/>
  <c r="P54" i="37" s="1"/>
  <c r="P55" i="37" s="1"/>
  <c r="P56" i="37" s="1"/>
  <c r="P57" i="37" s="1"/>
  <c r="P58" i="37" s="1"/>
  <c r="P59" i="37" s="1"/>
  <c r="P60" i="37" s="1"/>
  <c r="P61" i="37" s="1"/>
  <c r="P62" i="37" s="1"/>
  <c r="P63" i="37" s="1"/>
  <c r="P64" i="37" s="1"/>
  <c r="P65" i="37" s="1"/>
  <c r="P66" i="37" s="1"/>
  <c r="P67" i="37" s="1"/>
  <c r="P68" i="37" s="1"/>
  <c r="P69" i="37" s="1"/>
  <c r="P70" i="37" s="1"/>
  <c r="P71" i="37" s="1"/>
  <c r="P72" i="37" s="1"/>
  <c r="P73" i="37" s="1"/>
  <c r="P74" i="37" s="1"/>
  <c r="P75" i="37" s="1"/>
  <c r="P76" i="37" s="1"/>
  <c r="P77" i="37" s="1"/>
  <c r="P78" i="37" s="1"/>
  <c r="P79" i="37" s="1"/>
  <c r="P80" i="37" s="1"/>
  <c r="P81" i="37" s="1"/>
  <c r="P82" i="37" s="1"/>
  <c r="P83" i="37" s="1"/>
  <c r="P84" i="37" s="1"/>
  <c r="P85" i="37" s="1"/>
  <c r="P86" i="37" s="1"/>
  <c r="P87" i="37" s="1"/>
  <c r="P88" i="37" s="1"/>
  <c r="P89" i="37" s="1"/>
  <c r="P90" i="37" s="1"/>
  <c r="P91" i="37" s="1"/>
  <c r="P92" i="37" s="1"/>
  <c r="P93" i="37" s="1"/>
  <c r="P94" i="37" s="1"/>
  <c r="P95" i="37" s="1"/>
  <c r="P96" i="37" s="1"/>
  <c r="P97" i="37" s="1"/>
  <c r="P98" i="37" s="1"/>
  <c r="P99" i="37" s="1"/>
  <c r="P100" i="37" s="1"/>
  <c r="P101" i="37" s="1"/>
  <c r="P102" i="37" s="1"/>
  <c r="P103" i="37" s="1"/>
  <c r="P104" i="37" s="1"/>
  <c r="P105" i="37" s="1"/>
  <c r="P106" i="37" s="1"/>
  <c r="P107" i="37" s="1"/>
  <c r="P108" i="37" s="1"/>
  <c r="P109" i="37" s="1"/>
  <c r="P110" i="37" s="1"/>
  <c r="P111" i="37" s="1"/>
  <c r="P112" i="37" s="1"/>
  <c r="P113" i="37" s="1"/>
  <c r="P114" i="37" s="1"/>
  <c r="P115" i="37" s="1"/>
  <c r="P116" i="37" s="1"/>
  <c r="P117" i="37" s="1"/>
  <c r="P118" i="37" s="1"/>
  <c r="P119" i="37" s="1"/>
  <c r="P120" i="37" s="1"/>
  <c r="P121" i="37" s="1"/>
  <c r="P122" i="37" s="1"/>
  <c r="P123" i="37" s="1"/>
  <c r="P124" i="37" s="1"/>
  <c r="P125" i="37" s="1"/>
  <c r="P126" i="37" s="1"/>
  <c r="P127" i="37" s="1"/>
  <c r="P128" i="37" s="1"/>
  <c r="P129" i="37" s="1"/>
  <c r="P130" i="37" s="1"/>
  <c r="P131" i="37" s="1"/>
  <c r="P132" i="37" s="1"/>
  <c r="P133" i="37" s="1"/>
  <c r="P134" i="37" s="1"/>
  <c r="P135" i="37" s="1"/>
  <c r="P136" i="37" s="1"/>
  <c r="P137" i="37" s="1"/>
  <c r="P138" i="37" s="1"/>
  <c r="P139" i="37" s="1"/>
  <c r="P140" i="37" s="1"/>
  <c r="P141" i="37" s="1"/>
  <c r="P142" i="37" s="1"/>
  <c r="P143" i="37" s="1"/>
  <c r="P144" i="37" s="1"/>
  <c r="P145" i="37" s="1"/>
  <c r="P146" i="37" s="1"/>
  <c r="P147" i="37" s="1"/>
  <c r="P148" i="37" s="1"/>
  <c r="P149" i="37" s="1"/>
  <c r="P150" i="37" s="1"/>
  <c r="P151" i="37" s="1"/>
  <c r="P152" i="37" s="1"/>
  <c r="P153" i="37" s="1"/>
  <c r="P154" i="37" s="1"/>
  <c r="P155" i="37" s="1"/>
  <c r="P156" i="37" s="1"/>
  <c r="P157" i="37" s="1"/>
  <c r="P158" i="37" s="1"/>
  <c r="P159" i="37" s="1"/>
  <c r="P160" i="37" s="1"/>
  <c r="P161" i="37" s="1"/>
  <c r="P162" i="37" s="1"/>
  <c r="P163" i="37" s="1"/>
  <c r="P164" i="37" s="1"/>
  <c r="P165" i="37" s="1"/>
  <c r="P166" i="37" s="1"/>
  <c r="P167" i="37" s="1"/>
  <c r="P168" i="37" s="1"/>
  <c r="P169" i="37" s="1"/>
  <c r="P170" i="37" s="1"/>
  <c r="P171" i="37" s="1"/>
  <c r="P172" i="37" s="1"/>
  <c r="P173" i="37" s="1"/>
  <c r="P174" i="37" s="1"/>
  <c r="P175" i="37" s="1"/>
  <c r="P176" i="37" s="1"/>
  <c r="P177" i="37" s="1"/>
  <c r="P178" i="37" s="1"/>
  <c r="P179" i="37" s="1"/>
  <c r="P180" i="37" s="1"/>
  <c r="P181" i="37" s="1"/>
  <c r="P182" i="37" s="1"/>
  <c r="P183" i="37" s="1"/>
  <c r="P184" i="37" s="1"/>
  <c r="P185" i="37" s="1"/>
  <c r="P186" i="37" s="1"/>
  <c r="P187" i="37" s="1"/>
  <c r="P188" i="37" s="1"/>
  <c r="P189" i="37" s="1"/>
  <c r="P190" i="37" s="1"/>
  <c r="P191" i="37" s="1"/>
  <c r="P192" i="37" s="1"/>
  <c r="P193" i="37" s="1"/>
  <c r="P194" i="37" s="1"/>
  <c r="P195" i="37" s="1"/>
  <c r="P196" i="37" s="1"/>
  <c r="P197" i="37" s="1"/>
  <c r="P198" i="37" s="1"/>
  <c r="P199" i="37" s="1"/>
  <c r="P200" i="37" s="1"/>
  <c r="P201" i="37" s="1"/>
  <c r="P202" i="37" s="1"/>
  <c r="P203" i="37" s="1"/>
  <c r="P204" i="37" s="1"/>
  <c r="P205" i="37" s="1"/>
  <c r="P206" i="37" s="1"/>
  <c r="P207" i="37" s="1"/>
  <c r="P208" i="37" s="1"/>
  <c r="P209" i="37" s="1"/>
  <c r="P210" i="37" s="1"/>
  <c r="P211" i="37" s="1"/>
  <c r="P212" i="37" s="1"/>
  <c r="P213" i="37" s="1"/>
  <c r="P214" i="37" s="1"/>
  <c r="P215" i="37" s="1"/>
  <c r="P216" i="37" s="1"/>
  <c r="P217" i="37" s="1"/>
  <c r="P218" i="37" s="1"/>
  <c r="P219" i="37" s="1"/>
  <c r="P220" i="37" s="1"/>
  <c r="P221" i="37" s="1"/>
  <c r="P222" i="37" s="1"/>
  <c r="P223" i="37" s="1"/>
  <c r="H65" i="37"/>
  <c r="G66" i="37" a="1"/>
  <c r="G66" i="37" s="1"/>
  <c r="F66" i="37" a="1"/>
  <c r="F66" i="37" s="1"/>
  <c r="G67" i="37" a="1"/>
  <c r="G67" i="37" s="1"/>
  <c r="I67" i="37"/>
  <c r="V2" i="37" l="1" a="1"/>
  <c r="V2" i="37" s="1"/>
  <c r="H66" i="37"/>
  <c r="I68" i="37"/>
  <c r="F67" i="37" a="1"/>
  <c r="F67" i="37" s="1"/>
  <c r="H67" i="37" l="1"/>
  <c r="G68" i="37" a="1"/>
  <c r="G68" i="37" s="1"/>
  <c r="F68" i="37" a="1"/>
  <c r="F68" i="37" s="1"/>
  <c r="I69" i="37"/>
  <c r="H68" i="37" l="1"/>
  <c r="F69" i="37" a="1"/>
  <c r="F69" i="37" s="1"/>
  <c r="G69" i="37" a="1"/>
  <c r="G69" i="37" s="1"/>
  <c r="H69" i="3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Priore Yasmine</author>
    <author>Schulthess Lucile</author>
  </authors>
  <commentList>
    <comment ref="M9" authorId="0" shapeId="0" xr:uid="{F3FCE4E3-02FF-4262-A718-194B183A859C}">
      <text>
        <r>
          <rPr>
            <sz val="9"/>
            <color indexed="81"/>
            <rFont val="Tahoma"/>
            <charset val="1"/>
          </rPr>
          <t>Minimum de puissance installée selon exigence</t>
        </r>
      </text>
    </comment>
    <comment ref="M10" authorId="0" shapeId="0" xr:uid="{680EF57E-D661-437B-A2CD-F4A271319181}">
      <text>
        <r>
          <rPr>
            <b/>
            <sz val="9"/>
            <color indexed="81"/>
            <rFont val="Tahoma"/>
            <family val="2"/>
          </rPr>
          <t>Priore Yasmine:</t>
        </r>
        <r>
          <rPr>
            <sz val="9"/>
            <color indexed="81"/>
            <rFont val="Tahoma"/>
            <family val="2"/>
          </rPr>
          <t xml:space="preserve">
0.5m par m2 de SRE</t>
        </r>
      </text>
    </comment>
    <comment ref="F12" authorId="0" shapeId="0" xr:uid="{70D75A97-22F0-47B8-A840-9D4960DB01DA}">
      <text>
        <r>
          <rPr>
            <sz val="9"/>
            <color indexed="81"/>
            <rFont val="Tahoma"/>
            <family val="2"/>
          </rPr>
          <t>Logements par étage selon les métrés renseignés</t>
        </r>
      </text>
    </comment>
    <comment ref="F13" authorId="0" shapeId="0" xr:uid="{F13D2B2D-7422-46C4-BB08-7837D5A4E3E1}">
      <text>
        <r>
          <rPr>
            <sz val="9"/>
            <color indexed="81"/>
            <rFont val="Tahoma"/>
            <charset val="1"/>
          </rPr>
          <t xml:space="preserve">Nombre de logements du bâtiment 
selon les statistique 2016-2021 de l'OFS ( surface moyenne logements époque 2016-2021 = 102,4)
</t>
        </r>
      </text>
    </comment>
    <comment ref="M13" authorId="0" shapeId="0" xr:uid="{FE98C415-ADF7-47FC-B214-AE90DD6A758D}">
      <text>
        <r>
          <rPr>
            <sz val="9"/>
            <color indexed="81"/>
            <rFont val="Tahoma"/>
            <family val="2"/>
          </rPr>
          <t xml:space="preserve">
Surface maximale en prenant un recouvrement standard de 80% de la surface de toiture
</t>
        </r>
      </text>
    </comment>
    <comment ref="F14" authorId="0" shapeId="0" xr:uid="{2FF31372-B0F9-4F87-A682-214AB843E52D}">
      <text>
        <r>
          <rPr>
            <sz val="9"/>
            <color indexed="81"/>
            <rFont val="Tahoma"/>
            <charset val="1"/>
          </rPr>
          <t>Valeur la plus basse possible pour cette volumétrie</t>
        </r>
      </text>
    </comment>
    <comment ref="K14" authorId="1" shapeId="0" xr:uid="{ECD69C40-435A-4D0B-AFCE-3B6FC7C6A5D6}">
      <text>
        <r>
          <rPr>
            <b/>
            <sz val="9"/>
            <color indexed="81"/>
            <rFont val="Tahoma"/>
            <family val="2"/>
          </rPr>
          <t>Installation photovolotaique moyenne (1m2 = 0.14kWp)</t>
        </r>
      </text>
    </comment>
    <comment ref="F16" authorId="0" shapeId="0" xr:uid="{5CB507DA-176F-447A-A170-8959B33ACE69}">
      <text>
        <r>
          <rPr>
            <sz val="9"/>
            <color indexed="81"/>
            <rFont val="Tahoma"/>
            <charset val="1"/>
          </rPr>
          <t xml:space="preserve">Emprise au sol du bâtiment
</t>
        </r>
      </text>
    </comment>
    <comment ref="M16" authorId="1" shapeId="0" xr:uid="{2DB77670-BBA7-47AF-A5A3-E3A07BEF1D41}">
      <text>
        <r>
          <rPr>
            <b/>
            <sz val="9"/>
            <color indexed="81"/>
            <rFont val="Tahoma"/>
            <family val="2"/>
          </rPr>
          <t>Valeur maximale pour éviter la surchauffe</t>
        </r>
      </text>
    </comment>
    <comment ref="F17" authorId="0" shapeId="0" xr:uid="{B2C32E95-F86C-493F-AFC5-FA8EDD36B129}">
      <text>
        <r>
          <rPr>
            <sz val="9"/>
            <color indexed="81"/>
            <rFont val="Tahoma"/>
            <charset val="1"/>
          </rPr>
          <t>Nombre d'étage en prévoyant 28m2 de parking par logement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Priore Yasmine</author>
  </authors>
  <commentList>
    <comment ref="C61" authorId="0" shapeId="0" xr:uid="{AEB70CE2-687F-48AE-BC86-AF141C82B159}">
      <text>
        <r>
          <rPr>
            <b/>
            <sz val="9"/>
            <color indexed="81"/>
            <rFont val="Tahoma"/>
            <family val="2"/>
          </rPr>
          <t>Priore Yasmine:</t>
        </r>
        <r>
          <rPr>
            <sz val="9"/>
            <color indexed="81"/>
            <rFont val="Tahoma"/>
            <family val="2"/>
          </rPr>
          <t xml:space="preserve">
Nouvelle construction - constructions efficientes - suisseénergie)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Schulthess Lucile</author>
  </authors>
  <commentList>
    <comment ref="K39" authorId="0" shapeId="0" xr:uid="{57F64893-C4A3-4F60-BFE4-7891085AC365}">
      <text>
        <r>
          <rPr>
            <sz val="9"/>
            <color indexed="81"/>
            <rFont val="Tahoma"/>
            <charset val="1"/>
          </rPr>
          <t>Les escaliers sont comptés avec la dalle</t>
        </r>
      </text>
    </comment>
    <comment ref="K43" authorId="0" shapeId="0" xr:uid="{7CE0CC42-C0DD-409E-9206-71996183E5C0}">
      <text>
        <r>
          <rPr>
            <b/>
            <sz val="9"/>
            <color indexed="81"/>
            <rFont val="Tahoma"/>
            <charset val="1"/>
          </rPr>
          <t>Schulthess Lucile:</t>
        </r>
        <r>
          <rPr>
            <sz val="9"/>
            <color indexed="81"/>
            <rFont val="Tahoma"/>
            <charset val="1"/>
          </rPr>
          <t xml:space="preserve">
Compris dans les parois intérieures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Priore Yasmine</author>
  </authors>
  <commentList>
    <comment ref="A4" authorId="0" shapeId="0" xr:uid="{F83051C7-15CB-48C5-AA76-DCCA06D3A963}">
      <text>
        <r>
          <rPr>
            <b/>
            <sz val="9"/>
            <color indexed="81"/>
            <rFont val="Tahoma"/>
            <family val="2"/>
          </rPr>
          <t>Priore Yasmine:</t>
        </r>
        <r>
          <rPr>
            <sz val="9"/>
            <color indexed="81"/>
            <rFont val="Tahoma"/>
            <family val="2"/>
          </rPr>
          <t xml:space="preserve">
smaller multi family houses - max spannweite 7m/8m</t>
        </r>
      </text>
    </comment>
    <comment ref="A7" authorId="0" shapeId="0" xr:uid="{6F66E568-ADA0-4E38-B058-97B002C77CC3}">
      <text>
        <r>
          <rPr>
            <b/>
            <sz val="9"/>
            <color indexed="81"/>
            <rFont val="Tahoma"/>
            <family val="2"/>
          </rPr>
          <t>Priore Yasmine:</t>
        </r>
        <r>
          <rPr>
            <sz val="9"/>
            <color indexed="81"/>
            <rFont val="Tahoma"/>
            <family val="2"/>
          </rPr>
          <t xml:space="preserve">
smaller multi family houses - max spannweite 7m/8m</t>
        </r>
      </text>
    </comment>
    <comment ref="C12" authorId="0" shapeId="0" xr:uid="{B35A0457-DFDA-4AE7-B1AA-15987304D1B1}">
      <text>
        <r>
          <rPr>
            <b/>
            <sz val="9"/>
            <color indexed="81"/>
            <rFont val="Tahoma"/>
            <family val="2"/>
          </rPr>
          <t>Priore Yasmine:</t>
        </r>
        <r>
          <rPr>
            <sz val="9"/>
            <color indexed="81"/>
            <rFont val="Tahoma"/>
            <family val="2"/>
          </rPr>
          <t xml:space="preserve">
16.7 Stk/m2
9 kg/Stk</t>
        </r>
      </text>
    </comment>
    <comment ref="C13" authorId="0" shapeId="0" xr:uid="{32ADD48C-6A96-4111-9C3E-015FB2830489}">
      <text>
        <r>
          <rPr>
            <b/>
            <sz val="9"/>
            <color indexed="81"/>
            <rFont val="Tahoma"/>
            <family val="2"/>
          </rPr>
          <t>Priore Yasmine:</t>
        </r>
        <r>
          <rPr>
            <sz val="9"/>
            <color indexed="81"/>
            <rFont val="Tahoma"/>
            <family val="2"/>
          </rPr>
          <t xml:space="preserve">
Mörtelbedarf: 32L/m2
1.6kg/L</t>
        </r>
      </text>
    </comment>
    <comment ref="C16" authorId="0" shapeId="0" xr:uid="{CDE991C1-A57D-4ED7-B3F5-8B80868580F2}">
      <text>
        <r>
          <rPr>
            <b/>
            <sz val="9"/>
            <color indexed="81"/>
            <rFont val="Tahoma"/>
            <family val="2"/>
          </rPr>
          <t>Priore Yasmine:</t>
        </r>
        <r>
          <rPr>
            <sz val="9"/>
            <color indexed="81"/>
            <rFont val="Tahoma"/>
            <family val="2"/>
          </rPr>
          <t xml:space="preserve">
16.7 Stk/m2
9 kg/Stk</t>
        </r>
      </text>
    </comment>
    <comment ref="C17" authorId="0" shapeId="0" xr:uid="{B3421FAC-9BF6-4A05-9984-8FAF6EFE1BBC}">
      <text>
        <r>
          <rPr>
            <b/>
            <sz val="9"/>
            <color indexed="81"/>
            <rFont val="Tahoma"/>
            <family val="2"/>
          </rPr>
          <t>Priore Yasmine:</t>
        </r>
        <r>
          <rPr>
            <sz val="9"/>
            <color indexed="81"/>
            <rFont val="Tahoma"/>
            <family val="2"/>
          </rPr>
          <t xml:space="preserve">
Mörtelbedarf: 32L/m2
1.6kg/L</t>
        </r>
      </text>
    </comment>
    <comment ref="A213" authorId="0" shapeId="0" xr:uid="{468EADC9-0714-4E0A-8E8C-AF30B5B08C77}">
      <text>
        <r>
          <rPr>
            <b/>
            <sz val="9"/>
            <color indexed="81"/>
            <rFont val="Tahoma"/>
            <family val="2"/>
          </rPr>
          <t>Priore Yasmine:</t>
        </r>
        <r>
          <rPr>
            <sz val="9"/>
            <color indexed="81"/>
            <rFont val="Tahoma"/>
            <family val="2"/>
          </rPr>
          <t xml:space="preserve">
every 6m columns with bricks in the middle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Matthias Klingler</author>
  </authors>
  <commentList>
    <comment ref="B101" authorId="0" shapeId="0" xr:uid="{7321F552-1E57-4268-B124-8CBE98FDBCEC}">
      <text>
        <r>
          <rPr>
            <b/>
            <sz val="10"/>
            <color rgb="FF000000"/>
            <rFont val="Tahoma"/>
            <family val="2"/>
          </rPr>
          <t>Matthias Klingler: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Ist bei Wärmeverteilung Bodenheizung Zusatzaufwand für Wärmedämmung und Zementunterlagsboden berücksichtigt? </t>
        </r>
        <r>
          <rPr>
            <b/>
            <sz val="10"/>
            <color rgb="FF000000"/>
            <rFont val="Tahoma"/>
            <family val="2"/>
          </rPr>
          <t>Nein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<sst xmlns="http://schemas.openxmlformats.org/spreadsheetml/2006/main" count="7213" uniqueCount="3826">
  <si>
    <t>SimpliBat</t>
  </si>
  <si>
    <t>Grâce à des hypothèses sur les éléments de construction, il permet un calcul rapide avec quelques métrés connus dès l'avant-projet</t>
  </si>
  <si>
    <t>L'outil se base sur l'outil SIA 2032 - Annexe D - mis à jour avec la nouvelle version du KBOB (2022 - v4) et modifié pour répondre aux exigences de projet</t>
  </si>
  <si>
    <t>Attention, les impacts carbone des éléments sont calculés avec les valeurs actuelles et sont appelés à évoluer</t>
  </si>
  <si>
    <t>L'outil n'inclut pas de calcul dynamique du bilan carbone</t>
  </si>
  <si>
    <t xml:space="preserve">Cet outil sert essentiellement à un calcul rapide dans une phase préliminaire d'un projet de construction </t>
  </si>
  <si>
    <t xml:space="preserve">L'outil a été créé dans le cadre d'un projet de recherche pour le plan climat de Fribourg </t>
  </si>
  <si>
    <t>Le site de Bluefactory a été pris comme cas d'étude en partenariat avec l'entreprise BFF SA</t>
  </si>
  <si>
    <t>Cet outil est placé sous licence CC BY-ND 4.0. Pour consulter une copie de cette licence, visitez le site http://creativecommons.org/licenses/by-nd/4.0/</t>
  </si>
  <si>
    <t>L'utilisateur est responsable de la validité des données et des résultats produits</t>
  </si>
  <si>
    <t>Les auteurs déclinent toute responsabilité quant à l'utilisation de l'outil et n'assument aucune responsabilité à l'égard des conséquences découlant des résultats obtenus</t>
  </si>
  <si>
    <t>Auteur: Institut ENERGY, HEIA-Fr - Yasmine Priore, Lucile Schulthess, Thomas Jusselme</t>
  </si>
  <si>
    <t>Contact:</t>
  </si>
  <si>
    <t>thomas.jusselme@hefr.ch</t>
  </si>
  <si>
    <t>Version 1.0</t>
  </si>
  <si>
    <t>Général</t>
  </si>
  <si>
    <t>Outil Simplifié</t>
  </si>
  <si>
    <t>Les cases en blanc dans la section données d'entrée permettent le dimensionnement rapide d'un bâtiment</t>
  </si>
  <si>
    <t>Les cases en vert sont des valeurs par défaut (légérement grisée). Elles peuvent être changées. Pour revenir aux valeurs par défaut, il suffit de supprimer la valeur ajoutée</t>
  </si>
  <si>
    <t>Valeur par défaut modifiable</t>
  </si>
  <si>
    <t xml:space="preserve">En cliquant sur le + (et donc en affichant toutes les colonnes) des aides au dimensionnement apparaissent. </t>
  </si>
  <si>
    <t>Indication pour dimensionnement</t>
  </si>
  <si>
    <t>Outil détaillé</t>
  </si>
  <si>
    <t>La colonne F reprend les choix fait dans l'outil simplifié.</t>
  </si>
  <si>
    <t>Dans la colonne G, des listes à choix d'éléments prééxistants sont proposées. Si la celulle est vide, la valeur du prédimensionnement (colonne F) sera utilisée.</t>
  </si>
  <si>
    <t>La colonne E indique quel est l'élément choisi pour la suite du calcul</t>
  </si>
  <si>
    <t>De la même manière, la colonne K reprend les choix fait dans l'outil simplifié pour calculer des métrés. Au besoin, ils peuvent être changer dans la colonne L.</t>
  </si>
  <si>
    <t>Si la celulle est vide, la valeur du prédimensionnement (colonne K) sera utilisée.</t>
  </si>
  <si>
    <t>Pour retrouver le détail des compositions, la colonne O indique la ligne de référence dans l'onglet "Décomposition"</t>
  </si>
  <si>
    <t>Décompostion</t>
  </si>
  <si>
    <t>L'onglet "Décomposition" permet de voir le détail des matériaux pour chaque composition</t>
  </si>
  <si>
    <t>A l'aide de la colonne O dans la feuille "Outil détaillé", il est possible de retrouver la ligne correspondante.</t>
  </si>
  <si>
    <t>Pour voir la liste des compositions proposées, il faut ouvrir les onglets des propositions de compositions. La colonne B de l'onglet "Décomposition" indique quel est l'onglet correspondant</t>
  </si>
  <si>
    <t>Pour imprimer</t>
  </si>
  <si>
    <t>Des zones d'impressions ont été définies pour imprimer le projet</t>
  </si>
  <si>
    <t>Pour imprimer l'onglet souhaité, il suffit d'aller dans l'onglet, puis d'imprimer (Ctrl + P) avec les paramètres: "Imprimer les feuilles actives; Orientation portrait; Ajuster toutes les colonnes à une page</t>
  </si>
  <si>
    <t>Autre onglets</t>
  </si>
  <si>
    <t>D'autre onglets servent au calcul carbone des éléments comme:</t>
  </si>
  <si>
    <t>Onglets relatifs au KBOB</t>
  </si>
  <si>
    <t>Baumaterialien Matériaux</t>
  </si>
  <si>
    <t>Transporte Transports</t>
  </si>
  <si>
    <t>Gebäudetechnik Technique</t>
  </si>
  <si>
    <t>Entsorgung Déchets</t>
  </si>
  <si>
    <t>Energie Énergie</t>
  </si>
  <si>
    <t>Onglets avec des propositions de compositions</t>
  </si>
  <si>
    <t>Décomposition</t>
  </si>
  <si>
    <t>Travaux préparatoires</t>
  </si>
  <si>
    <t>Enveloppe du bâtiment sout.</t>
  </si>
  <si>
    <t>Installations</t>
  </si>
  <si>
    <t>Enveloppe du bâtiment hors terr</t>
  </si>
  <si>
    <t>Liste</t>
  </si>
  <si>
    <t>Eléments de constr. inté. et ex</t>
  </si>
  <si>
    <t>Onglets d'aide au calcul</t>
  </si>
  <si>
    <t>Hypothèses</t>
  </si>
  <si>
    <t>List of materials</t>
  </si>
  <si>
    <t>Exploitation</t>
  </si>
  <si>
    <t>Graphe Background</t>
  </si>
  <si>
    <t>Cibles</t>
  </si>
  <si>
    <t>Pour aller plus loin:</t>
  </si>
  <si>
    <t>Le but de cet outil est aussi de pouvoir l'augmenter avec ses propres compositions</t>
  </si>
  <si>
    <t>Pour créer une nouvelle composition, il faut aller dans le bon onglet (Enveloppe du bâtiment sout. ; Enveloppe du bâtiment hors terr ; Eléments de constr. inté. et ex ; Travaux préparatoires ;Installations)</t>
  </si>
  <si>
    <t>Pour rajouter une composition, il suffit de rajouter des lignes dans l'onglet correspondant dans le groupe correspondant. Et mettre le nom de cette nouvelle composition sur la première ligne</t>
  </si>
  <si>
    <t>Pour être sûr.e, vérifier si l’onglet Liste est mis à jour</t>
  </si>
  <si>
    <t xml:space="preserve">Pour l'intégrer dans le bâtiment, la nouvelle composition doit être choisie dans l'onglet "Outil détaillé" colonne G </t>
  </si>
  <si>
    <t>Si la composition est longue, il faut vérifier que toutes les lignes sont prises en compte dans l'onglet "Décomposition"</t>
  </si>
  <si>
    <t>Rajouter une ligne de description dans Décompostion</t>
  </si>
  <si>
    <t>Ajouter le nombre de ligne voulue (le plus simple est de rajouter le même nombre qu’un exemple) en cliquant ajouter une ligne sur la prochaine ligne colorée</t>
  </si>
  <si>
    <t>Copier coller un autre exemple</t>
  </si>
  <si>
    <t>Mettre la bonne référence nom en colonne E</t>
  </si>
  <si>
    <t>Vérifier les références en colonne F</t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</si>
  <si>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Doit faire référence à la bonne cellule pour le nom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</si>
  <si>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Doit faire référence à la bonne catégorie (la ligne gris foncée) en colonne F</t>
    </r>
  </si>
  <si>
    <r>
      <t>o</t>
    </r>
    <r>
      <rPr>
        <sz val="7"/>
        <color theme="1"/>
        <rFont val="Times New Roman"/>
        <family val="1"/>
      </rPr>
      <t xml:space="preserve">   </t>
    </r>
    <r>
      <rPr>
        <sz val="11"/>
        <color theme="1"/>
        <rFont val="Calibri"/>
        <family val="2"/>
        <scheme val="minor"/>
      </rPr>
      <t>=EQUIV(</t>
    </r>
    <r>
      <rPr>
        <sz val="11"/>
        <color rgb="FFFF0000"/>
        <rFont val="Calibri"/>
        <family val="2"/>
        <scheme val="minor"/>
      </rPr>
      <t>REF_NOM</t>
    </r>
    <r>
      <rPr>
        <sz val="11"/>
        <color theme="1"/>
        <rFont val="Calibri"/>
        <family val="2"/>
        <scheme val="minor"/>
      </rPr>
      <t>;INDIRECT("'Enveloppe du bâtiment hors terr'!A"&amp;</t>
    </r>
    <r>
      <rPr>
        <sz val="11"/>
        <color rgb="FFFF0000"/>
        <rFont val="Calibri"/>
        <family val="2"/>
        <scheme val="minor"/>
      </rPr>
      <t>REF_CATEGORIE</t>
    </r>
    <r>
      <rPr>
        <sz val="11"/>
        <color theme="1"/>
        <rFont val="Calibri"/>
        <family val="2"/>
        <scheme val="minor"/>
      </rPr>
      <t>+1&amp;":A500");0)+</t>
    </r>
    <r>
      <rPr>
        <sz val="11"/>
        <color rgb="FFFF0000"/>
        <rFont val="Calibri"/>
        <family val="2"/>
        <scheme val="minor"/>
      </rPr>
      <t xml:space="preserve"> REF_CATEGORIE</t>
    </r>
  </si>
  <si>
    <r>
      <t>-</t>
    </r>
    <r>
      <rPr>
        <sz val="7"/>
        <color theme="1"/>
        <rFont val="Times New Roman"/>
        <family val="1"/>
      </rPr>
      <t xml:space="preserve">          </t>
    </r>
    <r>
      <rPr>
        <sz val="11"/>
        <color theme="1"/>
        <rFont val="Calibri"/>
        <family val="2"/>
        <scheme val="minor"/>
      </rPr>
      <t>Doit faire référence à la bonne feuille (ex. : 'Enveloppe du bâtiment hors terr)</t>
    </r>
  </si>
  <si>
    <t>Mettre la bonne référence de surface en colonne K</t>
  </si>
  <si>
    <t>Et corriger la référence de surface pour toutes les lignes</t>
  </si>
  <si>
    <t>Vérifier que la somme carbone est correcte en colonne N à T</t>
  </si>
  <si>
    <t>Ajouter au bilan carbone de la catégorie la nouvelle composition</t>
  </si>
  <si>
    <t>Si on veut se passer de la reconnaissance de ligne, il faut préciser le ligne de la composition dans la ligne grise en colonne F dans décomposition</t>
  </si>
  <si>
    <t>Dans décomposition-&gt; en gris foncé, catégorie ; en gris clair : composition</t>
  </si>
  <si>
    <t>Somme des compositions qui somme les matériaux</t>
  </si>
  <si>
    <t>Nom du projet:</t>
  </si>
  <si>
    <t>Batiment Bluefactory</t>
  </si>
  <si>
    <t>Date de la simulation:</t>
  </si>
  <si>
    <t>Données entrées</t>
  </si>
  <si>
    <t>Caractéristiques et volumétrie</t>
  </si>
  <si>
    <t>Infos pour aider au dimensionnement</t>
  </si>
  <si>
    <t>Système énergétique</t>
  </si>
  <si>
    <t>Catégorie d'ouvrage</t>
  </si>
  <si>
    <t>Bureaux</t>
  </si>
  <si>
    <t>Systeme chauffage</t>
  </si>
  <si>
    <t>Pompe à chaleur (géothermique)</t>
  </si>
  <si>
    <t>Type de travaux</t>
  </si>
  <si>
    <t>Neuf</t>
  </si>
  <si>
    <t>Année ciblée - livraison</t>
  </si>
  <si>
    <t>Granules (pellets)</t>
  </si>
  <si>
    <t>Surface de référence énergétique</t>
  </si>
  <si>
    <t>m2</t>
  </si>
  <si>
    <t>https://rechner.umweltchemie.ch/HTMLFernwaerme22_de_v4/Oekobilanzrechner_Fernwaerme_2022_deutsch_v4_UVEK2022.htm</t>
  </si>
  <si>
    <t>Nombre d'étages</t>
  </si>
  <si>
    <t>Surface PV</t>
  </si>
  <si>
    <t>Facteur d'enveloppe (Ath/Ae)</t>
  </si>
  <si>
    <t>/</t>
  </si>
  <si>
    <t>Puissance PV installée</t>
  </si>
  <si>
    <t>kWp</t>
  </si>
  <si>
    <t>WWR</t>
  </si>
  <si>
    <t>Part d'auto-consommation</t>
  </si>
  <si>
    <t>Surface de plancher sous-sol</t>
  </si>
  <si>
    <t>Capteurs solaires</t>
  </si>
  <si>
    <t>Nombre d'étages sous-sol</t>
  </si>
  <si>
    <t>Indice Minergie/Mopec</t>
  </si>
  <si>
    <t>MOPEC</t>
  </si>
  <si>
    <t>Choix constructifs</t>
  </si>
  <si>
    <t>Objectif visé</t>
  </si>
  <si>
    <t>Sous-sol</t>
  </si>
  <si>
    <t>kgCO2éq/m2.an</t>
  </si>
  <si>
    <t>Fouille</t>
  </si>
  <si>
    <t>Talus</t>
  </si>
  <si>
    <t>Fondation</t>
  </si>
  <si>
    <t>Superficielle</t>
  </si>
  <si>
    <t xml:space="preserve">Exigence (constr. + exploitation)  SIA 390 </t>
  </si>
  <si>
    <t>non-isolés</t>
  </si>
  <si>
    <t>Hors-terrain</t>
  </si>
  <si>
    <t>Budget statique équivalent</t>
  </si>
  <si>
    <t xml:space="preserve">Type de structure </t>
  </si>
  <si>
    <t>Valeurs par défaut</t>
  </si>
  <si>
    <t>Bois</t>
  </si>
  <si>
    <t>Façade extérieures</t>
  </si>
  <si>
    <t>Budget "upfront" (fin de chantier)</t>
  </si>
  <si>
    <t>kgCO2éq/m2</t>
  </si>
  <si>
    <t>Selon l'outil "carbonebudget", onglet: "outil cibles", cellule de D11:D23</t>
  </si>
  <si>
    <t xml:space="preserve">Revêtement extérieur Façade </t>
  </si>
  <si>
    <t>Budget remplacements (20 ans)</t>
  </si>
  <si>
    <t>Isolant Façade</t>
  </si>
  <si>
    <t>Budget remplacements (30 ans)</t>
  </si>
  <si>
    <t>Structure du toit</t>
  </si>
  <si>
    <t>Budget remplacements (40 ans)</t>
  </si>
  <si>
    <t>Couverture du toit</t>
  </si>
  <si>
    <t>Budget fin de vie (60ans)</t>
  </si>
  <si>
    <t>Isolant toit</t>
  </si>
  <si>
    <t>Impact global par m2 sur 60 ans</t>
  </si>
  <si>
    <t>Intérieurs</t>
  </si>
  <si>
    <t>Impact global par m2 par an</t>
  </si>
  <si>
    <t>Parois internes porteuses</t>
  </si>
  <si>
    <t xml:space="preserve">Budget global </t>
  </si>
  <si>
    <t>kgCO2éq</t>
  </si>
  <si>
    <t>Planchers</t>
  </si>
  <si>
    <t>Cibles exploitation par batiment</t>
  </si>
  <si>
    <t>(Valeur moyenne sur 20ans)</t>
  </si>
  <si>
    <t>40ans (après 20ans de service)</t>
  </si>
  <si>
    <t>Moyenne sur 60ans</t>
  </si>
  <si>
    <t>Résultat</t>
  </si>
  <si>
    <t>Détail impact construction</t>
  </si>
  <si>
    <t xml:space="preserve">Impact construction: </t>
  </si>
  <si>
    <t xml:space="preserve">Impact exploitation: </t>
  </si>
  <si>
    <t>Impact construction + exploitation:</t>
  </si>
  <si>
    <t>Impact carbone décomposé par phase</t>
  </si>
  <si>
    <t>Impact "upfront" (fin de chantier)</t>
  </si>
  <si>
    <t>Impact remplacements (20 ans)</t>
  </si>
  <si>
    <t>Impact remplacements (30 ans)</t>
  </si>
  <si>
    <t>Impact remplacements (40 ans)</t>
  </si>
  <si>
    <t>Impact fin de vie (60ans)</t>
  </si>
  <si>
    <t xml:space="preserve">Impact global </t>
  </si>
  <si>
    <t>Cibles exploitation par bâtiment</t>
  </si>
  <si>
    <t>L'élément constructif le plus intense en terme d'impact:</t>
  </si>
  <si>
    <t>kgCO2éq/m2SRE</t>
  </si>
  <si>
    <t>pour</t>
  </si>
  <si>
    <t>Hypothèses métré simplifié</t>
  </si>
  <si>
    <t>Hauteur des étages</t>
  </si>
  <si>
    <t>Facteur murs internes porteurs</t>
  </si>
  <si>
    <t>*SIA 2032</t>
  </si>
  <si>
    <t>Facteur murs internes non porteurs</t>
  </si>
  <si>
    <t>Facteur balcons</t>
  </si>
  <si>
    <t>Hypothèses autres</t>
  </si>
  <si>
    <t>Année amortissement du bâtiment</t>
  </si>
  <si>
    <t>Année KBOB</t>
  </si>
  <si>
    <t>Calcul dynamique</t>
  </si>
  <si>
    <t>Année ciblée - Livraison</t>
  </si>
  <si>
    <t>Hauteur étage</t>
  </si>
  <si>
    <t>Surface d'un étage</t>
  </si>
  <si>
    <t>SRE/nb</t>
  </si>
  <si>
    <t>Windows</t>
  </si>
  <si>
    <t>Surface sous-sol</t>
  </si>
  <si>
    <t>Unde F</t>
  </si>
  <si>
    <t>Empreinte au sol</t>
  </si>
  <si>
    <t>Surface of facades</t>
  </si>
  <si>
    <t>Enveloppe thermique</t>
  </si>
  <si>
    <t>Ath</t>
  </si>
  <si>
    <t>Calcul</t>
  </si>
  <si>
    <t>Mur</t>
  </si>
  <si>
    <t>Parois hors terrain</t>
  </si>
  <si>
    <t>Périmètre</t>
  </si>
  <si>
    <t>Longueur mur</t>
  </si>
  <si>
    <t>x</t>
  </si>
  <si>
    <t>y</t>
  </si>
  <si>
    <t>Surface creusée</t>
  </si>
  <si>
    <t>Blindage</t>
  </si>
  <si>
    <t>Supplément déchet</t>
  </si>
  <si>
    <t>Hauteur sous-sol</t>
  </si>
  <si>
    <t>Distance gravat</t>
  </si>
  <si>
    <t>Type de structure</t>
  </si>
  <si>
    <t>Ascenceur</t>
  </si>
  <si>
    <t>kWh</t>
  </si>
  <si>
    <t>autoconsommation</t>
  </si>
  <si>
    <t>Liste pour outil simplifié</t>
  </si>
  <si>
    <t>Systeme de chauffage</t>
  </si>
  <si>
    <t>Combustible</t>
  </si>
  <si>
    <t>Indice de consommation</t>
  </si>
  <si>
    <t>Objectif</t>
  </si>
  <si>
    <t>Résidentiel</t>
  </si>
  <si>
    <t>Valeur indicative construction - SIA 390</t>
  </si>
  <si>
    <t>Valeur indicative exploitation - SIA 390</t>
  </si>
  <si>
    <t>Rénovation</t>
  </si>
  <si>
    <t>Pompe à chaleur (air-eau)</t>
  </si>
  <si>
    <t>Bûches de bois</t>
  </si>
  <si>
    <t>Minergie</t>
  </si>
  <si>
    <t>Valeur indicative construction - Minergie</t>
  </si>
  <si>
    <t xml:space="preserve"> </t>
  </si>
  <si>
    <t>Chauffage à distance</t>
  </si>
  <si>
    <t>Mazout EL</t>
  </si>
  <si>
    <t>Minergie-P</t>
  </si>
  <si>
    <t>Chaudière</t>
  </si>
  <si>
    <t>Gaz naturel</t>
  </si>
  <si>
    <t>Minergie-A</t>
  </si>
  <si>
    <t>Isolation sous-sol</t>
  </si>
  <si>
    <t>Blindage (Paroi berlinoise)</t>
  </si>
  <si>
    <t>XPS</t>
  </si>
  <si>
    <t>Pieux en béton préfabriqué</t>
  </si>
  <si>
    <t>Verre cellulaire</t>
  </si>
  <si>
    <t>Préchoix pour outil simplifié</t>
  </si>
  <si>
    <t>Façade</t>
  </si>
  <si>
    <t>Revêtement</t>
  </si>
  <si>
    <t>Paroi interne</t>
  </si>
  <si>
    <t>Paroi interne non-porteuse</t>
  </si>
  <si>
    <t>Plancher</t>
  </si>
  <si>
    <t>Toiture</t>
  </si>
  <si>
    <t>Toit structure</t>
  </si>
  <si>
    <t>Toit couverture</t>
  </si>
  <si>
    <t>Isolation façade</t>
  </si>
  <si>
    <t>Isolation Toit</t>
  </si>
  <si>
    <t xml:space="preserve">Béton </t>
  </si>
  <si>
    <t>Liste des composants</t>
  </si>
  <si>
    <t>Travaux préparatoire</t>
  </si>
  <si>
    <t>Enveloppe du bâtiment sous terrain</t>
  </si>
  <si>
    <t>Bodenplatte Fundament / Fondations, radiers</t>
  </si>
  <si>
    <t>Aussenwand unter Terrain / Parois extérieures souterraines</t>
  </si>
  <si>
    <t>Dach unter Terrain / Toitures souterraines</t>
  </si>
  <si>
    <t>Isolant Toit</t>
  </si>
  <si>
    <t>Eléments constr. inté. et ex..</t>
  </si>
  <si>
    <t>Isolants</t>
  </si>
  <si>
    <t>Installation</t>
  </si>
  <si>
    <t>Limite</t>
  </si>
  <si>
    <t>Cible</t>
  </si>
  <si>
    <t>SIA390</t>
  </si>
  <si>
    <t>SIA 390 Neuf- Limite</t>
  </si>
  <si>
    <t>SIA 390 Transf- Limite</t>
  </si>
  <si>
    <t>SIA 390 Neuf- Cible</t>
  </si>
  <si>
    <t>SIA 390 Transf- Cible</t>
  </si>
  <si>
    <t>SIA 390 Construction</t>
  </si>
  <si>
    <t>SIA 390 Exploitation</t>
  </si>
  <si>
    <t>kgco2/m2SRE</t>
  </si>
  <si>
    <t>PV</t>
  </si>
  <si>
    <t>kgCO2/m2PV.an pour PV</t>
  </si>
  <si>
    <t>Solaire</t>
  </si>
  <si>
    <t>Sondes</t>
  </si>
  <si>
    <t>m2SRE</t>
  </si>
  <si>
    <t>Somme</t>
  </si>
  <si>
    <t>Non-chauffé</t>
  </si>
  <si>
    <t>Minergie ECO Neuf - Limite</t>
  </si>
  <si>
    <t>Minergie ECO Neuf - Cible</t>
  </si>
  <si>
    <t>Murs ext.</t>
  </si>
  <si>
    <t>Dalle contre terre</t>
  </si>
  <si>
    <t>Fenêtres</t>
  </si>
  <si>
    <t>Constructions int.</t>
  </si>
  <si>
    <t>Référence à bâtiment moyen multi-logement:</t>
  </si>
  <si>
    <t>SRE</t>
  </si>
  <si>
    <t>Minergie ECO Transf. - Limite</t>
  </si>
  <si>
    <t>Minergie ECO Transf. - Cible</t>
  </si>
  <si>
    <t>Ventilation</t>
  </si>
  <si>
    <t>Sanitaires</t>
  </si>
  <si>
    <t>Electriques</t>
  </si>
  <si>
    <t>Production de chaleur</t>
  </si>
  <si>
    <t>Distribution de chaleur</t>
  </si>
  <si>
    <t>Diffusion de chaleur</t>
  </si>
  <si>
    <t>Par eCCC</t>
  </si>
  <si>
    <t>Construction</t>
  </si>
  <si>
    <t>Carbone biogène</t>
  </si>
  <si>
    <t>Biogénique Par eCCC</t>
  </si>
  <si>
    <t>Auto-consommation PV</t>
  </si>
  <si>
    <t>PV réinjectée réseau</t>
  </si>
  <si>
    <t>Total</t>
  </si>
  <si>
    <t>Objectifs</t>
  </si>
  <si>
    <t>Liste unique matériaux</t>
  </si>
  <si>
    <t>kgCO2eq/m2.y</t>
  </si>
  <si>
    <t>kg</t>
  </si>
  <si>
    <t>m3</t>
  </si>
  <si>
    <t>Liste triée</t>
  </si>
  <si>
    <t>unité</t>
  </si>
  <si>
    <t>%total kgCO2</t>
  </si>
  <si>
    <t>kg/unité</t>
  </si>
  <si>
    <t>Liste pour graphe</t>
  </si>
  <si>
    <t>Tonnes</t>
  </si>
  <si>
    <t xml:space="preserve">Matériaux </t>
  </si>
  <si>
    <t>Possibilité de conversion UF</t>
  </si>
  <si>
    <t>Cadre de fenêtre bois-métal</t>
  </si>
  <si>
    <t>Protection solaire, stores vénitiens avec moteur 4</t>
  </si>
  <si>
    <t>Triple vitrage, U&lt;0.6 W/m2K, épaisseur 40 mm 3</t>
  </si>
  <si>
    <t>Parquet, 2 plis, vitrifié d'usine, 11 mm</t>
  </si>
  <si>
    <t>Dalle en céramique/grès, 9 mm</t>
  </si>
  <si>
    <t>Enduit, diluable à l'eau, 2 couches</t>
  </si>
  <si>
    <t>Béton dur, 1 couche, 27,5 mm</t>
  </si>
  <si>
    <t>Portes extérieures aluminium, avec vitrage</t>
  </si>
  <si>
    <t>Vol.excavation</t>
  </si>
  <si>
    <t>Émulsion de bitume, 1 couche</t>
  </si>
  <si>
    <t>Tableau de synthèse de l'indice de dépense d'énergie du projet en cours</t>
  </si>
  <si>
    <t>Installations techniques spécifiques</t>
  </si>
  <si>
    <t>Spécifications enveloppe thermique</t>
  </si>
  <si>
    <t>Annexe H - SIA 380:2017 "Bases pour les calculs énergétiques des bâtiments"</t>
  </si>
  <si>
    <t>Valeur de référence</t>
  </si>
  <si>
    <t>Consommation d'energie [kWh]</t>
  </si>
  <si>
    <t>Production electrique [kWh]</t>
  </si>
  <si>
    <t>Agent energetique</t>
  </si>
  <si>
    <t>Consommation globale d'energie ponderée [kgCO2éq/an]</t>
  </si>
  <si>
    <t>Indices de dépense d'énergie pour l'électricité [kgCO2éq/m2.an]</t>
  </si>
  <si>
    <t>Indices de dépense d'énergie total [kgCO2éq/m2.an]</t>
  </si>
  <si>
    <t>Solaire thermique</t>
  </si>
  <si>
    <t>Electricité autoconsommée [kWh]</t>
  </si>
  <si>
    <t>Electricité réseau [kWh]</t>
  </si>
  <si>
    <t>rendement solaire spécifique</t>
  </si>
  <si>
    <t>kWh/m2 de capteur</t>
  </si>
  <si>
    <t>Données spécifiques - enveloppe thermique</t>
  </si>
  <si>
    <t>Capacité thermique</t>
  </si>
  <si>
    <t>Calcul selon le choix</t>
  </si>
  <si>
    <t>Eléments opaques (contre ext.)</t>
  </si>
  <si>
    <t>Limite selon norme (60% du besoin)</t>
  </si>
  <si>
    <t>kWh/m2SRE</t>
  </si>
  <si>
    <t>Valeur-U fenêtres (verre, cadre et intercallaire)</t>
  </si>
  <si>
    <t>(3-IV-IR U0.6 / cadre Bois/Alu U 1.2)</t>
  </si>
  <si>
    <t>Valeur calculée</t>
  </si>
  <si>
    <t>Valeur g vitrage</t>
  </si>
  <si>
    <t>Carbone du réseau suisse comme consommateur</t>
  </si>
  <si>
    <t>Photovoltaique</t>
  </si>
  <si>
    <t>Valeurs-U</t>
  </si>
  <si>
    <t>Carbone du réseau suisse comme producteur</t>
  </si>
  <si>
    <t>Densité énergétique</t>
  </si>
  <si>
    <t>kWp/m2</t>
  </si>
  <si>
    <t>Parois</t>
  </si>
  <si>
    <t>Carbone PV à mettre à jour</t>
  </si>
  <si>
    <t>Productivité</t>
  </si>
  <si>
    <t>kWh/kWp.an</t>
  </si>
  <si>
    <t>Minimum Minergie / -P : 10W/m2</t>
  </si>
  <si>
    <t>Rapport d'installation</t>
  </si>
  <si>
    <t>Kwh/kwh</t>
  </si>
  <si>
    <t>Minergie-A: Couvre besoins</t>
  </si>
  <si>
    <t>Part auto-consommée</t>
  </si>
  <si>
    <t>Chauffage PAC</t>
  </si>
  <si>
    <t>Part exportée</t>
  </si>
  <si>
    <t>Eau chaude sanitaire PAC</t>
  </si>
  <si>
    <t>Climatisation</t>
  </si>
  <si>
    <t>Sondes géothermiques</t>
  </si>
  <si>
    <t>Eclairage</t>
  </si>
  <si>
    <t>m/m2EBF</t>
  </si>
  <si>
    <t>m</t>
  </si>
  <si>
    <t>Appareils</t>
  </si>
  <si>
    <t>Installation techniques</t>
  </si>
  <si>
    <t>auto-consommée</t>
  </si>
  <si>
    <t>Système</t>
  </si>
  <si>
    <t>COP Chauffage</t>
  </si>
  <si>
    <t>COP Eau chaude</t>
  </si>
  <si>
    <t>Indice carbone</t>
  </si>
  <si>
    <t>Installation photovoltaiques</t>
  </si>
  <si>
    <t>PAC Geo</t>
  </si>
  <si>
    <t>PAC air-eau</t>
  </si>
  <si>
    <t>Surface de reference energetique [m^2]</t>
  </si>
  <si>
    <t>CAD</t>
  </si>
  <si>
    <t>Somme installations</t>
  </si>
  <si>
    <t>Electricité nécessaire (kWh elec/kWh thermique)</t>
  </si>
  <si>
    <t>Chauffage</t>
  </si>
  <si>
    <t>Eau chaude</t>
  </si>
  <si>
    <t>Systeme choisi</t>
  </si>
  <si>
    <t>Références et limites normatives</t>
  </si>
  <si>
    <t>énergie finale</t>
  </si>
  <si>
    <t>MOPEC 2014/2018</t>
  </si>
  <si>
    <t>kWh/m2</t>
  </si>
  <si>
    <t>Valeurs limites besoins de chauffage</t>
  </si>
  <si>
    <t>(heizung, wasser, üftung, klima)</t>
  </si>
  <si>
    <t>Annexe 3</t>
  </si>
  <si>
    <t>Qh,li0</t>
  </si>
  <si>
    <t>D Qh,li</t>
  </si>
  <si>
    <t>Ph,li</t>
  </si>
  <si>
    <t>Ehwlk (pondéré)</t>
  </si>
  <si>
    <t>Collectif</t>
  </si>
  <si>
    <t>individuel</t>
  </si>
  <si>
    <t>admin</t>
  </si>
  <si>
    <t>MINERGIE</t>
  </si>
  <si>
    <t>(énergie thermique utile?)</t>
  </si>
  <si>
    <t>100% MOPEC</t>
  </si>
  <si>
    <t>70%MOPEC</t>
  </si>
  <si>
    <t>Pondération facteur national et comprend toute la consommation et auto-production</t>
  </si>
  <si>
    <t>Facteur de pondération national</t>
  </si>
  <si>
    <t xml:space="preserve">Indice Minergie </t>
  </si>
  <si>
    <t>(énergie finale pondérée)</t>
  </si>
  <si>
    <t>Electricité</t>
  </si>
  <si>
    <t>mazout, gaz, charbon</t>
  </si>
  <si>
    <t>Biomasse</t>
  </si>
  <si>
    <t>Chaleur à distance</t>
  </si>
  <si>
    <t>Soleil, chaleur ambiante, géothermie</t>
  </si>
  <si>
    <t>SIA 2024</t>
  </si>
  <si>
    <t>Habitat collectif</t>
  </si>
  <si>
    <t>Standard</t>
  </si>
  <si>
    <t xml:space="preserve">Cible </t>
  </si>
  <si>
    <t>Existant</t>
  </si>
  <si>
    <t>Demande annuelle en électricité de l'éclairage</t>
  </si>
  <si>
    <t>kWh/m2.an</t>
  </si>
  <si>
    <t>Demande annuelle en électricité de la ventilation</t>
  </si>
  <si>
    <t>Besoins de froid pour le refroidissement par an</t>
  </si>
  <si>
    <t>Energie utile?</t>
  </si>
  <si>
    <t>Besoins de chaleur pour le chauffage par an</t>
  </si>
  <si>
    <t>Eau</t>
  </si>
  <si>
    <t>Besoins de chaleur pour l'eau chaude sanitaire par an</t>
  </si>
  <si>
    <t>Demande annuelle en électricité des appareils</t>
  </si>
  <si>
    <t>(Minergie)</t>
  </si>
  <si>
    <t>Installations techniques</t>
  </si>
  <si>
    <t>Admin</t>
  </si>
  <si>
    <t>SIA 380</t>
  </si>
  <si>
    <t>Besoins de chaleur pour l'eau chaude sanitaire</t>
  </si>
  <si>
    <t>collectif</t>
  </si>
  <si>
    <t>bureau</t>
  </si>
  <si>
    <t>Calcul des besoins selon les standards et valeurs cibles</t>
  </si>
  <si>
    <t>Non pondérée - résidentiel</t>
  </si>
  <si>
    <t>2024 - standard</t>
  </si>
  <si>
    <t>2024 - Cible</t>
  </si>
  <si>
    <t xml:space="preserve">kWh/m2 </t>
  </si>
  <si>
    <t>Exigence</t>
  </si>
  <si>
    <t>Appareil</t>
  </si>
  <si>
    <t>Technique</t>
  </si>
  <si>
    <t>HWLK</t>
  </si>
  <si>
    <t>Exigence renouvelable</t>
  </si>
  <si>
    <t>Eclairage et technique</t>
  </si>
  <si>
    <t>Somme renouvelable</t>
  </si>
  <si>
    <t>Exigence renouvelable pour respecter indice Minergie</t>
  </si>
  <si>
    <t>Selon le système appliqué</t>
  </si>
  <si>
    <t>Chauffage élec</t>
  </si>
  <si>
    <t>(PAC</t>
  </si>
  <si>
    <t>Eau chaude élec</t>
  </si>
  <si>
    <t>PAC</t>
  </si>
  <si>
    <t>Pondération facteurs nationaux</t>
  </si>
  <si>
    <t>Ventilation + climatisation</t>
  </si>
  <si>
    <t>Reste pondéré</t>
  </si>
  <si>
    <t>non pondéré</t>
  </si>
  <si>
    <t>Refroidissement</t>
  </si>
  <si>
    <t>Habitation 0 kWh/m2</t>
  </si>
  <si>
    <t>Administration 18 kWh/m2</t>
  </si>
  <si>
    <t>École 10 kWh/m2</t>
  </si>
  <si>
    <t>Commerce spécialisé 48 kWh/m2</t>
  </si>
  <si>
    <t>Magasin d’alimentation 10 kWh/m2</t>
  </si>
  <si>
    <t>Restaurant 36 kWh/m2</t>
  </si>
  <si>
    <t>Habitation 16 kWh/m2</t>
  </si>
  <si>
    <t>Habitation avec prescriptions d’occupation 19 kWh/m2</t>
  </si>
  <si>
    <t>Administration 2 kWh/m2</t>
  </si>
  <si>
    <t>École 3 kWh/m2 (sans salle de sport)</t>
  </si>
  <si>
    <t>6 kWh/m2 (avec salle de sport)</t>
  </si>
  <si>
    <t>Commerce spécialisé 2 kWh/m2</t>
  </si>
  <si>
    <t>Magasin d’alimentation 2 kWh/m2</t>
  </si>
  <si>
    <t>Restaurant 59 kWh/m2</t>
  </si>
  <si>
    <t>Habitation 1 kWh/m2 (pour les installations de ventilation</t>
  </si>
  <si>
    <t>simple avec extraction d’air)</t>
  </si>
  <si>
    <t>3 kWh/m2 (pour les installations de ventilation</t>
  </si>
  <si>
    <t>double-flux avec récupération</t>
  </si>
  <si>
    <t>de chaleur)</t>
  </si>
  <si>
    <t>Administration 4 kWh/m2</t>
  </si>
  <si>
    <t>École 4 kWh/m2</t>
  </si>
  <si>
    <t>Commerce spécialisé 5 kWh/m2</t>
  </si>
  <si>
    <t>Magasin d’alimentation 5 kWh/m2</t>
  </si>
  <si>
    <t>Restaurant 11 kWh/m2</t>
  </si>
  <si>
    <t>Habitation 2 kWh/m2</t>
  </si>
  <si>
    <t>Habitation avec prescriptions d’occupation 3 kWh/m2</t>
  </si>
  <si>
    <t>Administration 7 kWh/m2</t>
  </si>
  <si>
    <t>École 5 kWh/m2</t>
  </si>
  <si>
    <t>Commerce spécialisé 30 kWh/m2</t>
  </si>
  <si>
    <t>Magasin d’alimentation 20 kWh/m2</t>
  </si>
  <si>
    <t>Restaurant 7 kWh/m2</t>
  </si>
  <si>
    <t>Habitation 12 kWh/m2</t>
  </si>
  <si>
    <t>Habitation avec prescriptions d’occupation 16 kWh/m2</t>
  </si>
  <si>
    <t>Magasin d’alimentation 217 kWh/m2</t>
  </si>
  <si>
    <t>Restaurant 49 kWh/m2</t>
  </si>
  <si>
    <t>Habitation par an 1’100 kWh/ascenseur</t>
  </si>
  <si>
    <t>Administration, école par an 3’300 kWh/ascenseur</t>
  </si>
  <si>
    <t>Commerce spécialisé, magasin</t>
  </si>
  <si>
    <t>d’alimentation, restaurant par an 4’000 kWh/ascenseur</t>
  </si>
  <si>
    <t>par an 11’000 kWh/escalier roulant</t>
  </si>
  <si>
    <t>Cellules photovoltaïques pour</t>
  </si>
  <si>
    <t>la production de courant 40 kWh de rendement annuel par m2 de module (toiture)</t>
  </si>
  <si>
    <t>80 kWh de rendement annuel par m2 de module (façade)</t>
  </si>
  <si>
    <t>Capteurs solaires thermiques 440 kWh de rendement annuel par m2 de capteur</t>
  </si>
  <si>
    <t>Détail des valeurs et des choix constructifs</t>
  </si>
  <si>
    <t>Nom du projet  :</t>
  </si>
  <si>
    <t>Date de simulation:</t>
  </si>
  <si>
    <t>Partie de batiment</t>
  </si>
  <si>
    <t>Eléments ou groupe d'éléments eCCC-Bat</t>
  </si>
  <si>
    <t>Désignation</t>
  </si>
  <si>
    <t>(Background calculation)</t>
  </si>
  <si>
    <t>Calcul simplifié sur la base des inputs</t>
  </si>
  <si>
    <t>Choix constructifs à préciser</t>
  </si>
  <si>
    <t>Grandeur de référence</t>
  </si>
  <si>
    <t>Unité</t>
  </si>
  <si>
    <t>Quantités background</t>
  </si>
  <si>
    <t>Quantités calculées</t>
  </si>
  <si>
    <t>Choix constructif</t>
  </si>
  <si>
    <t>Le détail se trouve à la #ligne de l'onglet "Décomposition"</t>
  </si>
  <si>
    <t>Travaux préparatoires B06 / B07.02</t>
  </si>
  <si>
    <t>B06 / B07.02</t>
  </si>
  <si>
    <t>Fouilles</t>
  </si>
  <si>
    <t>Excavations</t>
  </si>
  <si>
    <t>Volume</t>
  </si>
  <si>
    <t xml:space="preserve">Enceintes de fouilles </t>
  </si>
  <si>
    <t>SEC</t>
  </si>
  <si>
    <t>Pieux de fondation</t>
  </si>
  <si>
    <t>Remblayages</t>
  </si>
  <si>
    <t>Remblai</t>
  </si>
  <si>
    <t>Enveloppe du bâtiment souterraine C01 / 02 / 04 - E01 - F01</t>
  </si>
  <si>
    <t>C01</t>
  </si>
  <si>
    <t>Fondations, radiers</t>
  </si>
  <si>
    <t>Fondations</t>
  </si>
  <si>
    <t>Radiers</t>
  </si>
  <si>
    <t>C02.01 (A) / E01</t>
  </si>
  <si>
    <t>Parois extérieures souterraines</t>
  </si>
  <si>
    <t>Paroi extérieure</t>
  </si>
  <si>
    <t>C04.04 / F01.01</t>
  </si>
  <si>
    <t>Toitures souterraines</t>
  </si>
  <si>
    <t>Toiture souterraine</t>
  </si>
  <si>
    <t>Enveloppe du bâtiment hors terrain C02 / 04 - E02 / 03 - F01 / 02</t>
  </si>
  <si>
    <t>C02.01 (B)</t>
  </si>
  <si>
    <t>Parois extérieures hors terrain</t>
  </si>
  <si>
    <t>Façade structure</t>
  </si>
  <si>
    <t>E02</t>
  </si>
  <si>
    <t>Revetements extérieurs de facades</t>
  </si>
  <si>
    <t>Façade revêtement extérieur</t>
  </si>
  <si>
    <t>Façade isolant</t>
  </si>
  <si>
    <t>E03 / F02</t>
  </si>
  <si>
    <t>Fenetres et portes</t>
  </si>
  <si>
    <t>Porte</t>
  </si>
  <si>
    <t>C04.04 / C04.05</t>
  </si>
  <si>
    <t>Toitures (structure porteuse)</t>
  </si>
  <si>
    <t>Toiture structure</t>
  </si>
  <si>
    <t>F01.02 / F01.03</t>
  </si>
  <si>
    <t>Couvertures</t>
  </si>
  <si>
    <t>Toiture couverture</t>
  </si>
  <si>
    <t>Eléments de construction intérieurs et extérieurs C02 / 04 - G02 / 03 / 04</t>
  </si>
  <si>
    <t>C02.02</t>
  </si>
  <si>
    <t>Parois intérieures</t>
  </si>
  <si>
    <t>Porteuse</t>
  </si>
  <si>
    <t>Non porteuse</t>
  </si>
  <si>
    <t>C04.01</t>
  </si>
  <si>
    <t>Planchers internes</t>
  </si>
  <si>
    <t>Rez</t>
  </si>
  <si>
    <t>C04.02</t>
  </si>
  <si>
    <t>Escaliers et rampes</t>
  </si>
  <si>
    <t>Escaliers</t>
  </si>
  <si>
    <t>C04.08</t>
  </si>
  <si>
    <t>Balcons, avant-toits</t>
  </si>
  <si>
    <t>Balcons y c. dispositifs antichute</t>
  </si>
  <si>
    <t>G01.05</t>
  </si>
  <si>
    <t>Portes</t>
  </si>
  <si>
    <t>Interne</t>
  </si>
  <si>
    <t>G02</t>
  </si>
  <si>
    <t>Revetements de sols</t>
  </si>
  <si>
    <t>Rez support</t>
  </si>
  <si>
    <t>Hors-terrain support</t>
  </si>
  <si>
    <t>Sous-sol support</t>
  </si>
  <si>
    <t>Isolation acoustique</t>
  </si>
  <si>
    <t>Isolant contre non-chauffé</t>
  </si>
  <si>
    <t>Isolant contre terre</t>
  </si>
  <si>
    <t>G03</t>
  </si>
  <si>
    <t>Revêtement intérieurs parois</t>
  </si>
  <si>
    <t>Parois de l'enveloppe</t>
  </si>
  <si>
    <t>Parois internes</t>
  </si>
  <si>
    <t>G04</t>
  </si>
  <si>
    <t>Revetements plafonds</t>
  </si>
  <si>
    <t>Plafonds dernier étage</t>
  </si>
  <si>
    <t>Plafonds inter-étage</t>
  </si>
  <si>
    <t>Installations CVSE D01 / 05 / 07 / 08 / 12</t>
  </si>
  <si>
    <t>D01</t>
  </si>
  <si>
    <t>Installation électriques</t>
  </si>
  <si>
    <t>Installation photovoltaique (1 m2 = 0.14 kWp)</t>
  </si>
  <si>
    <t>Puissance</t>
  </si>
  <si>
    <t>D05</t>
  </si>
  <si>
    <t>Distribution et émission de chaleur  et accumulation</t>
  </si>
  <si>
    <t>D07</t>
  </si>
  <si>
    <t>Installations de ventilation et de conditionnement d'air</t>
  </si>
  <si>
    <t>Extraction mécanique cuisine et salle de bain</t>
  </si>
  <si>
    <t>Installation de ventilation</t>
  </si>
  <si>
    <t>D08 /09</t>
  </si>
  <si>
    <t>Installations techniques d'eau</t>
  </si>
  <si>
    <t>Installation sanitaire</t>
  </si>
  <si>
    <t>Cet onglet présente une synthèse détaillée de l'impact des composants choisis - Ne pas modifier les valeurs sur cette page</t>
  </si>
  <si>
    <t>eCCC-Bat</t>
  </si>
  <si>
    <t>Macro-composant sélectionné</t>
  </si>
  <si>
    <t>Ligne de référence</t>
  </si>
  <si>
    <t>Détail des macro-composants</t>
  </si>
  <si>
    <t>Référence matériaux KBOB</t>
  </si>
  <si>
    <t>KBOB ID</t>
  </si>
  <si>
    <t>Quantités</t>
  </si>
  <si>
    <t>Durée de vie</t>
  </si>
  <si>
    <t>Quantité par m2 d'élément</t>
  </si>
  <si>
    <t>Phase A [kgCO2eq/m2]</t>
  </si>
  <si>
    <t>Phase C  [kgCO2eq/m2]</t>
  </si>
  <si>
    <t>Impact carbone total [kgCO2eq/m2]</t>
  </si>
  <si>
    <t>Biogenic CO2 content [kgCO2/m2]</t>
  </si>
  <si>
    <t>Déconstruction</t>
  </si>
  <si>
    <t>Biogenic construction</t>
  </si>
  <si>
    <t>Transport sur 30 km</t>
  </si>
  <si>
    <t>62.016</t>
  </si>
  <si>
    <t>tkm</t>
  </si>
  <si>
    <t>Enveloppe du bâtiment souterraine</t>
  </si>
  <si>
    <t>Enveloppe du bâtiment hors terrain</t>
  </si>
  <si>
    <t>Eléments de construction intérieurs et extérieurs</t>
  </si>
  <si>
    <t>Beschreibung Bauteil</t>
  </si>
  <si>
    <t>Zusammensetzung Bauteil</t>
  </si>
  <si>
    <t>Référence</t>
  </si>
  <si>
    <t>Unité KBOB</t>
  </si>
  <si>
    <t>KBOB-ID</t>
  </si>
  <si>
    <t>Bezug</t>
  </si>
  <si>
    <t>Amortisation [a]</t>
  </si>
  <si>
    <t>PE n.e. Herstellung [kWh]</t>
  </si>
  <si>
    <t>PE n.e. Entsorgung [kWh]</t>
  </si>
  <si>
    <t>THG Herstellung [kg CO2-eq.]</t>
  </si>
  <si>
    <t>THG Entsorgung [kg CO2-eq.]</t>
  </si>
  <si>
    <t>Biogener Kohlenstoff
Carbone biogène
[kgCO2]</t>
  </si>
  <si>
    <t>2050 THG Herstellung [kg CO2-eq.]</t>
  </si>
  <si>
    <t>2050 THG Entsorgung [kg CO2-eq.]</t>
  </si>
  <si>
    <t>Aushub / Excavations</t>
  </si>
  <si>
    <t>Aushub / Excavation</t>
  </si>
  <si>
    <t>Aushub maschinell / Excavation mécanique</t>
  </si>
  <si>
    <t>62.001</t>
  </si>
  <si>
    <t>Déplacement</t>
  </si>
  <si>
    <t>Blindage / Pieux</t>
  </si>
  <si>
    <t>pro m2 Bodenplatte</t>
  </si>
  <si>
    <t>Baugrubenabschluss / Blindage de fouille</t>
  </si>
  <si>
    <t>00.005</t>
  </si>
  <si>
    <t>00.006</t>
  </si>
  <si>
    <t>00.007</t>
  </si>
  <si>
    <t>00.008</t>
  </si>
  <si>
    <t>00.009</t>
  </si>
  <si>
    <t>00.010</t>
  </si>
  <si>
    <t>00.011</t>
  </si>
  <si>
    <t>00.012</t>
  </si>
  <si>
    <t>Pfählung / Pieux</t>
  </si>
  <si>
    <t>Mikrobohrpfahl (Annahme 1.5 m Pfählung pro m2 Bodenplatte)</t>
  </si>
  <si>
    <t>00.013</t>
  </si>
  <si>
    <t>00.015</t>
  </si>
  <si>
    <t>Ortbetonverdrängungspfahl (Annahme 1.5 m Pfählung pro m2 Bodenplatte)</t>
  </si>
  <si>
    <t>00.018</t>
  </si>
  <si>
    <t>00.019</t>
  </si>
  <si>
    <t>Vorgefertigter Betonpfahl (Annahme 1.5 m Pfählung pro m2 Bodenplatte)</t>
  </si>
  <si>
    <t>00.020</t>
  </si>
  <si>
    <t>Autre</t>
  </si>
  <si>
    <t>BfU_treeze_2016-Erneuerung_Erweiterung_Oekobilanzdaten_KBOB</t>
  </si>
  <si>
    <t>auskragendenen</t>
  </si>
  <si>
    <t>en porte-à-feux</t>
  </si>
  <si>
    <t>verankerten</t>
  </si>
  <si>
    <t>fixe</t>
  </si>
  <si>
    <t>verspriessten</t>
  </si>
  <si>
    <t>étayé</t>
  </si>
  <si>
    <t>Spundwand</t>
  </si>
  <si>
    <t>Palplanches</t>
  </si>
  <si>
    <t>Rühlwand</t>
  </si>
  <si>
    <t>Schlitzwand</t>
  </si>
  <si>
    <t>Paroi moulée</t>
  </si>
  <si>
    <t>Bohrpfahlwand</t>
  </si>
  <si>
    <t>Paroi de pieux forés</t>
  </si>
  <si>
    <t>"Stadt Zürich"</t>
  </si>
  <si>
    <t>Paroi clouée</t>
  </si>
  <si>
    <t>Volumen abhängig von Baugrubensicherung</t>
  </si>
  <si>
    <t>Tiefe</t>
  </si>
  <si>
    <t>t</t>
  </si>
  <si>
    <t>Breite</t>
  </si>
  <si>
    <t>b</t>
  </si>
  <si>
    <t>Area</t>
  </si>
  <si>
    <t>Ubaugrube (périmètre)</t>
  </si>
  <si>
    <t>Bezug pro m2</t>
  </si>
  <si>
    <t>Betonplatte als Flachfundation/Dalle en béton comme fondation plate, nicht wasserdicht/non étanche à l'eau, CEM II 300 kg/m3, Bewehrung/Armature 105 kg/m3, inkl. Sauberkeitsschicht/Couche de propreté</t>
  </si>
  <si>
    <r>
      <t>Magerbeton / Béton maigre 7 cm [kg], 2'150 [kg/m</t>
    </r>
    <r>
      <rPr>
        <vertAlign val="super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>]</t>
    </r>
  </si>
  <si>
    <t>01.001</t>
  </si>
  <si>
    <t>Hochbaubeton / béton pour bâtiment, 30 cm [kg], 2'300 [kg/m3]</t>
  </si>
  <si>
    <t>01.002</t>
  </si>
  <si>
    <t>Armierungsstahl / Acier d'armature [kg], 7'850 [kg/m3]</t>
  </si>
  <si>
    <t>06.003</t>
  </si>
  <si>
    <t>isolés, XPS</t>
  </si>
  <si>
    <t>Etanchéité</t>
  </si>
  <si>
    <t>Bitumenanstrich / Emulsion de bitume [m2]</t>
  </si>
  <si>
    <t>14.003</t>
  </si>
  <si>
    <t>Noppenfolie / Feuille PE [kg]</t>
  </si>
  <si>
    <t>13.002</t>
  </si>
  <si>
    <t xml:space="preserve">Dämmung XPS, U=0.15 W/m2K </t>
  </si>
  <si>
    <t>XPS, 33 kg/m3, lamdaD 0.033 W/mK, 20 cm [kg]</t>
  </si>
  <si>
    <t>10.005</t>
  </si>
  <si>
    <t>isolés, Verre cellulaire</t>
  </si>
  <si>
    <t xml:space="preserve">Dämmung Schaumglas, U=0.15 W/m2K </t>
  </si>
  <si>
    <t>Verre cellulaire / Foamglas T4+, 115 kg/m3, lambdaD 0.041 W/mK, 25 cm [kg]</t>
  </si>
  <si>
    <t>10.007</t>
  </si>
  <si>
    <r>
      <t>pro m</t>
    </r>
    <r>
      <rPr>
        <b/>
        <vertAlign val="superscript"/>
        <sz val="11"/>
        <color theme="1"/>
        <rFont val="Arial"/>
        <family val="2"/>
      </rPr>
      <t>2</t>
    </r>
    <r>
      <rPr>
        <b/>
        <sz val="11"/>
        <color theme="1"/>
        <rFont val="Arial"/>
        <family val="2"/>
      </rPr>
      <t xml:space="preserve"> BTF</t>
    </r>
  </si>
  <si>
    <t>Betonwand 25 cm, CEM II 300 kg/m3, Bewehrung 97.5 kg/m3 , Bitumenanstrich &amp; Noppenfolie</t>
  </si>
  <si>
    <t>Hochbaubeton / béton pour bâtiment, 25 cm [kg], 2'300 [kg/m3]</t>
  </si>
  <si>
    <t>3-SP Schalung/Coffrage 2.5cm (Annahme/Hyp. 5xverwendet/utilisé) [kg]</t>
  </si>
  <si>
    <t>07.001</t>
  </si>
  <si>
    <t>Dämmung XPS U-Wert=0.15 W/m2K (inkl. Betonwand)</t>
  </si>
  <si>
    <t>Bitumenkleber / Colle bitumineuse [kg]</t>
  </si>
  <si>
    <t>08.002</t>
  </si>
  <si>
    <t>Dämmung Foamlgas U-Wert=0.15 W/m2K (inkl. Betonwand)</t>
  </si>
  <si>
    <t>Betondecke 30 cm, CEM II 300 kg/m3, Bewehrung 112.5 kg/m3, 1xPolymerbitumendichtungsbahn, Schutzmatte, Kies</t>
  </si>
  <si>
    <t>Bitumenemulsion / Emulsion de bitume [m2]</t>
  </si>
  <si>
    <t>Polymerbitumenbahn EP5 [kg]</t>
  </si>
  <si>
    <t>09.003.07</t>
  </si>
  <si>
    <t>Trenn-/Schutzvlies [kg]</t>
  </si>
  <si>
    <t>09.008</t>
  </si>
  <si>
    <t>Kies 3 cm [kg]</t>
  </si>
  <si>
    <t>03.012</t>
  </si>
  <si>
    <t>Betondecke 30 cm, CEM II 300 kg/m3, Bewehrung 112.5 kg/m3, Dämmung XPS 20 cm (U-Wert 0.15 W/m2K für gesamter Dachaufbau), 2xPolymerbitumendichtungsbahn, Schutzmatte, Kies</t>
  </si>
  <si>
    <t>Bitumenemulsion [m2]</t>
  </si>
  <si>
    <t>Polymerbitumenbahn EP4 [kg]</t>
  </si>
  <si>
    <t>09.003.01</t>
  </si>
  <si>
    <t>2xPolymerbitumenbahn EGV3 [kg]</t>
  </si>
  <si>
    <t>09.003.03</t>
  </si>
  <si>
    <t>Betondecke 30 cm, CEM II 300 kg/m3, Bewehrung 112.5 kg/m3, Dämmung Schaumglas 25 cm (U-Wert 0.15 W/m2K für gesamter Dachaufbau), 2xPolymerbitumendichtungsbahn, Schutzmatte, Kies</t>
  </si>
  <si>
    <t>Heissbitumen [kg]</t>
  </si>
  <si>
    <t>Paroi en béton</t>
  </si>
  <si>
    <t>Betonwand 20 cm, CEM II 300 kg/m3, Bewehrung 97.5 kg/m3</t>
  </si>
  <si>
    <t>Hochbaubeton, 20 cm [kg]</t>
  </si>
  <si>
    <t>Armierungsstahl [kg]</t>
  </si>
  <si>
    <t>3-SP Schalung 2.5cm (Annahme 5xverwendet) [kg]</t>
  </si>
  <si>
    <t>Paroi en bois</t>
  </si>
  <si>
    <t>Brettstapelwand 10 cm</t>
  </si>
  <si>
    <t>Nadelschnittholz [kg]</t>
  </si>
  <si>
    <t>07.009</t>
  </si>
  <si>
    <t>Paroi en brique en terre cuite</t>
  </si>
  <si>
    <t>Backsteinwand 30 cm</t>
  </si>
  <si>
    <t>Backstein [kg]</t>
  </si>
  <si>
    <t>02.001</t>
  </si>
  <si>
    <t>Mörtel [kg]</t>
  </si>
  <si>
    <t>04.009</t>
  </si>
  <si>
    <t>Paroi en briques pour double paroi en briques</t>
  </si>
  <si>
    <t>Backsteinwand 15 cm</t>
  </si>
  <si>
    <t>Maconnerie monolithique isolante</t>
  </si>
  <si>
    <t>Porotherm T7 49 cm U-Wert ca. 0.14 W/m2K inkl. Dünnbettmörtel</t>
  </si>
  <si>
    <t>Blähperlit [kg]</t>
  </si>
  <si>
    <t>10.012</t>
  </si>
  <si>
    <t>Dünnbettmörtel [kg]</t>
  </si>
  <si>
    <t>04.008</t>
  </si>
  <si>
    <t>Revêtements de facades</t>
  </si>
  <si>
    <r>
      <t>pro m</t>
    </r>
    <r>
      <rPr>
        <b/>
        <vertAlign val="superscript"/>
        <sz val="11"/>
        <color theme="1"/>
        <rFont val="Arial"/>
        <family val="2"/>
      </rPr>
      <t>2</t>
    </r>
  </si>
  <si>
    <t>Crépis extérieur</t>
  </si>
  <si>
    <t>Aussenwärmedämmung EPS, mineralischer Verputz, inkl. Befestigung und Farbanstrich, U-Wert=0.15 W/m2K (gesamter Aufbau inkl. Wand 25 cm Beton)</t>
  </si>
  <si>
    <t>Zementkleber [kg]</t>
  </si>
  <si>
    <t>Dämmstoffdübel (3 Stk. à 40g pro m2) [kg]</t>
  </si>
  <si>
    <t>15.002</t>
  </si>
  <si>
    <t>Einbettmörtel [kg]</t>
  </si>
  <si>
    <t>04.010</t>
  </si>
  <si>
    <t>Armierungsgewebe [kg]</t>
  </si>
  <si>
    <t>Mineralischer Deckputz (Kalk-Zementputz) 1.5mm [kg]</t>
  </si>
  <si>
    <t>04.013</t>
  </si>
  <si>
    <t>Anstrich [m2]</t>
  </si>
  <si>
    <t>14.001</t>
  </si>
  <si>
    <t>Revêtement bois ventilé</t>
  </si>
  <si>
    <t>Holzschalung inkl. Unterkonstrukton (System Rogger für Dämmstärke 20 cm), 20 cm Glaswolle</t>
  </si>
  <si>
    <t>Holzschalung mit Nut und Kamm [kg]</t>
  </si>
  <si>
    <t>07.011</t>
  </si>
  <si>
    <t>Vergrauungslasur [m2]</t>
  </si>
  <si>
    <t>Chromstahl 18/8 (Rogger Dübel), 3.5 Stk./m2 [kg]</t>
  </si>
  <si>
    <t>06.004</t>
  </si>
  <si>
    <t>Polyamid glasfaserverstärkt (Rogger Dübel) [kg]</t>
  </si>
  <si>
    <t>Stahlprofile verzinkt [kg]</t>
  </si>
  <si>
    <t>06.011</t>
  </si>
  <si>
    <t>Dämmstoffdübel (3 Stk. à 40 g pro m2) [kg]</t>
  </si>
  <si>
    <t>Winpapier (PE Spinnvlies) [kg]</t>
  </si>
  <si>
    <t>Mur double paroi - extérieure 12.5cm, Laine de roche</t>
  </si>
  <si>
    <r>
      <t xml:space="preserve">Klinkervormauerung </t>
    </r>
    <r>
      <rPr>
        <sz val="11"/>
        <color rgb="FFFF0000"/>
        <rFont val="Arial"/>
        <family val="2"/>
      </rPr>
      <t>12.5cm</t>
    </r>
    <r>
      <rPr>
        <sz val="11"/>
        <color theme="1"/>
        <rFont val="Arial"/>
        <family val="2"/>
      </rPr>
      <t>, 22 cm Steinwolle</t>
    </r>
  </si>
  <si>
    <t>12.5 cm Sichtbackstein Klinker [kg]</t>
  </si>
  <si>
    <t>03.015</t>
  </si>
  <si>
    <t>Armierung Chromstahl [kg]</t>
  </si>
  <si>
    <t>Winpapier (PE Spinnvlies)</t>
  </si>
  <si>
    <t>Revêtement Fibrociment</t>
  </si>
  <si>
    <t>Faserzement inkl. Unterkonstrukton (System Wagner UKS für Dämmstärke 20 cm), 20 cm Glaswolle</t>
  </si>
  <si>
    <t>Faserzement [kg]</t>
  </si>
  <si>
    <t>03.003</t>
  </si>
  <si>
    <t>Aluminiumprofile [kg]</t>
  </si>
  <si>
    <t>06.002</t>
  </si>
  <si>
    <t>Chromstahl 18/8 [kg]</t>
  </si>
  <si>
    <t>PVC [kg]</t>
  </si>
  <si>
    <t>13.004</t>
  </si>
  <si>
    <t>Revêtement Pierre naturelle</t>
  </si>
  <si>
    <t>Naturstein, Leichtmetall Unterkonstruktion, 22 cm Steinwolle</t>
  </si>
  <si>
    <t>Naturstein</t>
  </si>
  <si>
    <t>03.009</t>
  </si>
  <si>
    <t>Aluminiumunterkonstruktion [kg]</t>
  </si>
  <si>
    <t>Revêtements métal</t>
  </si>
  <si>
    <t>Alu-Verbundplatte (Sandwich 4mm Alu beidseitig mit Kunststoffker, Leichtmetall Unterkonstruktion), 22 cm Steinwolle</t>
  </si>
  <si>
    <t>Fassadenplatte, Aluverbund, 4 mm</t>
  </si>
  <si>
    <t>05.022</t>
  </si>
  <si>
    <t>Dämmstoffdübel [kg]</t>
  </si>
  <si>
    <t>Revêtements verre</t>
  </si>
  <si>
    <t>ESG Bekleidung, Leichtmetall Unterkonstruktion, 20 cm Glaswolle</t>
  </si>
  <si>
    <t>10 mm Einscheibensicherheitsglas [kg]</t>
  </si>
  <si>
    <t>03.005</t>
  </si>
  <si>
    <t>Crépis extérieur sans isolant</t>
  </si>
  <si>
    <t>Mineralisches Aussenputzsystem (Grundputz, Deckputz ) inkl. Farbanstrich</t>
  </si>
  <si>
    <t>Zement Grundputz 1cm [kg]</t>
  </si>
  <si>
    <t>Mineralischer Deckputz (Kalk-Zementputz) 1.5 mm [kg]</t>
  </si>
  <si>
    <t>Isolant façade</t>
  </si>
  <si>
    <t>EPS</t>
  </si>
  <si>
    <t>EPS 200 mm (16 kg/m3, 0.031 W/mK) [kg]</t>
  </si>
  <si>
    <t>10.004</t>
  </si>
  <si>
    <t>Laine de roche</t>
  </si>
  <si>
    <t>220 mm Steinwolle (48 kg/m3, 0.034 W/mK) [kg]</t>
  </si>
  <si>
    <t>10.008</t>
  </si>
  <si>
    <t>Laine de roche, pour revêtement crépi</t>
  </si>
  <si>
    <t>Steinwolle 220 mm (80 kg/m3, 0.034 W/mK) [kg]</t>
  </si>
  <si>
    <t>Laine de verre</t>
  </si>
  <si>
    <t>200 mm Glaswolle (38 kg/m3, 0.032 W/mK) [kg]</t>
  </si>
  <si>
    <t>10.001</t>
  </si>
  <si>
    <t>Holz-Metallfenster über Brüstung, Ug=0.6 W/m2K, Rahmenanteil 22% (entspricht Normalfenster), Lamellenstoren (Aluminiumlamellen inkl. Storenkasten, Antrieb, Führungsschienen)</t>
  </si>
  <si>
    <t>Holz-Metallfenster [m2 i.L.]</t>
  </si>
  <si>
    <t>05.006</t>
  </si>
  <si>
    <t>Isolierverglasung 3-fach, Ug-Wert 0.6 W/m2K, Dicke 40 mm [m2]</t>
  </si>
  <si>
    <t>05.012</t>
  </si>
  <si>
    <t>Lamellenstoren [m2]</t>
  </si>
  <si>
    <t>05.017</t>
  </si>
  <si>
    <t>Protection solaire</t>
  </si>
  <si>
    <t>Alu/Glas und Sonnenschutz (Mittelwert Lamellenstoren/Knickarmmarkise inkl. Storenkasten, Führungsschienen und Antrieb)</t>
  </si>
  <si>
    <t>Pfostenriegel Alu/Glas [m2]</t>
  </si>
  <si>
    <t>05.008</t>
  </si>
  <si>
    <t>Ausstellstoren [m2]</t>
  </si>
  <si>
    <t>05.018</t>
  </si>
  <si>
    <t>Porte extérieure</t>
  </si>
  <si>
    <t>Aussentüre, Aluminium, Glaseinsatz</t>
  </si>
  <si>
    <t>12.005</t>
  </si>
  <si>
    <t>Dalle en béton 25cm</t>
  </si>
  <si>
    <t>Betondecke 25cm</t>
  </si>
  <si>
    <t>Hochbaubeton 25 cm [kg]</t>
  </si>
  <si>
    <t>Armierungsstahl (Bewehurngsgehalt 90 kg/m3) [kg]</t>
  </si>
  <si>
    <t>Plafond en bois massif</t>
  </si>
  <si>
    <t>Brettstapeldecke 5-6 m Spannweite, 23 cm Massivholz verdübelt</t>
  </si>
  <si>
    <t>3-SP [kg]</t>
  </si>
  <si>
    <t>Dalle en béton 40cm</t>
  </si>
  <si>
    <t>Betondecke 40 cm</t>
  </si>
  <si>
    <t>Hochbaubeton 40 cm [kg]</t>
  </si>
  <si>
    <t>Armierungsstahl (Bewehrungsgehalt 147.5 kg/m3) [kg]</t>
  </si>
  <si>
    <t>3-SP Schalung 2.5 cm (Annahme 5xverwendet) [kg]</t>
  </si>
  <si>
    <t>Plafond solivage</t>
  </si>
  <si>
    <t>Plafond incliné en bois</t>
  </si>
  <si>
    <t>Holzbalkendecke</t>
  </si>
  <si>
    <t>Plancher à solivages en bois</t>
  </si>
  <si>
    <t>Sperrholz für Feuchtebreich [kg]</t>
  </si>
  <si>
    <t>07.018</t>
  </si>
  <si>
    <t>MF-Klebstoff</t>
  </si>
  <si>
    <t>08.001</t>
  </si>
  <si>
    <t>Isolation acoustique 6cm</t>
  </si>
  <si>
    <t>10.010</t>
  </si>
  <si>
    <t>Tôle ondulée-béton</t>
  </si>
  <si>
    <t>Profilblech Verbunddecke, Spannweite 5 m inkl. IPE Träger, Überdeckung 11 cm, Gesamtsträrke 27 cm</t>
  </si>
  <si>
    <t>Armierungsstahl (Bewehrungsgehalt 80 kg/m3) [kg]</t>
  </si>
  <si>
    <t>Stahlblech [kg]</t>
  </si>
  <si>
    <t>Stahlträger [kg]</t>
  </si>
  <si>
    <t>06.012</t>
  </si>
  <si>
    <t>Couvertures du toit</t>
  </si>
  <si>
    <t>Toiture plate</t>
  </si>
  <si>
    <t>Dachaufbau: EPS, Bituminöse Dampfbremse, 2x Polymerbitumendichtungsbahn, Schutz-/Trennschicht, Extensivbegrünung.</t>
  </si>
  <si>
    <t>2 x EGV3 Polymerbitumenbahn [kg]</t>
  </si>
  <si>
    <t>09.001</t>
  </si>
  <si>
    <t>1x EP4 Polymerbitumenbahn [kg]</t>
  </si>
  <si>
    <t>09.003</t>
  </si>
  <si>
    <t>PP-Vlies Trenn-/Schutzvlies [kg]</t>
  </si>
  <si>
    <t>Substrat 7 cm [kg]</t>
  </si>
  <si>
    <t>03.013</t>
  </si>
  <si>
    <t>Toiture inclinée</t>
  </si>
  <si>
    <t>Geneigtes Dach, gedämmt mit 22 cm Steinwolle, Ziegeleindeckung inkl. Unterdach und Verankerung (Standardeindeckung, Konter- und Ziegellattung, diffusionsoffene Unterdachfolie)</t>
  </si>
  <si>
    <t>Konter- und Ziegellattung aus Nadelschnittholz [kg]</t>
  </si>
  <si>
    <t>Unterdachfolie: PP-Vlies [kg]</t>
  </si>
  <si>
    <t>Ziegeleindeckeung [kg]</t>
  </si>
  <si>
    <t>Befestigung mit verzinkten Stahlschrauben [kg]</t>
  </si>
  <si>
    <t>PE Dampfbremse [kg]</t>
  </si>
  <si>
    <t>09.007</t>
  </si>
  <si>
    <t>Toiture plate non isolée</t>
  </si>
  <si>
    <t>Dachaufbau ohne Dämmung, bituminös (2x Polymerbitumendichtungsbahn, Trennschicht, Extensivbegrünung)</t>
  </si>
  <si>
    <t>2x EP4 Polymerbitumenbahn [kg]</t>
  </si>
  <si>
    <t>Toiture inclinée non isolée</t>
  </si>
  <si>
    <t>Ziegeleindeckung inkl. Unterdach und Verankerung (Standardeindeckung, Konter- und Ziegellattung, diffusionsoffene Unterdachfolie)</t>
  </si>
  <si>
    <t>EPS 22 cm</t>
  </si>
  <si>
    <t>EPS 25 Standard, 22 cm, 25 kg/m3 [kg]</t>
  </si>
  <si>
    <t>Laine de roche 28 cm</t>
  </si>
  <si>
    <t>Steinwolle 28 cm, 160kg/m3</t>
  </si>
  <si>
    <t>Glaswolle (60 kg/m3)</t>
  </si>
  <si>
    <t>PUR</t>
  </si>
  <si>
    <t>PUR 16 cm</t>
  </si>
  <si>
    <t>PUR, 16 cm, 30 kg/m3 [kg]</t>
  </si>
  <si>
    <t>10.006</t>
  </si>
  <si>
    <t>Paille</t>
  </si>
  <si>
    <t xml:space="preserve">Laine de roche 28 cm </t>
  </si>
  <si>
    <t>Steinwolle 28 cm, 90 kg/m3</t>
  </si>
  <si>
    <t>Pilier</t>
  </si>
  <si>
    <t>Pilier en béton coulé sur place</t>
  </si>
  <si>
    <t>20x20 cm, K   48 (3G / 4 x 4 m), CEM II 300 kg/m3, Bewehrung 300 kg/m3 Vd = 600 kN, 1 Stütze alle 3 m Aussenwand</t>
  </si>
  <si>
    <t>Hochbaubeton  [kg]</t>
  </si>
  <si>
    <t>Support préfabriqué</t>
  </si>
  <si>
    <t>20 x 20 cm, K   48 (3G / 4 x 4 m), CEM I 400 kg/m3, Bewehrung 250 kg/m3 Vd = 800 kN, 1 Stütze alle 3 m Aussenwand</t>
  </si>
  <si>
    <t>Betonfertigteil, Normalbeton, ab Werk [kg]</t>
  </si>
  <si>
    <t>01.042</t>
  </si>
  <si>
    <t>Parois intérieures porteuses et cage d'escalier</t>
  </si>
  <si>
    <t>Béton</t>
  </si>
  <si>
    <t>Paroi CLT</t>
  </si>
  <si>
    <t>Leichtbauwand, 60dB, Beplankung mit Gipsfaserplatten</t>
  </si>
  <si>
    <t>2 x 72 mm CLT</t>
  </si>
  <si>
    <t>Steinwolle [kg]</t>
  </si>
  <si>
    <t>Briques</t>
  </si>
  <si>
    <t>Backsteinwand 15 cm inkl. Mörtel</t>
  </si>
  <si>
    <t>15 cm Backstein [kg]</t>
  </si>
  <si>
    <t xml:space="preserve">Briques silico-calcaires </t>
  </si>
  <si>
    <t>Kalksandsteinwand 15cm inkl. Mörtel</t>
  </si>
  <si>
    <t>15 cm Kalksandstein [kg]</t>
  </si>
  <si>
    <t>02.002</t>
  </si>
  <si>
    <t>Parois intérieures non-porteuses</t>
  </si>
  <si>
    <t>Cloison légère</t>
  </si>
  <si>
    <t>2 x 12.5 mm und 2 x 10mm Gipsfaserplatten [kg]</t>
  </si>
  <si>
    <t>03.007</t>
  </si>
  <si>
    <t>Paroi placoplatre</t>
  </si>
  <si>
    <t xml:space="preserve">2 x 12.5 mm </t>
  </si>
  <si>
    <t>Armierungsstahl (Bewehrungsgehalt 90 kg/m3) [kg]</t>
  </si>
  <si>
    <t>Plancher en éléments de bois</t>
  </si>
  <si>
    <t>Hohlkörperdecke (6m Spannweite, Elementhöhe 24cm, Breite 100cm), mit Schalldämung (Schüttung), Massivholz verleimt</t>
  </si>
  <si>
    <t>Leim [kg]</t>
  </si>
  <si>
    <t>Schüttung [kg]</t>
  </si>
  <si>
    <t>03.011</t>
  </si>
  <si>
    <t>Sommier</t>
  </si>
  <si>
    <t>Solives</t>
  </si>
  <si>
    <t>07.003</t>
  </si>
  <si>
    <t>Panneau 3 plis 32mm</t>
  </si>
  <si>
    <t>Système mixte bois-béton</t>
  </si>
  <si>
    <t>Holzbetonverbund 22cm, 9cm Beton, 13cm Brettstapel</t>
  </si>
  <si>
    <t>Hochbaubeton 9cm [kg]</t>
  </si>
  <si>
    <t>Escaliers béton</t>
  </si>
  <si>
    <t>Balcon</t>
  </si>
  <si>
    <t>Betonkragplatte 1.6 m Auskragung inkl. Metallgeländer</t>
  </si>
  <si>
    <t>Balkonkragplatte Ortbeton [kg]</t>
  </si>
  <si>
    <t>Bewehrungsstahl [kg]</t>
  </si>
  <si>
    <t>Chromstahl (Kragplattenanschluss) [kg]</t>
  </si>
  <si>
    <t>XPS (Kragplattenanschluss)[kg]</t>
  </si>
  <si>
    <t>Harbetonüberzug [kg]</t>
  </si>
  <si>
    <t>11.005</t>
  </si>
  <si>
    <t>Metallstabgeländer [kg]</t>
  </si>
  <si>
    <t>Portes internes</t>
  </si>
  <si>
    <t>Porte bois</t>
  </si>
  <si>
    <t>12.009</t>
  </si>
  <si>
    <t xml:space="preserve">Revetements de sols </t>
  </si>
  <si>
    <t>Linoleum</t>
  </si>
  <si>
    <t>Linoleum inkl. Klebstoff</t>
  </si>
  <si>
    <t>Linoleum [m2]</t>
  </si>
  <si>
    <t>11.014</t>
  </si>
  <si>
    <t>Klebstoff [kg]</t>
  </si>
  <si>
    <t>Parquet</t>
  </si>
  <si>
    <t>Parkett inkl. Klebstoff</t>
  </si>
  <si>
    <t>Parkett 2-Schicht werkversiegelt, 11 mm [m2]</t>
  </si>
  <si>
    <t>11.018</t>
  </si>
  <si>
    <t>Céramique</t>
  </si>
  <si>
    <t>Keramikplatten, Zementunterlagsboden, Trennschicht, 2cm Trittschall</t>
  </si>
  <si>
    <t>Keramikplatten 9mm [m2]</t>
  </si>
  <si>
    <t>11.008</t>
  </si>
  <si>
    <t>Klebemörtel [kg]</t>
  </si>
  <si>
    <t xml:space="preserve">Revêtement de sol fini mixte </t>
  </si>
  <si>
    <t>Mehrschichtparkett, Zementunterlagsboden, Trennschicht, 2cm Trittschall</t>
  </si>
  <si>
    <t>70% parquet</t>
  </si>
  <si>
    <t>30/ céramique</t>
  </si>
  <si>
    <t>Revetements de sols support</t>
  </si>
  <si>
    <t>Chape ciment</t>
  </si>
  <si>
    <t>Zementunterlagsboden 7cm [kg]</t>
  </si>
  <si>
    <t>04.006</t>
  </si>
  <si>
    <t>Chape anhydrite</t>
  </si>
  <si>
    <t>04.005</t>
  </si>
  <si>
    <t>Chape sèche</t>
  </si>
  <si>
    <t>Réglage béton celullaire</t>
  </si>
  <si>
    <t>02.006</t>
  </si>
  <si>
    <t>Chape sèche avec chauffage au sol</t>
  </si>
  <si>
    <t>Isolant acoustique</t>
  </si>
  <si>
    <t>EPS, acoustique</t>
  </si>
  <si>
    <t>EPS und Vlies</t>
  </si>
  <si>
    <t>PE-Vlies [kg]</t>
  </si>
  <si>
    <t>Laine de verre, acoustique</t>
  </si>
  <si>
    <t>Laine de verre und Vlies</t>
  </si>
  <si>
    <t>Glaswolle (50 kg/m3)</t>
  </si>
  <si>
    <t>Laine de roche, acoustique</t>
  </si>
  <si>
    <t>Laine de roche und Vlies</t>
  </si>
  <si>
    <t>Laine de roche (80kg/m3)</t>
  </si>
  <si>
    <t>Isolant sol</t>
  </si>
  <si>
    <t>Isolant contre terre, XPS</t>
  </si>
  <si>
    <t>Enduit en plâtre et en ciment</t>
  </si>
  <si>
    <t>Beidseitiger Putzaufbau und Wanddispersion</t>
  </si>
  <si>
    <t>Kalk-Zementgrundputz [kg]</t>
  </si>
  <si>
    <t>Deckputz (Weissputz) [kg]</t>
  </si>
  <si>
    <t>04.001</t>
  </si>
  <si>
    <t>Wanddispersion [m2]</t>
  </si>
  <si>
    <t>Enduit en plâtre et chaux</t>
  </si>
  <si>
    <t>Beidseitiger Spachtel und Wanddispersion</t>
  </si>
  <si>
    <t>Spachtel [kg]</t>
  </si>
  <si>
    <t>04.017</t>
  </si>
  <si>
    <t>Revetements Plafonds</t>
  </si>
  <si>
    <t>Putzaufbau und Wanddispersion</t>
  </si>
  <si>
    <t>Enduit en plâtre et chaux, avec sous construction</t>
  </si>
  <si>
    <t>Gipsbekleidung inkl. Spachtel, Anstrich und Unterkonstruktion</t>
  </si>
  <si>
    <t>Gipskartonplatte [kg]</t>
  </si>
  <si>
    <t>03.008</t>
  </si>
  <si>
    <t>Faux plafond d'installation en plâtre</t>
  </si>
  <si>
    <t>Gipswerkstoffe heruntergehängt, 15-20 cm als Installationszone, Unterkonstruktion aus Metall, gespachtelt und gestrichen</t>
  </si>
  <si>
    <t>Gipsfaserplatte [kg]</t>
  </si>
  <si>
    <t>Faux plafond d'installation en métal</t>
  </si>
  <si>
    <t>Metalldecke heruntergehängt, 15-20 cm als Installationszone, Unterkonstruktion aus Metall</t>
  </si>
  <si>
    <t>Stahlblech verzinkt [kg]</t>
  </si>
  <si>
    <t>Pulverbeschichten Stahl [m2]</t>
  </si>
  <si>
    <t>14.006</t>
  </si>
  <si>
    <t>Akustikvlies [kg]</t>
  </si>
  <si>
    <t>PE n.e. Herstellung [kWh/a]</t>
  </si>
  <si>
    <t>PE n.e. Entsorgung [kWh/a]</t>
  </si>
  <si>
    <t>THG Herstellung [kg CO2-eq./a]</t>
  </si>
  <si>
    <t>THG Entsorgung [kg CO2-eq./a]</t>
  </si>
  <si>
    <t>Installation électriques habitation</t>
  </si>
  <si>
    <t>Elektroanlage Wohnen</t>
  </si>
  <si>
    <t>Installation électrique</t>
  </si>
  <si>
    <t>34.001</t>
  </si>
  <si>
    <t>Installation électriques bureau</t>
  </si>
  <si>
    <t>Elektroanlage Büro</t>
  </si>
  <si>
    <t>34.002</t>
  </si>
  <si>
    <t>Solarstromanlage Flachdach</t>
  </si>
  <si>
    <t>34.026</t>
  </si>
  <si>
    <t>inkl.</t>
  </si>
  <si>
    <t>Plusieurs choix possibles</t>
  </si>
  <si>
    <t>Installations techniques de chauffage</t>
  </si>
  <si>
    <t>Production de chaleur 10 W/m2</t>
  </si>
  <si>
    <t>Wärmeerzeuger 10 W/m2</t>
  </si>
  <si>
    <t>Installation CVC</t>
  </si>
  <si>
    <t>31.001</t>
  </si>
  <si>
    <t>Production de chaleur 30 W/m2</t>
  </si>
  <si>
    <t>Wärmeerzeuger 30 W/m2</t>
  </si>
  <si>
    <t>31.002</t>
  </si>
  <si>
    <t>Production de chaleur 50 W/m2</t>
  </si>
  <si>
    <t>Wärmeerzeuger 50 W/m2</t>
  </si>
  <si>
    <t>31.003</t>
  </si>
  <si>
    <t>Distribution et émission de chaleur habitation</t>
  </si>
  <si>
    <t>Verteilung Wohnen, Fussbodenheizung</t>
  </si>
  <si>
    <t>31.021</t>
  </si>
  <si>
    <t>31.024</t>
  </si>
  <si>
    <t>Distribution et émission de chaleur bureau</t>
  </si>
  <si>
    <t>Verteilung Büro, Heizkörper</t>
  </si>
  <si>
    <t>31.022</t>
  </si>
  <si>
    <t>31.023</t>
  </si>
  <si>
    <t>31.016</t>
  </si>
  <si>
    <t>Flachkollektor für Warmwasser MFH</t>
  </si>
  <si>
    <t>31.009</t>
  </si>
  <si>
    <t>Abluftanlage Küche und Bad</t>
  </si>
  <si>
    <t>32.003</t>
  </si>
  <si>
    <t>Système de ventilation habitation</t>
  </si>
  <si>
    <t>Lüftungsanlage, spez. Luftmenge 1 m3/hm2 EBF</t>
  </si>
  <si>
    <t>32.011</t>
  </si>
  <si>
    <t>Système de ventilation bureau 2m3/hm2</t>
  </si>
  <si>
    <t>Lüftungsanlage, spez. Luftmenge 2 m3/hm2 EBF</t>
  </si>
  <si>
    <t>32.005</t>
  </si>
  <si>
    <t>Système de ventilation bureau 4m3/hm2</t>
  </si>
  <si>
    <t>Lüftungsanlage, spez. Luftmenge 4 m3/hm2 EBF</t>
  </si>
  <si>
    <t>32.006</t>
  </si>
  <si>
    <t>Installations techniques de distribution d'eau</t>
  </si>
  <si>
    <t>Installation sanitaire habitation</t>
  </si>
  <si>
    <t>Sanitäranlagen, Wohnen, inkl. Apparate und Leitungen</t>
  </si>
  <si>
    <t>33.003</t>
  </si>
  <si>
    <t>Installation sanitaire bureau</t>
  </si>
  <si>
    <t>Sanitäranlagen, Büro, einfach, inkl. Apparate und Leitungen</t>
  </si>
  <si>
    <t>33.001</t>
  </si>
  <si>
    <t>Installation sanitaire bureau, complexe</t>
  </si>
  <si>
    <t>Sanitäranlagen, Büro, aufwändig, inkl. Apparate und Leitungen</t>
  </si>
  <si>
    <t>33.002</t>
  </si>
  <si>
    <t>Ökobilanzdaten im Baubereich</t>
  </si>
  <si>
    <t>KBOB / ecobau / IPB  2009/1:2022, Version 4</t>
  </si>
  <si>
    <t>Données écobilans dans la construction</t>
  </si>
  <si>
    <t>production future de matériaux de construction</t>
  </si>
  <si>
    <t xml:space="preserve">https://treeze.ch/projects/case-studies/building-and-construction/climat-1 </t>
  </si>
  <si>
    <t>Summe</t>
  </si>
  <si>
    <t>Total, renewable</t>
  </si>
  <si>
    <t>Energie st, erneuerbar</t>
  </si>
  <si>
    <t>Total, non-renewable</t>
  </si>
  <si>
    <t>Energie st, nicht erneuerbar</t>
  </si>
  <si>
    <t>IPCC GWP 100a, specific CF for aviation</t>
  </si>
  <si>
    <t>Biogener Kohlenstoff</t>
  </si>
  <si>
    <t>ID-Nummer</t>
  </si>
  <si>
    <t>UUID-Nummer</t>
  </si>
  <si>
    <t>BAUMATERIALIEN</t>
  </si>
  <si>
    <t>ID-Nummer
Entsorgung</t>
  </si>
  <si>
    <t>Entsorgung</t>
  </si>
  <si>
    <t>Rohdichte/
Flächen-masse</t>
  </si>
  <si>
    <t>Bezug
Référence</t>
  </si>
  <si>
    <r>
      <t>UBP'</t>
    </r>
    <r>
      <rPr>
        <b/>
        <sz val="9"/>
        <color rgb="FFFF0000"/>
        <rFont val="Arial"/>
        <family val="2"/>
      </rPr>
      <t>21</t>
    </r>
  </si>
  <si>
    <t>Primärenergie 
Energie primaire</t>
  </si>
  <si>
    <t>Treibhausgas-
emissionen</t>
  </si>
  <si>
    <t>Biogener Kohlenstoff
Carbone biogène</t>
  </si>
  <si>
    <t xml:space="preserve">MATÉRIAUX DE CONSTRUCTON
</t>
  </si>
  <si>
    <t>Élimination</t>
  </si>
  <si>
    <t>No d'identi-fication</t>
  </si>
  <si>
    <t>No d'identification
Déchets</t>
  </si>
  <si>
    <t>UBP'21</t>
  </si>
  <si>
    <t>gesamt</t>
  </si>
  <si>
    <t>erneuerbar</t>
  </si>
  <si>
    <t>nicht erneuerbar (Graue Energie)</t>
  </si>
  <si>
    <t>Emissions de gaz</t>
  </si>
  <si>
    <t>Masse volumique/  surface</t>
  </si>
  <si>
    <t>globale</t>
  </si>
  <si>
    <t>renouvelable</t>
  </si>
  <si>
    <t>non renouvelable (énergie grise)</t>
  </si>
  <si>
    <t>à effet de serre</t>
  </si>
  <si>
    <t>Hinweis: Anzeigen der herstellerspezifischen und herstellerregionenspezifischen Daten durch Anklicken der '+' am linken Rand.</t>
  </si>
  <si>
    <t>Herstellung</t>
  </si>
  <si>
    <t>Herstellung total</t>
  </si>
  <si>
    <t>Herstellung energetisch genutzt</t>
  </si>
  <si>
    <t>Herstellung stofflich genutzt</t>
  </si>
  <si>
    <t xml:space="preserve">Herstellung energetisch genutzt
</t>
  </si>
  <si>
    <t>im Produkt enthalten</t>
  </si>
  <si>
    <t>Remarque: Affichage des données spécifiques aux fabricants et aux régions de production en cliquant sur les '+' sur le bord gauche.</t>
  </si>
  <si>
    <r>
      <rPr>
        <sz val="11"/>
        <rFont val="Arial"/>
        <family val="2"/>
      </rPr>
      <t xml:space="preserve"> </t>
    </r>
  </si>
  <si>
    <t>Fabrication</t>
  </si>
  <si>
    <t>Total fabrication</t>
  </si>
  <si>
    <t>Valorisé sous forme énergétique fabrication</t>
  </si>
  <si>
    <t>Valorisé sous forme de matière fabrication</t>
  </si>
  <si>
    <t>Contenu dans le produit</t>
  </si>
  <si>
    <t>Elimination</t>
  </si>
  <si>
    <t>UBP</t>
  </si>
  <si>
    <t>kWh oil-eq</t>
  </si>
  <si>
    <r>
      <t>kg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-eq</t>
    </r>
  </si>
  <si>
    <t>kg C</t>
  </si>
  <si>
    <r>
      <t>kg CO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-eq</t>
    </r>
  </si>
  <si>
    <t>Vorbereitungsarbeiten</t>
  </si>
  <si>
    <t>-</t>
  </si>
  <si>
    <t>Travaux de préparation</t>
  </si>
  <si>
    <t>00.001</t>
  </si>
  <si>
    <t>1C0034A0-2E93-4622-AB2F-B6C7BDC0A9A4</t>
  </si>
  <si>
    <t>Baugrubensicherung, Bohrpfahlwand, gespriesst</t>
  </si>
  <si>
    <t>91.074</t>
  </si>
  <si>
    <t>Entsorgung, Baugrubensicherung, Bohrpfahlwand, gespriesst</t>
  </si>
  <si>
    <r>
      <t>m</t>
    </r>
    <r>
      <rPr>
        <vertAlign val="superscript"/>
        <sz val="10"/>
        <rFont val="Arial"/>
        <family val="2"/>
      </rPr>
      <t>2</t>
    </r>
  </si>
  <si>
    <t>Blindage de fouille, paroi parisienne, étayé</t>
  </si>
  <si>
    <r>
      <rPr>
        <sz val="10"/>
        <rFont val="Arial"/>
        <family val="2"/>
      </rPr>
      <t>Élimination, blindage de fouille, paroi parisienne, étayé</t>
    </r>
  </si>
  <si>
    <t>00.002</t>
  </si>
  <si>
    <t>EE35298F-D4F1-4FBF-8F21-914AC601204F</t>
  </si>
  <si>
    <t>Baugrubensicherung, Bohrpfahlwand, unverankert</t>
  </si>
  <si>
    <t>91.075</t>
  </si>
  <si>
    <t>Entsorgung, Baugrubensicherung, Bohrpfahlwand, unverankert</t>
  </si>
  <si>
    <t>Blindage de fouille, paroi parisienne, flottant</t>
  </si>
  <si>
    <r>
      <rPr>
        <sz val="10"/>
        <rFont val="Arial"/>
        <family val="2"/>
      </rPr>
      <t>Élimination, blindage de fouille, paroi parisienne, flottant</t>
    </r>
  </si>
  <si>
    <t>00.003</t>
  </si>
  <si>
    <t>E6266550-4DA7-4AC1-9967-35D378CCA917</t>
  </si>
  <si>
    <t>Baugrubensicherung, Bohrpfahlwand, verankert</t>
  </si>
  <si>
    <t>91.076</t>
  </si>
  <si>
    <t>Entsorgung, Baugrubensicherung, Bohrpfahlwand, verankert</t>
  </si>
  <si>
    <t>Blindage de fouille, paroi parisienne, fixe</t>
  </si>
  <si>
    <r>
      <rPr>
        <sz val="10"/>
        <rFont val="Arial"/>
        <family val="2"/>
      </rPr>
      <t>Élimination, blindage de fouille, paroi parisienne, fixe</t>
    </r>
  </si>
  <si>
    <t>00.004</t>
  </si>
  <si>
    <t>B49F5C35-D26E-4EBD-9736-51937285D583</t>
  </si>
  <si>
    <t>Baugrubensicherung, Nagelwand</t>
  </si>
  <si>
    <t>91.077</t>
  </si>
  <si>
    <t>Entsorgung, Baugrubensicherung, Nagelwand</t>
  </si>
  <si>
    <t>Blindage de fouille, paroi clouée</t>
  </si>
  <si>
    <r>
      <rPr>
        <sz val="10"/>
        <rFont val="Arial"/>
        <family val="2"/>
      </rPr>
      <t>Élimination, blindage de fouille, paroi clouée</t>
    </r>
  </si>
  <si>
    <t>F0E2CA61-381A-42B0-9331-F3A3B092171A</t>
  </si>
  <si>
    <t>Baugrubensicherung, Rühlwand, auskragend</t>
  </si>
  <si>
    <t>91.078</t>
  </si>
  <si>
    <t>Entsorgung, Baugrubensicherung, Rühlwand, auskragend</t>
  </si>
  <si>
    <t>Blindage de fouille, paroi berlinoise, en porte-à-faux</t>
  </si>
  <si>
    <r>
      <rPr>
        <sz val="10"/>
        <rFont val="Arial"/>
        <family val="2"/>
      </rPr>
      <t>Élimination, blindage de fouille, paroi berlinoise, en porte-à-faux</t>
    </r>
  </si>
  <si>
    <t>FB6C7A79-69B2-4F61-A8D9-FAD72DBB5ACD</t>
  </si>
  <si>
    <t>Baugrubensicherung, Rühlwand, gespriesst</t>
  </si>
  <si>
    <t>91.079</t>
  </si>
  <si>
    <t>Entsorgung, Baugrubensicherung, Rühlwand, gespriesst</t>
  </si>
  <si>
    <t>Blindage de fouille, paroi berlinoise, étayé</t>
  </si>
  <si>
    <r>
      <rPr>
        <sz val="10"/>
        <rFont val="Arial"/>
        <family val="2"/>
      </rPr>
      <t>Élimination, blindage de fouille, paroi berlinoise, étayé</t>
    </r>
  </si>
  <si>
    <t>4E562FDF-A73E-4E7E-8C56-B7B5068A19EC</t>
  </si>
  <si>
    <t>Baugrubensicherung, Rühlwand, verankert</t>
  </si>
  <si>
    <t>91.080</t>
  </si>
  <si>
    <t>Entsorgung, Baugrubensicherung, Rühlwand, verankert</t>
  </si>
  <si>
    <t>Blindage de fouille, paroi berlinoise, fixe</t>
  </si>
  <si>
    <r>
      <rPr>
        <sz val="10"/>
        <rFont val="Arial"/>
        <family val="2"/>
      </rPr>
      <t>Élimination, blindage de fouille, paroi berlinoise, fixe</t>
    </r>
  </si>
  <si>
    <t>F4CB3C0F-DD23-4821-9DAC-7CBFB57B2AD1</t>
  </si>
  <si>
    <t>Baugrubensicherung, Schlitzwand, 400 mm</t>
  </si>
  <si>
    <t>91.081</t>
  </si>
  <si>
    <t>Entsorgung, Baugrubensicherung, Schlitzwand, 400mm</t>
  </si>
  <si>
    <t>Blindage de fouille, paroi moulée, 400 mm</t>
  </si>
  <si>
    <r>
      <rPr>
        <sz val="10"/>
        <rFont val="Arial"/>
        <family val="2"/>
      </rPr>
      <t>Élimination, blindage de fouille, paroi moulée, 400 mm</t>
    </r>
  </si>
  <si>
    <t>8F0DDE0F-57FE-4A5E-9A52-70803B0774C6</t>
  </si>
  <si>
    <t>Baugrubensicherung, Schlitzwand, 800 mm</t>
  </si>
  <si>
    <t>91.082</t>
  </si>
  <si>
    <t>Entsorgung, Baugrubensicherung, Schlitzwand, 800mm</t>
  </si>
  <si>
    <t>Blindage de fouille, paroi moulée, 800 mm</t>
  </si>
  <si>
    <r>
      <rPr>
        <sz val="10"/>
        <rFont val="Arial"/>
        <family val="2"/>
      </rPr>
      <t>Élimination, blindage de fouille, paroi moulée, 800 mm</t>
    </r>
  </si>
  <si>
    <t>650E9E9A-4709-4780-BA84-460617AE70A0</t>
  </si>
  <si>
    <t>Baugrubensicherung, Spundwand, auskragend</t>
  </si>
  <si>
    <t>91.083</t>
  </si>
  <si>
    <t>Entsorgung, Baugrubensicherung, Spundwand, auskragend</t>
  </si>
  <si>
    <t>Blindage de fouille, paroi de palplanche, en porte-à-faux</t>
  </si>
  <si>
    <r>
      <rPr>
        <sz val="10"/>
        <rFont val="Arial"/>
        <family val="2"/>
      </rPr>
      <t>Élimination, blindage de fouille, paroi de palplanche, en porte-à-faux</t>
    </r>
  </si>
  <si>
    <t>53A125FB-F71E-4A1A-9191-DE111E0DF8C0</t>
  </si>
  <si>
    <t>Baugrubensicherung, Spundwand, gespriesst</t>
  </si>
  <si>
    <t>91.084</t>
  </si>
  <si>
    <t>Entsorgung, Baugrubensicherung, Spundwand, gespriesst</t>
  </si>
  <si>
    <t>Blindage de fouille, paroi de palplanche, étayé</t>
  </si>
  <si>
    <r>
      <rPr>
        <sz val="10"/>
        <rFont val="Arial"/>
        <family val="2"/>
      </rPr>
      <t>Élimination, blindage de fouille, paroi de palplanche, étayé</t>
    </r>
  </si>
  <si>
    <t>9AA11301-7957-4139-BC09-9F57072238EC</t>
  </si>
  <si>
    <t>Baugrubensicherung, Spundwand, verankert</t>
  </si>
  <si>
    <t>91.085</t>
  </si>
  <si>
    <t>Entsorgung, Baugrubensicherung, Spundwand, verankert</t>
  </si>
  <si>
    <t>Blindage de fouille, paroi de palplanche, fixe</t>
  </si>
  <si>
    <r>
      <rPr>
        <sz val="10"/>
        <rFont val="Arial"/>
        <family val="2"/>
      </rPr>
      <t>Élimination, blindage de fouille, paroi de palplanche, fixe</t>
    </r>
  </si>
  <si>
    <t>B4015EF4-695C-47BF-9CD8-A8AF5CE3C0CB</t>
  </si>
  <si>
    <t>Tiefgründung, Mikrobohrpfahl</t>
  </si>
  <si>
    <t>91.086</t>
  </si>
  <si>
    <t>Entsorgung, Tiefgründung, Mikrobohrpfahl</t>
  </si>
  <si>
    <t xml:space="preserve">Fondations profondes, micropieu </t>
  </si>
  <si>
    <r>
      <rPr>
        <sz val="10"/>
        <rFont val="Arial"/>
        <family val="2"/>
      </rPr>
      <t>Élimination, fondations profondes, micropieu</t>
    </r>
  </si>
  <si>
    <t>00.014</t>
  </si>
  <si>
    <t>D6B4CD48-CFD0-45DD-8F39-F2877B8DE652</t>
  </si>
  <si>
    <t>Tiefgründung, Ortbetonbohrpfahl, 700 mm</t>
  </si>
  <si>
    <t>91.087</t>
  </si>
  <si>
    <t>Entsorgung, Tiefgründung, Ortbetonbohrpfahl, 700mm</t>
  </si>
  <si>
    <t>Fondations profondes, pieu coulé sur site, 700 mm</t>
  </si>
  <si>
    <r>
      <rPr>
        <sz val="10"/>
        <rFont val="Arial"/>
        <family val="2"/>
      </rPr>
      <t>Élimination, fondations profondes, pieu coulé sur site, 700 mm</t>
    </r>
  </si>
  <si>
    <t>EE463E2C-FAD4-4183-BBDF-A8E1FA456B32</t>
  </si>
  <si>
    <t>Tiefgründung, Ortbetonbohrpfahl, 900 mm</t>
  </si>
  <si>
    <t>91.088</t>
  </si>
  <si>
    <t>Entsorgung, Tiefgründung, Ortbetonbohrpfahl, 900mm</t>
  </si>
  <si>
    <t>Fondations profondes, pieu coulé sur site, 900 mm</t>
  </si>
  <si>
    <r>
      <rPr>
        <sz val="10"/>
        <rFont val="Arial"/>
        <family val="2"/>
      </rPr>
      <t>Élimination, fondations profondes, pieu coulé sur site, 900 mm</t>
    </r>
  </si>
  <si>
    <t>00.016</t>
  </si>
  <si>
    <t>DEED59B5-BB81-4104-9BAE-D78266DC439E</t>
  </si>
  <si>
    <t>Tiefgründung, Ortbetonbohrpfahl, 1200 mm</t>
  </si>
  <si>
    <t>91.089</t>
  </si>
  <si>
    <t>Entsorgung, Tiefgründung, Ortbetonbohrpfahl, 1200mm</t>
  </si>
  <si>
    <t>Fondations profondes, pieu coulé sur site, 1200 mm</t>
  </si>
  <si>
    <r>
      <rPr>
        <sz val="10"/>
        <rFont val="Arial"/>
        <family val="2"/>
      </rPr>
      <t>Élimination, fondations profondes, pieu coulé sur site, 1200 mm</t>
    </r>
  </si>
  <si>
    <t>00.017</t>
  </si>
  <si>
    <t>13247483-F3F9-449C-87D0-6B956AB03E50</t>
  </si>
  <si>
    <t>Tiefgründung, Ortbetonverdrängungspfahl 560/480 mm</t>
  </si>
  <si>
    <t>91.090</t>
  </si>
  <si>
    <t>Entsorgung, Tiefgründung, Ortbetonverdrängungspfahl 560/480mm</t>
  </si>
  <si>
    <t>Fondations profondes, pieux forés vissés, 560/480 mm</t>
  </si>
  <si>
    <r>
      <rPr>
        <sz val="10"/>
        <rFont val="Arial"/>
        <family val="2"/>
      </rPr>
      <t>Élimination, fondations profondes, pieux forés vissés, 560/480 mm</t>
    </r>
  </si>
  <si>
    <t>26ED1BEC-5B9B-4820-8481-A544231F80EE</t>
  </si>
  <si>
    <t>Tiefgründung, Ortbetonverdrängungspfahl 660/580 mm</t>
  </si>
  <si>
    <t>91.091</t>
  </si>
  <si>
    <t>Entsorgung, Tiefgründung, Ortbetonverdrängungspfahl 660/580mm</t>
  </si>
  <si>
    <t>Fondations profondes, pieux forés vissés, 660/580 mm</t>
  </si>
  <si>
    <r>
      <rPr>
        <sz val="10"/>
        <rFont val="Arial"/>
        <family val="2"/>
      </rPr>
      <t>Élimination, fondations profondes, pieux forés vissés, 660/580 mm</t>
    </r>
  </si>
  <si>
    <t>4EACB020-C81C-482A-8817-F3DE92E1F6D6</t>
  </si>
  <si>
    <t>Tiefgründung, Rüttelstopfsäule</t>
  </si>
  <si>
    <t>91.092</t>
  </si>
  <si>
    <t>Entsorgung, Tiefgründung, Rüttelstopfsäule</t>
  </si>
  <si>
    <t>Fondations profondes, colonnes ballastées</t>
  </si>
  <si>
    <r>
      <rPr>
        <sz val="10"/>
        <rFont val="Arial"/>
        <family val="2"/>
      </rPr>
      <t>Élimination, fondations profondes, colonnes ballastées</t>
    </r>
  </si>
  <si>
    <t>4FE800F8-909C-4102-9E3F-525A7AD89DCE</t>
  </si>
  <si>
    <t>Tiefgründung, Vorgefertigter Betonpfahl</t>
  </si>
  <si>
    <t>91.093</t>
  </si>
  <si>
    <t>Entsorgung, Tiefgründung, Vorgefertigter Betonpfahl</t>
  </si>
  <si>
    <t>Fondations profondes, pieu en béton préfabriqué</t>
  </si>
  <si>
    <r>
      <rPr>
        <sz val="10"/>
        <rFont val="Arial"/>
        <family val="2"/>
      </rPr>
      <t>Élimination, fondations profondes, pieu en béton préfabriqué</t>
    </r>
  </si>
  <si>
    <t>00.021</t>
  </si>
  <si>
    <t>85D42D88-963C-488B-B94E-C9FD0985CF27</t>
  </si>
  <si>
    <t>Wasserhaltung, Pumphöhe 2.5 m</t>
  </si>
  <si>
    <t>91.094</t>
  </si>
  <si>
    <t>Entsorgung, Wasserhaltung, Pumphöhe 2.5m</t>
  </si>
  <si>
    <r>
      <t>m</t>
    </r>
    <r>
      <rPr>
        <vertAlign val="superscript"/>
        <sz val="10"/>
        <rFont val="Arial"/>
        <family val="2"/>
      </rPr>
      <t>3</t>
    </r>
  </si>
  <si>
    <t>Épuisement des eaux, hauteur de refoulement, 2,5 m</t>
  </si>
  <si>
    <r>
      <rPr>
        <sz val="10"/>
        <rFont val="Arial"/>
        <family val="2"/>
      </rPr>
      <t>Élimination, épuisement des eaux, hauteur de refoulement, 2,5 m</t>
    </r>
  </si>
  <si>
    <t>00.022</t>
  </si>
  <si>
    <t>3058E4BA-F5B1-42AF-8905-745801085D2B</t>
  </si>
  <si>
    <t>Wasserhaltung, Pumphöhe 5 m</t>
  </si>
  <si>
    <t>91.095</t>
  </si>
  <si>
    <t>Entsorgung, Wasserhaltung, Pumphöhe 5m</t>
  </si>
  <si>
    <t>Épuisement des eaux, hauteur de refoulement, 5 m</t>
  </si>
  <si>
    <r>
      <rPr>
        <sz val="10"/>
        <rFont val="Arial"/>
        <family val="2"/>
      </rPr>
      <t>Élimination, épuisement des eaux, hauteur de refoulement, 5 m</t>
    </r>
  </si>
  <si>
    <t>00.023</t>
  </si>
  <si>
    <t>50066F27-9A16-4226-9BD9-6C53C61B330B</t>
  </si>
  <si>
    <t>Wasserhaltung, Pumphöhe 7.5 m</t>
  </si>
  <si>
    <t>91.096</t>
  </si>
  <si>
    <t>Entsorgung, Wasserhaltung, Pumphöhe 7.5m</t>
  </si>
  <si>
    <t>Épuisement des eaux, hauteur de refoulement, 7,5 m</t>
  </si>
  <si>
    <t>Élimination, épuisement des eaux, hauteur de refoulement, 7,5 m</t>
  </si>
  <si>
    <t>00.024</t>
  </si>
  <si>
    <t>AA3FB687-B165-4723-8F83-3389DE7747B7</t>
  </si>
  <si>
    <t>Wasserhaltung, Pumphöhe 10 m</t>
  </si>
  <si>
    <t>91.097</t>
  </si>
  <si>
    <t>Entsorgung, Wasserhaltung, Pumphöhe 10m</t>
  </si>
  <si>
    <t>Épuisement des eaux, hauteur de refoulement, 10 m</t>
  </si>
  <si>
    <r>
      <rPr>
        <sz val="10"/>
        <rFont val="Arial"/>
        <family val="2"/>
      </rPr>
      <t>Élimination, épuisement des eaux, hauteur de refoulement, 10 m</t>
    </r>
  </si>
  <si>
    <t>01</t>
  </si>
  <si>
    <t>Beton</t>
  </si>
  <si>
    <r>
      <t>kg/m</t>
    </r>
    <r>
      <rPr>
        <b/>
        <vertAlign val="superscript"/>
        <sz val="10"/>
        <rFont val="Arial"/>
        <family val="2"/>
      </rPr>
      <t>3</t>
    </r>
  </si>
  <si>
    <t>A05F4D90-D030-49B6-A08A-BAD5228E3552</t>
  </si>
  <si>
    <t>Magerbeton (ohne Bewehrung)</t>
  </si>
  <si>
    <t>91.061</t>
  </si>
  <si>
    <t>Entsorgung, Beton</t>
  </si>
  <si>
    <t>Béton maigre (sans armature)</t>
  </si>
  <si>
    <r>
      <rPr>
        <sz val="10"/>
        <color rgb="FFFF0000"/>
        <rFont val="Arial"/>
        <family val="2"/>
      </rPr>
      <t>Élimination, béton</t>
    </r>
  </si>
  <si>
    <t>E13EE05E-FD34-4FB5-A178-0FC4164A96F2</t>
  </si>
  <si>
    <t>Hochbaubeton (ohne Bewehrung)</t>
  </si>
  <si>
    <t>Béton pour bâtiment (sans armature)</t>
  </si>
  <si>
    <t>01.003</t>
  </si>
  <si>
    <t>6704A56E-25F3-4DD0-8890-EC2E2A0D4B9C</t>
  </si>
  <si>
    <t>Tiefbaubeton (ohne Bewehrung)</t>
  </si>
  <si>
    <t>Béton pour travaux de génie civil (sans armature)</t>
  </si>
  <si>
    <t>01.004</t>
  </si>
  <si>
    <t>4EBAA5FE-7F18-443E-A05A-08185A6165D0</t>
  </si>
  <si>
    <t>Bohrpfahlbeton (ohne Bewehrung)</t>
  </si>
  <si>
    <t>Béton pour pieux (sans armature)</t>
  </si>
  <si>
    <t>01.041</t>
  </si>
  <si>
    <t>3A51918F-AB60-4CE7-A771-A10C3266684A</t>
  </si>
  <si>
    <t>Betonfertigteil, hochfester Beton, ab Werk</t>
  </si>
  <si>
    <t>Élément préfabriqué en béton, béton à hautes performances, sortie d'usine</t>
  </si>
  <si>
    <t>F6DCDEFA-AFE6-44CB-8B68-3527ABFDC011</t>
  </si>
  <si>
    <t>Betonfertigteil, Normalbeton, ab Werk</t>
  </si>
  <si>
    <t>Élément préfabriqué en béton, béton normal, sortie d'usine</t>
  </si>
  <si>
    <t>01.043</t>
  </si>
  <si>
    <t>DD16B81F-E498-48D6-9754-A1E95558BFFE</t>
  </si>
  <si>
    <t>Hanfbeton</t>
  </si>
  <si>
    <t>91.073</t>
  </si>
  <si>
    <t>Entsorgungsmix, Hanfbeton</t>
  </si>
  <si>
    <t>Béton chaux-chanvre</t>
  </si>
  <si>
    <r>
      <rPr>
        <sz val="10"/>
        <rFont val="Arial"/>
        <family val="2"/>
      </rPr>
      <t>Élimination, béton chaux-chanvre</t>
    </r>
  </si>
  <si>
    <t>01.043.01</t>
  </si>
  <si>
    <t>b05c4b9b-b749-4f50-a92b-98713a494220</t>
  </si>
  <si>
    <t>Hanfbeton, ARBIO</t>
  </si>
  <si>
    <t>Béton chaux-chanvre, ARBIO</t>
  </si>
  <si>
    <t>Betonsortenrechner: Mit dem Betonsortenrechner (https://treeze.ch/de/rechner) können die Umweltkennwerte von spezifischen Betonen mit verschiedenen Zementtypen und Gesteinskörnungen berechnet werden.</t>
  </si>
  <si>
    <t>Calculatrice à béton: la calculatrice (https://treeze.ch/de/rechner) permet de calculer les données environnementales des différents types de béton fabriqués à partir de ciments et granulats divers.</t>
  </si>
  <si>
    <t>02</t>
  </si>
  <si>
    <t>Mauersteine</t>
  </si>
  <si>
    <t xml:space="preserve">Pierres de taille </t>
  </si>
  <si>
    <t>958BA083-03C8-4336-BFC5-0DB5B6BC1B43</t>
  </si>
  <si>
    <t>Backstein</t>
  </si>
  <si>
    <t>91.136</t>
  </si>
  <si>
    <t>Entsorgung, Baumaterialien, mineralisch, unspezifisch</t>
  </si>
  <si>
    <t>Brique en terre cuite</t>
  </si>
  <si>
    <r>
      <rPr>
        <sz val="10"/>
        <color rgb="FFFF0000"/>
        <rFont val="Arial"/>
        <family val="2"/>
      </rPr>
      <t>Élimination, matériaux de construction, minéral, non spécifique</t>
    </r>
  </si>
  <si>
    <t>02.001.01</t>
  </si>
  <si>
    <t>555E9A89-95DF-4C98-BC55-879B4C7E4BFE</t>
  </si>
  <si>
    <t>Backstein, perlitgefüllt, zzwancor</t>
  </si>
  <si>
    <t>Brique en terre cuite, remplie de perlite, zz wancor</t>
  </si>
  <si>
    <t>17BF48A3-72AD-4EBB-A2DE-3256129F7031</t>
  </si>
  <si>
    <t>Kalksandstein</t>
  </si>
  <si>
    <t>Grès</t>
  </si>
  <si>
    <t>02.002.01</t>
  </si>
  <si>
    <t>564C9F25-EE8A-4799-A049-6D26DF586F05</t>
  </si>
  <si>
    <t>Kalksandstein, FBB</t>
  </si>
  <si>
    <t>1200-2000</t>
  </si>
  <si>
    <t>Grès, FBB</t>
  </si>
  <si>
    <t>02.002.02</t>
  </si>
  <si>
    <t>adbada8c-108b-4869-a098-bc2cda5c5929</t>
  </si>
  <si>
    <t>Kalksandstein, Hunziker Kalksandstein AG</t>
  </si>
  <si>
    <t>Grès, Hunziker Kalksandstein AG</t>
  </si>
  <si>
    <t>02.003</t>
  </si>
  <si>
    <t>45766F6B-BC17-4725-B939-23AA76838736</t>
  </si>
  <si>
    <t>Leichtlehmstein</t>
  </si>
  <si>
    <t>Brique en argile légère</t>
  </si>
  <si>
    <t>02.004</t>
  </si>
  <si>
    <t>2DEEC4B0-D3FE-4124-A08A-0DD398A65220</t>
  </si>
  <si>
    <t>Leichtzementstein, Blähton</t>
  </si>
  <si>
    <t>Pierre en béton léger: argile expansée</t>
  </si>
  <si>
    <t>02.005</t>
  </si>
  <si>
    <t>27B5089E-6003-4920-991A-0BCC005B9434</t>
  </si>
  <si>
    <t>Leichtzementstein, Naturbims</t>
  </si>
  <si>
    <t>Pierre en béton léger: pierre ponce naturelle</t>
  </si>
  <si>
    <t>406B9ED4-C9C0-41E2-B945-7844C7313250</t>
  </si>
  <si>
    <t>Porenbetonstein</t>
  </si>
  <si>
    <t>Béton cellulaire</t>
  </si>
  <si>
    <t>02.007</t>
  </si>
  <si>
    <t>69524911-E277-4B29-827D-B8475E4D8C23</t>
  </si>
  <si>
    <t>Zementstein</t>
  </si>
  <si>
    <t>Plot de ciment</t>
  </si>
  <si>
    <t>02.007.01</t>
  </si>
  <si>
    <t>288A84C2-129A-431D-B135-7F7A3F9D0CBD</t>
  </si>
  <si>
    <t>Erdstein, aus gepresster Erde, Terrabloc</t>
  </si>
  <si>
    <t>91.177.01</t>
  </si>
  <si>
    <t>Entsorgung, Erdstein, aus gepresster Erde, Terrabloc</t>
  </si>
  <si>
    <t>Bloc de terre compressé, terrabloc</t>
  </si>
  <si>
    <r>
      <rPr>
        <sz val="10"/>
        <color rgb="FFFF0000"/>
        <rFont val="Arial"/>
        <family val="2"/>
      </rPr>
      <t>Élimination, pierre de terre, en terre comprimée, Terrabloc</t>
    </r>
  </si>
  <si>
    <t>02.007.02</t>
  </si>
  <si>
    <t>276ac558-09e7-4a6d-b6d8-5643d08bcf9b</t>
  </si>
  <si>
    <t>Hanfsteine, Schönthaler AG</t>
  </si>
  <si>
    <t>91.176.01</t>
  </si>
  <si>
    <t>Entsorgung, Hanfsteine, Schönthaler AG</t>
  </si>
  <si>
    <t>Pierres de chanvre, Schönthaler AG</t>
  </si>
  <si>
    <r>
      <rPr>
        <sz val="10"/>
        <color rgb="FFFF0000"/>
        <rFont val="Arial"/>
        <family val="2"/>
      </rPr>
      <t>Élimination, pierres de chanvre, Schönthaler AG</t>
    </r>
  </si>
  <si>
    <t>03</t>
  </si>
  <si>
    <t>Andere Massivbaustoffe</t>
  </si>
  <si>
    <t>Autres matériaux massifs</t>
  </si>
  <si>
    <t>03.021</t>
  </si>
  <si>
    <t>fc996053-6ce2-4be3-a99f-42fb01b5d1ce</t>
  </si>
  <si>
    <t>Betongranulat</t>
  </si>
  <si>
    <t>91.062</t>
  </si>
  <si>
    <t>Entsorgung, Kies und Sand</t>
  </si>
  <si>
    <t>Granulés de béton</t>
  </si>
  <si>
    <r>
      <rPr>
        <sz val="10"/>
        <color rgb="FFFF0000"/>
        <rFont val="Arial"/>
        <family val="2"/>
      </rPr>
      <t>Élimination, gravier et sable</t>
    </r>
  </si>
  <si>
    <t>03.001</t>
  </si>
  <si>
    <t>D00BA00E-D63B-4109-ADC0-4D9A3367734D</t>
  </si>
  <si>
    <t>Betonziegel</t>
  </si>
  <si>
    <t>Tuiles en béton</t>
  </si>
  <si>
    <t>03.002</t>
  </si>
  <si>
    <t>8873B601-8644-4FF4-B2CF-042546B8500D</t>
  </si>
  <si>
    <t>Faserzement-Dachschindel</t>
  </si>
  <si>
    <t>91.137</t>
  </si>
  <si>
    <t>Entsorgung, Faserzement</t>
  </si>
  <si>
    <t>Bardeau de fibrociment</t>
  </si>
  <si>
    <r>
      <rPr>
        <sz val="10"/>
        <color rgb="FFFF0000"/>
        <rFont val="Arial"/>
        <family val="2"/>
      </rPr>
      <t>Élimination, ciment à fibres</t>
    </r>
  </si>
  <si>
    <t>EC993875-136D-4857-B06E-BB581EA9DA43</t>
  </si>
  <si>
    <t>Faserzementplatte gross</t>
  </si>
  <si>
    <t>Dalle de fibrociment, grande</t>
  </si>
  <si>
    <t>03.004</t>
  </si>
  <si>
    <t>08C9C771-82D9-4925-8E06-39A4367A8370</t>
  </si>
  <si>
    <t>Faserzement-Wellplatte</t>
  </si>
  <si>
    <t>Plaque ondulée en fibrociment</t>
  </si>
  <si>
    <t>9304338C-8D4A-4EE3-B1A2-43977ADA18A4</t>
  </si>
  <si>
    <t>Flachglas beschichtet</t>
  </si>
  <si>
    <t>91.032</t>
  </si>
  <si>
    <t>Entsorgung, Flachglas</t>
  </si>
  <si>
    <t>Verre plat, enduit</t>
  </si>
  <si>
    <r>
      <rPr>
        <sz val="10"/>
        <color rgb="FFFF0000"/>
        <rFont val="Arial"/>
        <family val="2"/>
      </rPr>
      <t>Élimination, verre plat</t>
    </r>
  </si>
  <si>
    <t>03.006</t>
  </si>
  <si>
    <t>8A03A7D4-FB51-48D0-BA86-9D13EE70A0D9</t>
  </si>
  <si>
    <t>Flachglas unbeschichtet</t>
  </si>
  <si>
    <t>Verre plat, non enduit</t>
  </si>
  <si>
    <t>45BEA46B-47E9-425F-926C-AEB31CB4A09D</t>
  </si>
  <si>
    <t>Gipsfaserplatte</t>
  </si>
  <si>
    <t>91.063</t>
  </si>
  <si>
    <t>Entsorgung, Gipsfaserplatte</t>
  </si>
  <si>
    <t>Plaque de plâtre armé de fibres</t>
  </si>
  <si>
    <r>
      <rPr>
        <sz val="10"/>
        <color rgb="FFFF0000"/>
        <rFont val="Arial"/>
        <family val="2"/>
      </rPr>
      <t>Élimination, plaque de plâtre armé de fibres</t>
    </r>
  </si>
  <si>
    <t>38A83C73-92BD-492B-B435-97332A84863E</t>
  </si>
  <si>
    <t>Gipskartonplatte</t>
  </si>
  <si>
    <t>91.064</t>
  </si>
  <si>
    <t>Entsorgung, Gipskartonplatte</t>
  </si>
  <si>
    <t>Plaque de plâtre cartonnée</t>
  </si>
  <si>
    <r>
      <rPr>
        <sz val="10"/>
        <color rgb="FFFF0000"/>
        <rFont val="Arial"/>
        <family val="2"/>
      </rPr>
      <t>Élimination, plaque de plâtre cartonné</t>
    </r>
  </si>
  <si>
    <t>03.016</t>
  </si>
  <si>
    <t>DB2B00A9-DBF6-CA2A-BAC1-9BCCE4E4846A</t>
  </si>
  <si>
    <t>Gips-Wandbauplatte / Vollgipsplatte</t>
  </si>
  <si>
    <t>91.069</t>
  </si>
  <si>
    <t>Entsorgung, Gips-Wandbauplatte / Vollgipsplatte</t>
  </si>
  <si>
    <t>Blocs de gypse / plâtre massif</t>
  </si>
  <si>
    <r>
      <rPr>
        <sz val="10"/>
        <color rgb="FFFF0000"/>
        <rFont val="Arial"/>
        <family val="2"/>
      </rPr>
      <t>Élimination, plaque de plâtre murale / plaque de plâtre massif</t>
    </r>
  </si>
  <si>
    <t>03.023</t>
  </si>
  <si>
    <t>a3868d35-8eaf-47d0-be53-2f7e988a1cce</t>
  </si>
  <si>
    <t>Glasfaserbeton</t>
  </si>
  <si>
    <t>Composite ciment-verre</t>
  </si>
  <si>
    <t>03.023.01</t>
  </si>
  <si>
    <t>3c956888-cdbf-42fa-8759-172ed1f7822d</t>
  </si>
  <si>
    <t>Glasfaserbeton Ecomur</t>
  </si>
  <si>
    <t>Composite ciment-verre Ecomur</t>
  </si>
  <si>
    <t>Élimination, béton</t>
  </si>
  <si>
    <t>B787C33A-9D88-414E-84DE-3E087E3639ED</t>
  </si>
  <si>
    <t>Hartsandsteinplatte</t>
  </si>
  <si>
    <t>Plaque de grès dur</t>
  </si>
  <si>
    <t>03.017</t>
  </si>
  <si>
    <t>8FE3FD69-2400-4DC4-933B-E91CDE601165</t>
  </si>
  <si>
    <t>Kalksteinplatte</t>
  </si>
  <si>
    <t>Plaque de calcaire dur</t>
  </si>
  <si>
    <t>03.010</t>
  </si>
  <si>
    <t>8B49329A-8573-47FC-8D1A-9F2E4640C4E6</t>
  </si>
  <si>
    <t>Keramik-/Steinzeugplatte</t>
  </si>
  <si>
    <t>Dalle de céramique/grès</t>
  </si>
  <si>
    <t>1300707C-F4F2-4FDC-AF3B-E31F5840F18E</t>
  </si>
  <si>
    <t>Kies gebrochen</t>
  </si>
  <si>
    <t>Gravier concassé</t>
  </si>
  <si>
    <t>03.022</t>
  </si>
  <si>
    <t>805e0a9f-a660-4446-b7df-f9c3b43824c2</t>
  </si>
  <si>
    <t>Mischgranulat</t>
  </si>
  <si>
    <t>Granulés pour mélange</t>
  </si>
  <si>
    <t>1A0D933D-B136-4441-B98F-6E6FFD1DFDD8</t>
  </si>
  <si>
    <t>Rundkies</t>
  </si>
  <si>
    <t>Gravier rond</t>
  </si>
  <si>
    <t>B6F7B71D-25CE-45F6-BA5A-1A786AC69E0B</t>
  </si>
  <si>
    <t>Sand</t>
  </si>
  <si>
    <t>Sable</t>
  </si>
  <si>
    <t>03.014</t>
  </si>
  <si>
    <t>A5A3BA1D-7F7F-4677-9E1C-3545B9DF79BA</t>
  </si>
  <si>
    <t>Sanitärkeramik</t>
  </si>
  <si>
    <t>Céramique sanitaire</t>
  </si>
  <si>
    <t>03.020</t>
  </si>
  <si>
    <t>D3586070-8058-4A67-BC89-68508822DA21</t>
  </si>
  <si>
    <t>Stampflehm</t>
  </si>
  <si>
    <t>Mur en pisé</t>
  </si>
  <si>
    <t>84E2D4F6-D61F-4EDF-9D13-7DA1543A7887</t>
  </si>
  <si>
    <t>Tonziegel</t>
  </si>
  <si>
    <t>91.138</t>
  </si>
  <si>
    <t>Entsorgung, Ziegel</t>
  </si>
  <si>
    <t>Tuile en terre cuite</t>
  </si>
  <si>
    <r>
      <rPr>
        <sz val="10"/>
        <color rgb="FFFF0000"/>
        <rFont val="Arial"/>
        <family val="2"/>
      </rPr>
      <t>Élimination des déchets, briques</t>
    </r>
  </si>
  <si>
    <t>04</t>
  </si>
  <si>
    <t>Mörtel und Putze</t>
  </si>
  <si>
    <t>Mortiers et enduits</t>
  </si>
  <si>
    <t>FA96A840-32DF-4C9A-935F-19037F653A62</t>
  </si>
  <si>
    <t>Baukleber/Einbettmörtel mineralisch</t>
  </si>
  <si>
    <t>91.139</t>
  </si>
  <si>
    <t>Entsorgung, Mörtel, Putze</t>
  </si>
  <si>
    <t xml:space="preserve">Colle de construction/mortier d'enrobage minéral(e) </t>
  </si>
  <si>
    <r>
      <rPr>
        <sz val="10"/>
        <color rgb="FFFF0000"/>
        <rFont val="Arial"/>
        <family val="2"/>
      </rPr>
      <t>Élimination, mortier, crépi</t>
    </r>
  </si>
  <si>
    <t>985B3DC3-846D-49CE-9067-8F50B4FE70D7</t>
  </si>
  <si>
    <t>Baukleber/Einbettmörtel mineralisch Leichtzuschlag</t>
  </si>
  <si>
    <t>Colle de construction/mortier d'enrobage minéral(e) avec agrégats légers</t>
  </si>
  <si>
    <t>04.002</t>
  </si>
  <si>
    <t>3A9DAB99-F63E-4DC7-9D95-2789F2A46143</t>
  </si>
  <si>
    <t>Baukleber/Einbettmörtel organisch</t>
  </si>
  <si>
    <t>Colle de construction/mortier d'enrobage biologique</t>
  </si>
  <si>
    <t>BE39AA2B-67C3-4306-AD5D-5261E43D632D</t>
  </si>
  <si>
    <t>Gips-Kalk-Putz</t>
  </si>
  <si>
    <t>76D9CFC6-6174-4644-829E-1020C95D5322</t>
  </si>
  <si>
    <t>Gips-/Weissputz</t>
  </si>
  <si>
    <t>Enduit minéral</t>
  </si>
  <si>
    <t>04.003</t>
  </si>
  <si>
    <t>D4AB5F70-61BE-4668-8A2C-FF1C755A1728</t>
  </si>
  <si>
    <t>Kunststoffputz (Dispersionsputz)</t>
  </si>
  <si>
    <t>Crépi synthétique (enduit de dispersion)</t>
  </si>
  <si>
    <t>9BD4C9E4-4499-4215-9215-2EF12370ACE6</t>
  </si>
  <si>
    <t>Kalk-Zement/Zement-Kalk-Putz</t>
  </si>
  <si>
    <t>04.004</t>
  </si>
  <si>
    <t>412F0DEF-2F16-4D81-95CF-2A7394086B28</t>
  </si>
  <si>
    <t>Lehmputz</t>
  </si>
  <si>
    <t>Enduit de glaise</t>
  </si>
  <si>
    <t>04.015</t>
  </si>
  <si>
    <t>A8D1862B-6EEC-48B6-83BC-8EFACE342122</t>
  </si>
  <si>
    <t>Leichtputz mineralisch</t>
  </si>
  <si>
    <t>Enduit de glaise minérale</t>
  </si>
  <si>
    <t>04.011</t>
  </si>
  <si>
    <t>868CB13D-7EF0-454B-B4FD-AE2B04538206</t>
  </si>
  <si>
    <t>Silikatputz (Dispersionssilikatputz)</t>
  </si>
  <si>
    <t>Crépi silicate (silicate de dispersion)</t>
  </si>
  <si>
    <t>04.012</t>
  </si>
  <si>
    <t>324E5DE0-FEB1-49C3-9188-F1AA0E119514</t>
  </si>
  <si>
    <t>Silikonharzputz</t>
  </si>
  <si>
    <t>Crépi à la résine de silicone</t>
  </si>
  <si>
    <t>04.016</t>
  </si>
  <si>
    <t>333331BA-98CA-49BD-887A-D65AA4D5B2C4</t>
  </si>
  <si>
    <t>Sumpfkalkputz</t>
  </si>
  <si>
    <t>Enduit à la chaux grasse</t>
  </si>
  <si>
    <t>3B956811-9D40-452C-BAC2-FBA122630C43</t>
  </si>
  <si>
    <t>Unterlagsboden Anhydrit, 60 mm</t>
  </si>
  <si>
    <t>Chape d'anhydrite, 60 mm</t>
  </si>
  <si>
    <t>B0F22D3F-709D-408F-9ACA-1533FA4C7F45</t>
  </si>
  <si>
    <t>Unterlagsboden Zement, 85 mm</t>
  </si>
  <si>
    <t>Chape de ciment, 85 mm</t>
  </si>
  <si>
    <t>04.007</t>
  </si>
  <si>
    <t>E68F96C7-984A-47B5-B17C-B2806BD1CF1C</t>
  </si>
  <si>
    <t>Wärmedämmputz EPS</t>
  </si>
  <si>
    <t>Enduit d'isolation thermique EPS</t>
  </si>
  <si>
    <t>04.014</t>
  </si>
  <si>
    <t>223F00DA-C2D9-4971-879F-F391648A0155</t>
  </si>
  <si>
    <t>Weisszementputz</t>
  </si>
  <si>
    <t>Crépi en ciment</t>
  </si>
  <si>
    <t>382D5231-E4CF-42D6-B935-D41BA653E3EE</t>
  </si>
  <si>
    <t>Zementputz</t>
  </si>
  <si>
    <t>Enduit de ciment</t>
  </si>
  <si>
    <t>05</t>
  </si>
  <si>
    <t>Fenster, Sonnenschutz, Fassadenverkleidungen</t>
  </si>
  <si>
    <r>
      <t>kg/m</t>
    </r>
    <r>
      <rPr>
        <b/>
        <vertAlign val="superscript"/>
        <sz val="10"/>
        <rFont val="Arial"/>
        <family val="2"/>
      </rPr>
      <t>2</t>
    </r>
  </si>
  <si>
    <t>Fenêtre et façades verre/métal</t>
  </si>
  <si>
    <t>297C8AF9-6B6F-47A2-9F51-A0D37EFCB892</t>
  </si>
  <si>
    <r>
      <t xml:space="preserve">Fassade, Pfosten-Riegel, Alu/Glas </t>
    </r>
    <r>
      <rPr>
        <vertAlign val="superscript"/>
        <sz val="10"/>
        <rFont val="Arial"/>
        <family val="2"/>
      </rPr>
      <t>1</t>
    </r>
  </si>
  <si>
    <t>91.135</t>
  </si>
  <si>
    <t>Entsorgung, Fassade, Pfosten-Riegel, Alu/Glas</t>
  </si>
  <si>
    <t>Façade, à montants et traverses, Alu/Glas</t>
  </si>
  <si>
    <r>
      <rPr>
        <sz val="10"/>
        <color rgb="FFFF0000"/>
        <rFont val="Arial"/>
        <family val="2"/>
      </rPr>
      <t>Élimination, façade, à montants et traverses, aluminium/verre</t>
    </r>
  </si>
  <si>
    <t>5905B6AD-722F-40CB-9877-57D366B4ABF4</t>
  </si>
  <si>
    <t>91.103</t>
  </si>
  <si>
    <t>Entsorgung, Fassadenplatte, Aluverbund, 4 mm</t>
  </si>
  <si>
    <t>Panneau de façade, en aluminium, 4 mm</t>
  </si>
  <si>
    <r>
      <rPr>
        <sz val="10"/>
        <color rgb="FFFF0000"/>
        <rFont val="Arial"/>
        <family val="2"/>
      </rPr>
      <t>Élimination, panneau de façade, en aluminium, 4 mm</t>
    </r>
  </si>
  <si>
    <t>05.028</t>
  </si>
  <si>
    <t>d3cdab2e-988a-4dcf-a9a9-00bda1cfe0ee</t>
  </si>
  <si>
    <t>Fassadenplatte, Glasfaserbeton</t>
  </si>
  <si>
    <t>Élément de façade, composite ciment-verre</t>
  </si>
  <si>
    <t>05.028.01</t>
  </si>
  <si>
    <t>33d095f4-9d1b-4bbb-bd49-2bc99388facd</t>
  </si>
  <si>
    <t>Fassadenplatte, Glasfaserbeton Ecomur, 15mm</t>
  </si>
  <si>
    <r>
      <t>m</t>
    </r>
    <r>
      <rPr>
        <vertAlign val="superscript"/>
        <sz val="10"/>
        <color rgb="FFFF0000"/>
        <rFont val="Arial"/>
        <family val="2"/>
      </rPr>
      <t>2</t>
    </r>
  </si>
  <si>
    <t>Élément de façade, composite ciment-verre Ecomur, 15mm</t>
  </si>
  <si>
    <t>05.028.02</t>
  </si>
  <si>
    <t>e87386b1-baac-4021-8cdb-e9588c9cfeaa</t>
  </si>
  <si>
    <t>Fassadenplatte, Glasfaserbeton Ecomur, 18mm</t>
  </si>
  <si>
    <t>Élément de façade, composite ciment-verre Ecomur, 18mm</t>
  </si>
  <si>
    <t>05.023</t>
  </si>
  <si>
    <t>4722E1EF-E1A5-470C-8310-F4DC0300F7F3</t>
  </si>
  <si>
    <t>Fassadenplatte, Hochdrucklaminatplatte (HPL), 8.1 mm</t>
  </si>
  <si>
    <t>91.106</t>
  </si>
  <si>
    <t>Entsorgung, HPL-Fassadenplatten</t>
  </si>
  <si>
    <t>Panneau de façade, stratifié (HPL), 8,1 mm</t>
  </si>
  <si>
    <r>
      <rPr>
        <sz val="10"/>
        <color rgb="FFFF0000"/>
        <rFont val="Arial"/>
        <family val="2"/>
      </rPr>
      <t>Élimination, panneaux de façade stratifiés</t>
    </r>
  </si>
  <si>
    <t>05.025</t>
  </si>
  <si>
    <t>D4B0ECEB-1E00-4A60-A09E-D631A07E2EE3</t>
  </si>
  <si>
    <t>Fassadenplatte, Kalkstein, 30 mm</t>
  </si>
  <si>
    <t>91.140</t>
  </si>
  <si>
    <t>Entsorgung, Fassade, mineralisch, Kalkstein</t>
  </si>
  <si>
    <t>Panneau de façade, calcaire, 30 mm</t>
  </si>
  <si>
    <r>
      <rPr>
        <sz val="10"/>
        <color rgb="FFFF0000"/>
        <rFont val="Arial"/>
        <family val="2"/>
      </rPr>
      <t>Élimination, façade, minéral, calcaire</t>
    </r>
  </si>
  <si>
    <t>05.024</t>
  </si>
  <si>
    <t>4BA8E23B-3562-494B-87B2-9D891B313B9B</t>
  </si>
  <si>
    <t>Fassadenplatte, Kunststoff glasfaserverstärkt (GFK), 1.6 mm</t>
  </si>
  <si>
    <t>91.071</t>
  </si>
  <si>
    <t>Entsorgung, GFK-Fassadenplatte</t>
  </si>
  <si>
    <t>Panneau de façade, plastique à renfort de verre (PRV), 1,6 mm</t>
  </si>
  <si>
    <r>
      <rPr>
        <sz val="10"/>
        <color rgb="FFFF0000"/>
        <rFont val="Arial"/>
        <family val="2"/>
      </rPr>
      <t>Élimination, panneau de façade renforcé de fibre de verre (PRV)</t>
    </r>
  </si>
  <si>
    <t>05.004</t>
  </si>
  <si>
    <t>9F6858EE-648D-43AA-A72E-46D8A0B25E11</t>
  </si>
  <si>
    <r>
      <t xml:space="preserve">Fensterrahmen Aluminium </t>
    </r>
    <r>
      <rPr>
        <vertAlign val="superscript"/>
        <sz val="10"/>
        <rFont val="Arial"/>
        <family val="2"/>
      </rPr>
      <t>2,5</t>
    </r>
  </si>
  <si>
    <t>91.105</t>
  </si>
  <si>
    <t>Entsorgung, Gebäude, Fensterrahmen, Aluminium</t>
  </si>
  <si>
    <t>Cadre de fenêtre en aluminium</t>
  </si>
  <si>
    <r>
      <rPr>
        <sz val="10"/>
        <color rgb="FFFF0000"/>
        <rFont val="Arial"/>
        <family val="2"/>
      </rPr>
      <t>Élimination, bâtiment, cadre de fenêtre en aluminium</t>
    </r>
  </si>
  <si>
    <t>05.004.01</t>
  </si>
  <si>
    <t>A4A06F21-D291-4225-99D1-EAEAAD11A2A3</t>
  </si>
  <si>
    <r>
      <t xml:space="preserve">Fensterrahmen Aluminium, WICLINE 75evo, hergestellt mit Hydro CIRCAL 75R </t>
    </r>
    <r>
      <rPr>
        <vertAlign val="superscript"/>
        <sz val="10"/>
        <color rgb="FFFF0000"/>
        <rFont val="Arial"/>
        <family val="2"/>
      </rPr>
      <t>2,5</t>
    </r>
  </si>
  <si>
    <t>91.105.01</t>
  </si>
  <si>
    <t>Entsorgung, Gebäude, Fensterrahmen Aluminium, WICLINE 75evo, hergestellt mit Hydro CIRCAL 75R</t>
  </si>
  <si>
    <r>
      <t xml:space="preserve">Cadre de fenêtre en aluminium, WICLINE 75evo, fabriqué avec Hydro CIRCAL 75R </t>
    </r>
    <r>
      <rPr>
        <vertAlign val="superscript"/>
        <sz val="10"/>
        <color rgb="FFFF0000"/>
        <rFont val="Arial"/>
        <family val="2"/>
      </rPr>
      <t>2</t>
    </r>
  </si>
  <si>
    <r>
      <rPr>
        <sz val="10"/>
        <color rgb="FFFF0000"/>
        <rFont val="Arial"/>
        <family val="2"/>
      </rPr>
      <t>Élimination, bâtiment, cadre de fenêtre en aluminium, WICLINE 75evo, fabriqué avec Hydro CIRCAL 75R</t>
    </r>
  </si>
  <si>
    <t>05.005</t>
  </si>
  <si>
    <t>E65D5066-3C25-440A-A67B-44AACF067AD5</t>
  </si>
  <si>
    <r>
      <t xml:space="preserve">Fensterrahmen Holz </t>
    </r>
    <r>
      <rPr>
        <vertAlign val="superscript"/>
        <sz val="10"/>
        <rFont val="Arial"/>
        <family val="2"/>
      </rPr>
      <t>2,6</t>
    </r>
  </si>
  <si>
    <t>91.029</t>
  </si>
  <si>
    <t>Entsorgung, Gebäude, Fensterrahmen, Holz</t>
  </si>
  <si>
    <t>Cadre de fenêtre en bois</t>
  </si>
  <si>
    <r>
      <rPr>
        <sz val="10"/>
        <color rgb="FFFF0000"/>
        <rFont val="Arial"/>
        <family val="2"/>
      </rPr>
      <t>Élimination, bâtiment, cadre de fenêtre bois</t>
    </r>
  </si>
  <si>
    <t>05.005.01</t>
  </si>
  <si>
    <t>7fc677ab-2fc6-41f9-a1a0-7524d56ea307</t>
  </si>
  <si>
    <r>
      <t xml:space="preserve">Fensterrahmen Holz, Saphir integral 67/55, G. Baumgartner AG </t>
    </r>
    <r>
      <rPr>
        <vertAlign val="superscript"/>
        <sz val="10"/>
        <color rgb="FFFF0000"/>
        <rFont val="Arial"/>
        <family val="2"/>
      </rPr>
      <t>2,6</t>
    </r>
  </si>
  <si>
    <t>91.029.01</t>
  </si>
  <si>
    <t>Entsorgung, Gebäude, Fensterrahmen, Holz, Saphir integral 67/55, G. Baumgartner AG</t>
  </si>
  <si>
    <r>
      <t xml:space="preserve">Cadre de fenêtre en bois, Saphir intégral 67/55, G. Baumgartner AG </t>
    </r>
    <r>
      <rPr>
        <vertAlign val="superscript"/>
        <sz val="10"/>
        <color rgb="FFFF0000"/>
        <rFont val="Arial"/>
        <family val="2"/>
      </rPr>
      <t>2</t>
    </r>
  </si>
  <si>
    <r>
      <rPr>
        <sz val="10"/>
        <color rgb="FFFF0000"/>
        <rFont val="Arial"/>
        <family val="2"/>
      </rPr>
      <t>Élimination, bâtiment, cadre de fenêtre bois, saphir intégral 67/55, G. Baumgartner SA</t>
    </r>
  </si>
  <si>
    <t>5D3F1239-2A50-4539-8DEF-341218D0F70A</t>
  </si>
  <si>
    <r>
      <t xml:space="preserve">Fensterrahmen Holz-Metall </t>
    </r>
    <r>
      <rPr>
        <vertAlign val="superscript"/>
        <sz val="10"/>
        <color rgb="FFFF0000"/>
        <rFont val="Arial"/>
        <family val="2"/>
      </rPr>
      <t>2,6</t>
    </r>
  </si>
  <si>
    <t>91.030</t>
  </si>
  <si>
    <t>Entsorgung, Gebäude, Fensterrahmen, Holz-Metall</t>
  </si>
  <si>
    <r>
      <rPr>
        <sz val="10"/>
        <color rgb="FFFF0000"/>
        <rFont val="Arial"/>
        <family val="2"/>
      </rPr>
      <t>Élimination, bâtiment, cadre de fenêtre bois-métal</t>
    </r>
  </si>
  <si>
    <t>05.006.01</t>
  </si>
  <si>
    <t>11d36a08-6653-4405-bb9e-2dbbd8e71d8e</t>
  </si>
  <si>
    <r>
      <t xml:space="preserve">Fensterrahmen Holz-Metall, Saphir integral 55/55, G. Baumgartner AG </t>
    </r>
    <r>
      <rPr>
        <vertAlign val="superscript"/>
        <sz val="10"/>
        <color rgb="FFFF0000"/>
        <rFont val="Arial"/>
        <family val="2"/>
      </rPr>
      <t>2,6</t>
    </r>
  </si>
  <si>
    <t>91.030.01</t>
  </si>
  <si>
    <t>Entsorgung, Gebäude, Fensterrahmen, Holz-Metall, Saphir integral 55/55, G. Baumgartner AG</t>
  </si>
  <si>
    <r>
      <t xml:space="preserve">Cadre de fenêtre bois-métal, Saphir intégral 55/55, G. Baumgartner AG </t>
    </r>
    <r>
      <rPr>
        <vertAlign val="superscript"/>
        <sz val="10"/>
        <color rgb="FFFF0000"/>
        <rFont val="Arial"/>
        <family val="2"/>
      </rPr>
      <t>2</t>
    </r>
  </si>
  <si>
    <r>
      <rPr>
        <sz val="10"/>
        <color rgb="FFFF0000"/>
        <rFont val="Arial"/>
        <family val="2"/>
      </rPr>
      <t>Élimination, bâtiment, cadre de fenêtre bois, saphir intégral 55/55, G. Baumgartner SA</t>
    </r>
  </si>
  <si>
    <t>05.007</t>
  </si>
  <si>
    <t>84E9C627-DD03-4A9F-AB74-C19202145195</t>
  </si>
  <si>
    <r>
      <t xml:space="preserve">Fensterrahmen Kunststoff/PVC </t>
    </r>
    <r>
      <rPr>
        <vertAlign val="superscript"/>
        <sz val="10"/>
        <rFont val="Arial"/>
        <family val="2"/>
      </rPr>
      <t>2,6</t>
    </r>
  </si>
  <si>
    <t>91.031</t>
  </si>
  <si>
    <t>Entsorgung, Gebäude, Fensterrahmen, Plastik</t>
  </si>
  <si>
    <r>
      <t xml:space="preserve">Cadre en matière synthétique (PVC) </t>
    </r>
    <r>
      <rPr>
        <vertAlign val="superscript"/>
        <sz val="10"/>
        <color rgb="FFFF0000"/>
        <rFont val="Arial"/>
        <family val="2"/>
      </rPr>
      <t>2</t>
    </r>
  </si>
  <si>
    <r>
      <rPr>
        <sz val="10"/>
        <color rgb="FFFF0000"/>
        <rFont val="Arial"/>
        <family val="2"/>
      </rPr>
      <t>Élimination, bâtiment, cadre de fenêtre plastique</t>
    </r>
  </si>
  <si>
    <t>05.001</t>
  </si>
  <si>
    <t>F9C5864D-7143-472A-A4CB-7ED4DC0B447F</t>
  </si>
  <si>
    <r>
      <t>Isolierverglasung 2-fach, Ug-Wert 1.1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K, Dicke 24 mm </t>
    </r>
    <r>
      <rPr>
        <vertAlign val="superscript"/>
        <sz val="10"/>
        <rFont val="Arial"/>
        <family val="2"/>
      </rPr>
      <t>3</t>
    </r>
  </si>
  <si>
    <t>91.042</t>
  </si>
  <si>
    <r>
      <t>Entsorgung, Isolierverglasung 2-fach, Float/ESG, Ug-Wert 1.1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K, Dicke 24 mm</t>
    </r>
  </si>
  <si>
    <r>
      <t>Double vitrage, U&lt;1.1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K, épaisseur 24 mm </t>
    </r>
    <r>
      <rPr>
        <vertAlign val="superscript"/>
        <sz val="10"/>
        <rFont val="Arial"/>
        <family val="2"/>
      </rPr>
      <t>3</t>
    </r>
  </si>
  <si>
    <r>
      <rPr>
        <sz val="10"/>
        <color rgb="FFFF0000"/>
        <rFont val="Arial"/>
        <family val="2"/>
      </rPr>
      <t>Élimination, vitrage isolant 2-IV, verre ESG, U</t>
    </r>
    <r>
      <rPr>
        <sz val="10"/>
        <color rgb="FFFF0000"/>
        <rFont val="Arial"/>
        <family val="2"/>
      </rPr>
      <t>&lt;1.1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K, 24 mm d</t>
    </r>
    <r>
      <rPr>
        <sz val="10"/>
        <color rgb="FFFF0000"/>
        <rFont val="Arial"/>
        <family val="2"/>
      </rPr>
      <t>'épaisseur</t>
    </r>
  </si>
  <si>
    <t>05.009</t>
  </si>
  <si>
    <t>7785FAA6-5F71-47CC-8753-2694318F593D</t>
  </si>
  <si>
    <r>
      <t>Isolierverglasung 2-fach, Ug-Wert 1.1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K, Dicke 18 mm </t>
    </r>
    <r>
      <rPr>
        <vertAlign val="superscript"/>
        <sz val="10"/>
        <rFont val="Arial"/>
        <family val="2"/>
      </rPr>
      <t>3</t>
    </r>
  </si>
  <si>
    <t>91.107</t>
  </si>
  <si>
    <r>
      <t>Entsorgung, Isolierverglasung 2-fach, Ug-Wert 1.1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K, Dicke 18 mm</t>
    </r>
  </si>
  <si>
    <r>
      <t>Double vitrage, U&lt;1.1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K, épaisseur 18 mm </t>
    </r>
    <r>
      <rPr>
        <vertAlign val="superscript"/>
        <sz val="10"/>
        <rFont val="Arial"/>
        <family val="2"/>
      </rPr>
      <t>3</t>
    </r>
  </si>
  <si>
    <r>
      <rPr>
        <sz val="10"/>
        <color rgb="FFFF0000"/>
        <rFont val="Arial"/>
        <family val="2"/>
      </rPr>
      <t>Élimination, double vitrage, U</t>
    </r>
    <r>
      <rPr>
        <sz val="10"/>
        <color rgb="FFFF0000"/>
        <rFont val="Arial"/>
        <family val="2"/>
      </rPr>
      <t>&lt;1.1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K, épaisseur 18 mm</t>
    </r>
  </si>
  <si>
    <t>05.010</t>
  </si>
  <si>
    <t>235E295B-72C0-461F-8320-6D07BA2F7021</t>
  </si>
  <si>
    <r>
      <t>Isolierverglasung 2-fach, ESG, Ug-Wert 1.1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</si>
  <si>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r>
      <t>Double vitrage, verre ESG, U&lt;1.1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</si>
  <si>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t>05.002</t>
  </si>
  <si>
    <t>7D185B01-5484-4A8B-A8F5-73CB990EE890</t>
  </si>
  <si>
    <r>
      <t>Isolierverglasung 2-fach, VSG, Ug-Wert 1.1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</si>
  <si>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t>91.043</t>
  </si>
  <si>
    <r>
      <t>Entsorgung, Isolierverglasung 2-fach, Float/ESG/VSG, Ug-Wert 1.1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</t>
    </r>
  </si>
  <si>
    <r>
      <t>Double vitrage, verre VSG, U&lt;1.1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</si>
  <si>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r>
      <rPr>
        <sz val="10"/>
        <color rgb="FFFF0000"/>
        <rFont val="Arial"/>
        <family val="2"/>
      </rPr>
      <t>Élimination, vitrage isolant 2-IV, verre ESG/VSG, U</t>
    </r>
    <r>
      <rPr>
        <sz val="10"/>
        <color rgb="FFFF0000"/>
        <rFont val="Arial"/>
        <family val="2"/>
      </rPr>
      <t>&lt;1.1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K,</t>
    </r>
  </si>
  <si>
    <t>05.011</t>
  </si>
  <si>
    <t>C52C5B31-C765-4594-852A-0894882A8ED1</t>
  </si>
  <si>
    <r>
      <t>Isolierverglasung 2-fach, ESG/VSG, Ug-Wert 1.1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</si>
  <si>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r>
      <t>Double vitrage, verre ESG/VSG, U&lt;1.1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</si>
  <si>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t>05.003</t>
  </si>
  <si>
    <t>43101D99-1D7B-4082-B62D-BF509227B57E</t>
  </si>
  <si>
    <r>
      <t>Isolierverglasung 3-fach, Ug-Wert 0.5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K, Dicke 36 mm </t>
    </r>
    <r>
      <rPr>
        <vertAlign val="superscript"/>
        <sz val="10"/>
        <rFont val="Arial"/>
        <family val="2"/>
      </rPr>
      <t>3</t>
    </r>
  </si>
  <si>
    <t>91.044</t>
  </si>
  <si>
    <r>
      <t>Entsorgung, Isolierverglasung 3-fach, Ug-Wert 0.5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K, Dicke 36 mm</t>
    </r>
  </si>
  <si>
    <r>
      <t>Triple vitrage, U&lt;0.5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K, épaisseur 36 mm </t>
    </r>
    <r>
      <rPr>
        <vertAlign val="superscript"/>
        <sz val="10"/>
        <rFont val="Arial"/>
        <family val="2"/>
      </rPr>
      <t>3</t>
    </r>
  </si>
  <si>
    <r>
      <rPr>
        <sz val="10"/>
        <color rgb="FFFF0000"/>
        <rFont val="Arial"/>
        <family val="2"/>
      </rPr>
      <t>Élimination, vitrage isolant 3-IV, U</t>
    </r>
    <r>
      <rPr>
        <sz val="10"/>
        <color rgb="FFFF0000"/>
        <rFont val="Arial"/>
        <family val="2"/>
      </rPr>
      <t>&lt;0.5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K, 36 mm d</t>
    </r>
    <r>
      <rPr>
        <sz val="10"/>
        <color rgb="FFFF0000"/>
        <rFont val="Arial"/>
        <family val="2"/>
      </rPr>
      <t>'épaisseur</t>
    </r>
  </si>
  <si>
    <t>8C429A3C-65E9-423C-BB08-626C4639C97B</t>
  </si>
  <si>
    <r>
      <t>Isolierverglasung 3-fach, Ug-Wert 0.6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K, Dicke 40 mm </t>
    </r>
    <r>
      <rPr>
        <vertAlign val="superscript"/>
        <sz val="10"/>
        <rFont val="Arial"/>
        <family val="2"/>
      </rPr>
      <t>3</t>
    </r>
  </si>
  <si>
    <t>91.110</t>
  </si>
  <si>
    <r>
      <t>Entsorgung, Isolierverglasung 3-fach, Ug-Wert 0.6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K, Dicke 40 mm</t>
    </r>
  </si>
  <si>
    <r>
      <t>Triple vitrage, U&lt;0.6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K, épaisseur 40 mm </t>
    </r>
    <r>
      <rPr>
        <vertAlign val="superscript"/>
        <sz val="10"/>
        <rFont val="Arial"/>
        <family val="2"/>
      </rPr>
      <t>3</t>
    </r>
  </si>
  <si>
    <r>
      <rPr>
        <sz val="10"/>
        <color rgb="FFFF0000"/>
        <rFont val="Arial"/>
        <family val="2"/>
      </rPr>
      <t>Élimination, triple vitrage, U</t>
    </r>
    <r>
      <rPr>
        <sz val="10"/>
        <color rgb="FFFF0000"/>
        <rFont val="Arial"/>
        <family val="2"/>
      </rPr>
      <t>&lt;0.6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K, épaisseur 40 mm</t>
    </r>
  </si>
  <si>
    <t>05.013</t>
  </si>
  <si>
    <t>D6D60F63-0AC6-4F65-A665-23893EFE55EE</t>
  </si>
  <si>
    <r>
      <t>Isolierverglasung 3-fach, ESG/ESG, Ug-Wert 0.6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</si>
  <si>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r>
      <t>Triple vitrage, verre ESG/ESG, U&lt;0.6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</si>
  <si>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t>05.014</t>
  </si>
  <si>
    <t>9D1F01AD-FA63-4F98-AFF3-157F4000D8B3</t>
  </si>
  <si>
    <r>
      <t>Isolierverglasung 3-fach, ESG/ESG/ESG, Ug-Wert 0.6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</si>
  <si>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r>
      <t>Triple vitrage, verre ESG/ESG/ESG, U&lt;0.6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K</t>
    </r>
    <r>
      <rPr>
        <vertAlign val="superscript"/>
        <sz val="10"/>
        <rFont val="Arial"/>
        <family val="2"/>
      </rPr>
      <t xml:space="preserve"> 3</t>
    </r>
  </si>
  <si>
    <t>05.015</t>
  </si>
  <si>
    <t>14DFC8C9-C915-43A2-AE52-7B78F5948269</t>
  </si>
  <si>
    <r>
      <t>Isolierverglasung 3-fach, VSG, Ug-Wert 0.6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</si>
  <si>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t>91.113</t>
  </si>
  <si>
    <r>
      <t>Entsorgung, Isolierverglasung 3-fach, Float/ESG/VSG, Ug-Wert 0.6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</t>
    </r>
  </si>
  <si>
    <r>
      <t>Triple vitrage, verre VSG, U&lt;0.6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</si>
  <si>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r>
      <rPr>
        <sz val="10"/>
        <color rgb="FFFF0000"/>
        <rFont val="Arial"/>
        <family val="2"/>
      </rPr>
      <t>Élimination, triple vitrage, verre ESG/VSG, U</t>
    </r>
    <r>
      <rPr>
        <sz val="10"/>
        <color rgb="FFFF0000"/>
        <rFont val="Arial"/>
        <family val="2"/>
      </rPr>
      <t>&lt;0.6 W/m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K</t>
    </r>
  </si>
  <si>
    <t>05.016</t>
  </si>
  <si>
    <t>C17242EF-5C5D-430E-A900-4449A1BC8082</t>
  </si>
  <si>
    <r>
      <t>Isolierverglasung 3-fach, ESG/VSG, Ug-Wert 0.6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K</t>
    </r>
    <r>
      <rPr>
        <vertAlign val="superscript"/>
        <sz val="10"/>
        <rFont val="Arial"/>
        <family val="2"/>
      </rPr>
      <t xml:space="preserve"> 3</t>
    </r>
  </si>
  <si>
    <r>
      <t>Triple vitrage, verre ESG/VSG, U&lt;0.6 W/m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K </t>
    </r>
    <r>
      <rPr>
        <vertAlign val="superscript"/>
        <sz val="10"/>
        <rFont val="Arial"/>
        <family val="2"/>
      </rPr>
      <t>3</t>
    </r>
  </si>
  <si>
    <t>05.020</t>
  </si>
  <si>
    <t>8A64F51B-96D1-418F-8698-65A2DFC2F6E0</t>
  </si>
  <si>
    <t>Putzträgerplatte kunstharzgebunden 13 mm</t>
  </si>
  <si>
    <t>91.116</t>
  </si>
  <si>
    <t>Entsorgung, Putzträgerplatte kunstharzgebunden</t>
  </si>
  <si>
    <t>Panneau de support de crépis, liant en résine synthétique, 13 mm</t>
  </si>
  <si>
    <r>
      <rPr>
        <sz val="10"/>
        <color rgb="FFFF0000"/>
        <rFont val="Arial"/>
        <family val="2"/>
      </rPr>
      <t>Élimination, panneau de support de crépis, liant en résine synthétique</t>
    </r>
  </si>
  <si>
    <t>05.021</t>
  </si>
  <si>
    <t>A2E56139-B17E-48D2-AA28-1FBBBDE730B0</t>
  </si>
  <si>
    <t>Putzträgerplatte mineralisch gebunden 12.5 mm</t>
  </si>
  <si>
    <t>91.117</t>
  </si>
  <si>
    <t>Entsorgung, Putzträgerplatte mineralisch gebunden</t>
  </si>
  <si>
    <t>Panneau de support de crépis, liant en matière minérale, 12,5 mm</t>
  </si>
  <si>
    <r>
      <rPr>
        <sz val="10"/>
        <color rgb="FFFF0000"/>
        <rFont val="Arial"/>
        <family val="2"/>
      </rPr>
      <t>Élimination, panneau de support de crépis, liant en matière minérale</t>
    </r>
  </si>
  <si>
    <t>05.026</t>
  </si>
  <si>
    <t>bbb96c85-8f12-4104-b774-2203f3d542e6</t>
  </si>
  <si>
    <t>Rahmenverbreiterung, PVC</t>
  </si>
  <si>
    <t>91.170</t>
  </si>
  <si>
    <t>Entsorgung, Rahmenverbreiterung, PVC</t>
  </si>
  <si>
    <t>Élargissement du cadre, PVC</t>
  </si>
  <si>
    <r>
      <rPr>
        <sz val="10"/>
        <color rgb="FFFF0000"/>
        <rFont val="Arial"/>
        <family val="2"/>
      </rPr>
      <t>Élimination, élargissement du cadre, PVC</t>
    </r>
  </si>
  <si>
    <t>05.027</t>
  </si>
  <si>
    <t>9430b1e1-54b2-4105-8516-8c4ae46612d8</t>
  </si>
  <si>
    <t>Rahmenverbreiterung, Spanplatte</t>
  </si>
  <si>
    <t>91.171</t>
  </si>
  <si>
    <t>Entsorgung, Rahmenverbreiterung, Spanplatte</t>
  </si>
  <si>
    <t>Élargissement du cadre, panneau de particules</t>
  </si>
  <si>
    <r>
      <rPr>
        <sz val="10"/>
        <color rgb="FFFF0000"/>
        <rFont val="Arial"/>
        <family val="2"/>
      </rPr>
      <t>Élimination, élargissement du cadre, plaque de serrage</t>
    </r>
  </si>
  <si>
    <t>E236578E-CD94-4A5B-8102-258340AD9D3E</t>
  </si>
  <si>
    <r>
      <t xml:space="preserve">Sonnenschutz, Ausstellstoren motorisiert </t>
    </r>
    <r>
      <rPr>
        <vertAlign val="superscript"/>
        <sz val="10"/>
        <rFont val="Arial"/>
        <family val="2"/>
      </rPr>
      <t>4</t>
    </r>
  </si>
  <si>
    <t>91.104</t>
  </si>
  <si>
    <t>Entsorgung, Sonnenschutz, Ausstellstoren motorisiert</t>
  </si>
  <si>
    <r>
      <t>Protection solaire, stores à projection avec moteur</t>
    </r>
    <r>
      <rPr>
        <vertAlign val="superscript"/>
        <sz val="10"/>
        <rFont val="Arial"/>
        <family val="2"/>
      </rPr>
      <t xml:space="preserve"> 4</t>
    </r>
  </si>
  <si>
    <r>
      <rPr>
        <sz val="10"/>
        <color rgb="FFFF0000"/>
        <rFont val="Arial"/>
        <family val="2"/>
      </rPr>
      <t>Élimination, protection solaire, stores à projection avec moteur</t>
    </r>
  </si>
  <si>
    <t>9E4B8BDA-989A-484D-BFB1-E6CB90491CC4</t>
  </si>
  <si>
    <r>
      <t xml:space="preserve">Sonnenschutz, Lamellenstoren motorisiert </t>
    </r>
    <r>
      <rPr>
        <vertAlign val="superscript"/>
        <sz val="10"/>
        <rFont val="Arial"/>
        <family val="2"/>
      </rPr>
      <t>4</t>
    </r>
  </si>
  <si>
    <t>91.115</t>
  </si>
  <si>
    <t>Entsorgung, Sonnenschutz, Lamellenstoren motorisiert</t>
  </si>
  <si>
    <r>
      <t>Protection solaire, stores vénitiens avec moteur</t>
    </r>
    <r>
      <rPr>
        <vertAlign val="superscript"/>
        <sz val="10"/>
        <rFont val="Arial"/>
        <family val="2"/>
      </rPr>
      <t xml:space="preserve"> 4</t>
    </r>
  </si>
  <si>
    <r>
      <rPr>
        <sz val="10"/>
        <color rgb="FFFF0000"/>
        <rFont val="Arial"/>
        <family val="2"/>
      </rPr>
      <t>Élimination, protection solaire, stores vénitiens avec moteur</t>
    </r>
  </si>
  <si>
    <t>05.019</t>
  </si>
  <si>
    <t>D69BFDA2-373D-4794-BF31-42FAD621E4FB</t>
  </si>
  <si>
    <r>
      <t xml:space="preserve">Sonnenschutz, Rollladen motorisiert </t>
    </r>
    <r>
      <rPr>
        <vertAlign val="superscript"/>
        <sz val="10"/>
        <rFont val="Arial"/>
        <family val="2"/>
      </rPr>
      <t>4</t>
    </r>
  </si>
  <si>
    <t>91.118</t>
  </si>
  <si>
    <t>Entsorgung, Sonnenschutz, Rollladen motorisiert</t>
  </si>
  <si>
    <r>
      <t>Protection solaire, contrevent sur enrouleur avec moteur</t>
    </r>
    <r>
      <rPr>
        <vertAlign val="superscript"/>
        <sz val="10"/>
        <rFont val="Arial"/>
        <family val="2"/>
      </rPr>
      <t xml:space="preserve"> 4</t>
    </r>
  </si>
  <si>
    <r>
      <rPr>
        <sz val="10"/>
        <color rgb="FFFF0000"/>
        <rFont val="Arial"/>
        <family val="2"/>
      </rPr>
      <t>Élimination, protection solaire, contrevent sur enrouleur avec moteur</t>
    </r>
  </si>
  <si>
    <r>
      <rPr>
        <vertAlign val="superscript"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 Bezugsgrösse Fassade: Glas- und Rahmenfläche; Valeur de référence façade: surface en verre et cadres; 
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 xml:space="preserve"> Bezugsgrösse Fensterrahmen: Maueröffnung; Valeur de référence cadres de fenêtre: ouverture murale
</t>
    </r>
    <r>
      <rPr>
        <vertAlign val="superscript"/>
        <sz val="10"/>
        <color rgb="FFFF0000"/>
        <rFont val="Arial"/>
        <family val="2"/>
      </rPr>
      <t>3</t>
    </r>
    <r>
      <rPr>
        <sz val="10"/>
        <color rgb="FFFF0000"/>
        <rFont val="Arial"/>
        <family val="2"/>
      </rPr>
      <t xml:space="preserve"> Bezugsgrösse Isolierverglasung: Glasfläche; Valeur de référence vitrage: surface en verre; 
</t>
    </r>
    <r>
      <rPr>
        <vertAlign val="superscript"/>
        <sz val="10"/>
        <color rgb="FFFF0000"/>
        <rFont val="Arial"/>
        <family val="2"/>
      </rPr>
      <t>4</t>
    </r>
    <r>
      <rPr>
        <sz val="10"/>
        <color rgb="FFFF0000"/>
        <rFont val="Arial"/>
        <family val="2"/>
      </rPr>
      <t xml:space="preserve"> Bezugsgrösse Sonnenschutz: Fensterlichtmass; Valeur de référence protection solaire: clair de vitrage
</t>
    </r>
    <r>
      <rPr>
        <vertAlign val="superscript"/>
        <sz val="10"/>
        <color rgb="FFFF0000"/>
        <rFont val="Arial"/>
        <family val="2"/>
      </rPr>
      <t>5</t>
    </r>
    <r>
      <rPr>
        <sz val="10"/>
        <color rgb="FFFF0000"/>
        <rFont val="Arial"/>
        <family val="2"/>
      </rPr>
      <t xml:space="preserve"> Passmontage; Montage en butée émoussée
</t>
    </r>
    <r>
      <rPr>
        <vertAlign val="superscript"/>
        <sz val="10"/>
        <color rgb="FFFF0000"/>
        <rFont val="Arial"/>
        <family val="2"/>
      </rPr>
      <t>6</t>
    </r>
    <r>
      <rPr>
        <sz val="10"/>
        <color rgb="FFFF0000"/>
        <rFont val="Arial"/>
        <family val="2"/>
      </rPr>
      <t xml:space="preserve"> Anschlagmontage; Montage en butée</t>
    </r>
  </si>
  <si>
    <t xml:space="preserve">Fensterrechner: Mit dem Fensterrechner (https://treeze.ch/de/rechner) können Umweltkennwerte von Fenstern mit projektspezifischen Abmessungen und Eigenschaften berechnet werden. </t>
  </si>
  <si>
    <t xml:space="preserve">Calculateur de fenêtre: le calculateur de fenêtre (https://treeze.ch/fileadmin/user_upload/calculators/Fensterrechner_FR/Fensterrechner_FR.htm) permet de calculer les données environnementales des fenêtres avec des dimensions et des propriétés spécifiques au projet. </t>
  </si>
  <si>
    <t>06</t>
  </si>
  <si>
    <t xml:space="preserve">Metallbaustoffe </t>
  </si>
  <si>
    <t xml:space="preserve">Produits en métal </t>
  </si>
  <si>
    <t>06.001</t>
  </si>
  <si>
    <t>122994E0-6AE3-48F8-97C2-633125609F3E</t>
  </si>
  <si>
    <t>Aluminiumblech, blank</t>
  </si>
  <si>
    <t>91.141</t>
  </si>
  <si>
    <t>Entsorgung, Nichteisenmetalle</t>
  </si>
  <si>
    <t>Tôle d'aluminium, nue</t>
  </si>
  <si>
    <r>
      <rPr>
        <sz val="10"/>
        <color rgb="FFFF0000"/>
        <rFont val="Arial"/>
        <family val="2"/>
      </rPr>
      <t>Élimination, métaux non ferreux</t>
    </r>
  </si>
  <si>
    <t>9D19FB5F-33F0-44B4-9489-B6E224103955</t>
  </si>
  <si>
    <t>Aluminiumprofil, blank</t>
  </si>
  <si>
    <t>Profil d'aluminium, nu</t>
  </si>
  <si>
    <t>06.002.01</t>
  </si>
  <si>
    <t>C956DDE7-29FC-4FE5-A965-177615E14D14</t>
  </si>
  <si>
    <t>Aluminiumprofil blank, WICONA, hergestellt mit Hydro CIRCAL 75R</t>
  </si>
  <si>
    <t>Profil d'aluminium, nu, WICONA, fabriqué avec Hydro CIRCAL 75R</t>
  </si>
  <si>
    <t>1F33844F-91D2-4363-B328-904E15110A1C</t>
  </si>
  <si>
    <t>Armierungsstahl</t>
  </si>
  <si>
    <t>91.142</t>
  </si>
  <si>
    <t>Entsorgung, Armierungsstahl</t>
  </si>
  <si>
    <t>Acier d'armature</t>
  </si>
  <si>
    <r>
      <rPr>
        <sz val="10"/>
        <color rgb="FFFF0000"/>
        <rFont val="Arial"/>
        <family val="2"/>
      </rPr>
      <t>Élimination, acier d</t>
    </r>
    <r>
      <rPr>
        <sz val="10"/>
        <color rgb="FFFF0000"/>
        <rFont val="Arial"/>
        <family val="2"/>
      </rPr>
      <t>'armature</t>
    </r>
  </si>
  <si>
    <t>06.014</t>
  </si>
  <si>
    <t>1483FF58-F07C-4ED4-A422-3E72A667D1A7</t>
  </si>
  <si>
    <t>Blei</t>
  </si>
  <si>
    <t>Plomb</t>
  </si>
  <si>
    <t>0FE00428-0CF6-4CC1-A4B1-BA186F56D57E</t>
  </si>
  <si>
    <t>Chromnickelstahlblech 18/8 blank</t>
  </si>
  <si>
    <t>91.143</t>
  </si>
  <si>
    <t>Entsorgung, Stahl</t>
  </si>
  <si>
    <t>Tôle d'acier nickel-chrome 18/8, nue</t>
  </si>
  <si>
    <r>
      <rPr>
        <sz val="10"/>
        <color rgb="FFFF0000"/>
        <rFont val="Arial"/>
        <family val="2"/>
      </rPr>
      <t>Élimination, acier</t>
    </r>
  </si>
  <si>
    <t>06.005</t>
  </si>
  <si>
    <t>7AD1957E-FC33-43A8-88F8-2A4DD83A362A</t>
  </si>
  <si>
    <t>Chromnickelstahlblech 18/8 verzinnt</t>
  </si>
  <si>
    <t>Tôle d'acier nickel-chrome étamée 18/8</t>
  </si>
  <si>
    <t>06.006</t>
  </si>
  <si>
    <t>75CC3E80-7E5F-4E12-898A-03966A87E3E6</t>
  </si>
  <si>
    <t>Chromstahlblech blank</t>
  </si>
  <si>
    <t>Tôle d'acier chromé, nue</t>
  </si>
  <si>
    <t>06.007</t>
  </si>
  <si>
    <t>4594A8BF-8167-4183-9A45-CB64DF6D95B8</t>
  </si>
  <si>
    <t>Chromstahlblech verzinnt</t>
  </si>
  <si>
    <t>Tôle d'acier chromé, étamée</t>
  </si>
  <si>
    <t>06.008</t>
  </si>
  <si>
    <t>92E11D9B-9BC5-4032-BB06-2082CE3D8AFD</t>
  </si>
  <si>
    <t>Kupferblech, blank</t>
  </si>
  <si>
    <t>Tôle de cuivre, nue</t>
  </si>
  <si>
    <t>06.009</t>
  </si>
  <si>
    <t>EB9E1E6E-6F40-4CB7-B373-5D66FD146CF5</t>
  </si>
  <si>
    <t>Messing-/Baubronzeblech</t>
  </si>
  <si>
    <t>Tôle de laiton/bronze de construction</t>
  </si>
  <si>
    <t>06.010</t>
  </si>
  <si>
    <t>38C1572A-3CE8-47C0-B24E-5E924A8AD97E</t>
  </si>
  <si>
    <t>Stahlblech, blank</t>
  </si>
  <si>
    <t>Tôle d'acier nue</t>
  </si>
  <si>
    <t>68F8D468-2A49-430A-A94A-A3073A85B029</t>
  </si>
  <si>
    <t>Stahlblech, verzinkt</t>
  </si>
  <si>
    <t>Tôle d'acier, zinguée</t>
  </si>
  <si>
    <t>4DC70979-B6CA-4DA5-A291-6F1A082EE475</t>
  </si>
  <si>
    <t>Stahlprofil, blank</t>
  </si>
  <si>
    <t>Profil en acier, nu</t>
  </si>
  <si>
    <t>06.013</t>
  </si>
  <si>
    <t>3A017EE3-8EAE-4957-9976-39EA72157918</t>
  </si>
  <si>
    <t>Titanzinkblech</t>
  </si>
  <si>
    <t>Tôle zinc-titane</t>
  </si>
  <si>
    <t>07</t>
  </si>
  <si>
    <t>Holz und Holzwerkstoffe</t>
  </si>
  <si>
    <t>Bois et produits en bois</t>
  </si>
  <si>
    <t>BBA9796B-B084-473D-B362-E703FAD37CAA</t>
  </si>
  <si>
    <t>3- und 5-Schicht Massivholzplatte</t>
  </si>
  <si>
    <t>91.048</t>
  </si>
  <si>
    <t>Entsorgung, Dreischichtplatte</t>
  </si>
  <si>
    <t>Bois massif 3 et 5 plis</t>
  </si>
  <si>
    <r>
      <rPr>
        <sz val="10"/>
        <color rgb="FFFF0000"/>
        <rFont val="Arial"/>
        <family val="2"/>
      </rPr>
      <t>Élimination, panneau tricouche</t>
    </r>
  </si>
  <si>
    <t>07.021</t>
  </si>
  <si>
    <t>f346cb73-61fb-4468-b500-3bfc161d80a6</t>
  </si>
  <si>
    <t>Balkenschichtholz</t>
  </si>
  <si>
    <t>91.047</t>
  </si>
  <si>
    <t>Entsorgung, Brettschichtholz verleimt</t>
  </si>
  <si>
    <t>Bois d'équarrissage</t>
  </si>
  <si>
    <r>
      <rPr>
        <sz val="10"/>
        <color rgb="FFFF0000"/>
        <rFont val="Arial"/>
        <family val="2"/>
      </rPr>
      <t>Élimination, lamellé-collé</t>
    </r>
  </si>
  <si>
    <t>75F8C2B2-0B4E-4243-93D6-9D8B721B4D12</t>
  </si>
  <si>
    <t>Brettschichtholz</t>
  </si>
  <si>
    <t>Bois lamellé-collé</t>
  </si>
  <si>
    <t>07.003.01</t>
  </si>
  <si>
    <t>5D0AAC66-9661-4D7A-A239-8A8931B4CFF3</t>
  </si>
  <si>
    <t>Brettschichtholz, Produktion Schweiz</t>
  </si>
  <si>
    <t>Bois lamellé-collé, colle MF, zone humide, production Suisse</t>
  </si>
  <si>
    <t>07.002</t>
  </si>
  <si>
    <t>1095B95F-6036-45CA-B450-7A3A8E1897BB</t>
  </si>
  <si>
    <t>07.002.01</t>
  </si>
  <si>
    <t>D6C6F539-93DD-4C07-AF40-3EF6321D4FBD</t>
  </si>
  <si>
    <t>Bois lamellé-collé, colle UF, zone sèche, production Suisse</t>
  </si>
  <si>
    <t>07.020</t>
  </si>
  <si>
    <t>83c72ece-6641-4675-97f0-a6236caf7e7f</t>
  </si>
  <si>
    <t>Brettsperrholz</t>
  </si>
  <si>
    <t>91.145</t>
  </si>
  <si>
    <t>Entsorgung, Spanplatte, 10% Bindemittel</t>
  </si>
  <si>
    <t>Contreplaqué de planches</t>
  </si>
  <si>
    <r>
      <rPr>
        <sz val="10"/>
        <color rgb="FFFF0000"/>
        <rFont val="Arial"/>
        <family val="2"/>
      </rPr>
      <t>Élimination, plaque de serrage, agent liant 10 %</t>
    </r>
  </si>
  <si>
    <t>07.020.01</t>
  </si>
  <si>
    <t>25754a33-5165-4d33-b2d2-e8422557b849</t>
  </si>
  <si>
    <t>Brettsperrholz, Produktion Schweiz</t>
  </si>
  <si>
    <t>Contreplaqué de placage, production Suisse</t>
  </si>
  <si>
    <t>07.022</t>
  </si>
  <si>
    <t>b914b5f8-ce92-4da0-8c94-055ee668b154</t>
  </si>
  <si>
    <t>Furniersperrholz</t>
  </si>
  <si>
    <t>Contreplaqué de placage</t>
  </si>
  <si>
    <t>07.004</t>
  </si>
  <si>
    <t>99B2F7E4-22F3-4C8E-9C76-D3CBADA830E2</t>
  </si>
  <si>
    <t>Hartfaserplatte</t>
  </si>
  <si>
    <t>91.049</t>
  </si>
  <si>
    <t>Entsorgung, Holzfaserplatte hart</t>
  </si>
  <si>
    <t>Panneau de particules dur</t>
  </si>
  <si>
    <r>
      <rPr>
        <sz val="10"/>
        <color rgb="FFFF0000"/>
        <rFont val="Arial"/>
        <family val="2"/>
      </rPr>
      <t>Élimination, panneau de fibres dur</t>
    </r>
  </si>
  <si>
    <t>07.005</t>
  </si>
  <si>
    <t>C916FBF8-EB8F-43A7-9D11-9E92CF9F083D</t>
  </si>
  <si>
    <t>Holzwolle-Leichtbauplatte, zementgebunden</t>
  </si>
  <si>
    <t>91.144</t>
  </si>
  <si>
    <t>Entsorgung, Verbundmaterialien, organisch-mineralisch</t>
  </si>
  <si>
    <t>Panneau de bois léger à paille de bois liée par du ciment</t>
  </si>
  <si>
    <r>
      <rPr>
        <sz val="10"/>
        <color rgb="FFFF0000"/>
        <rFont val="Arial"/>
        <family val="2"/>
      </rPr>
      <t>Élimination, matériaux composites, organique-minéral</t>
    </r>
  </si>
  <si>
    <t>07.023</t>
  </si>
  <si>
    <t>dff243df-ce92-429c-b6f4-a1e3ca114b16</t>
  </si>
  <si>
    <t>Konstruktionsvollholz</t>
  </si>
  <si>
    <t>Bois massif de construction</t>
  </si>
  <si>
    <t>07.008</t>
  </si>
  <si>
    <t>5452FFFF-13C9-4D8B-803B-E644F35A3325</t>
  </si>
  <si>
    <t>Massivholz Buche / Eiche, kammergetrocknet, gehobelt</t>
  </si>
  <si>
    <t>91.052</t>
  </si>
  <si>
    <t>Entsorgung, Holz und Holzwerkstoffe, Massivholz</t>
  </si>
  <si>
    <t>Bois massif hêtre / chêne, séché en cellule, raboté</t>
  </si>
  <si>
    <r>
      <rPr>
        <sz val="10"/>
        <color rgb="FFFF0000"/>
        <rFont val="Arial"/>
        <family val="2"/>
      </rPr>
      <t>Élimination, bois et matériaux dérivés, bois massif</t>
    </r>
  </si>
  <si>
    <t>07.008.01</t>
  </si>
  <si>
    <t>348B6926-0D2A-4820-AA05-C815FE65A421</t>
  </si>
  <si>
    <t>Massivholz Buche / Eiche, kammergetrocknet, gehobelt, Produktion Schweiz</t>
  </si>
  <si>
    <t>Bois massif hêtre / chêne, séché en cellule, raboté, production Suisse</t>
  </si>
  <si>
    <t>07.007</t>
  </si>
  <si>
    <t>9AC95A58-6438-48B7-BB6A-B07B6F4CFB6A</t>
  </si>
  <si>
    <t>Massivholz Buche / Eiche, kammergetrocknet, rau</t>
  </si>
  <si>
    <t>Bois massif hêtre, chêne, séché en cellule, brut</t>
  </si>
  <si>
    <t>07.007.01</t>
  </si>
  <si>
    <t>698D8A43-8983-432E-A51B-D90C9BA23AC1</t>
  </si>
  <si>
    <t>Massivholz Buche / Eiche, kammergetrocknet, rau, Produktion Schweiz</t>
  </si>
  <si>
    <t>Bois massif hêtre, chêne, séché en cellule, brut, production Suisse</t>
  </si>
  <si>
    <t>07.006</t>
  </si>
  <si>
    <t>531C8578-0D4B-469A-ACE5-8E3A536FC47C</t>
  </si>
  <si>
    <t>Massivholz Buche / Eiche, luftgetrocknet, rau</t>
  </si>
  <si>
    <t>Bois massif hêtre / chêne, séché à l'air, brut</t>
  </si>
  <si>
    <t>07.006.01</t>
  </si>
  <si>
    <t>F9547BDA-290C-44C5-8794-C921A2DED0BA</t>
  </si>
  <si>
    <t>Massivholz Buche / Eiche, luftgetrocknet, rau, Produktion Schweiz</t>
  </si>
  <si>
    <t>Bois massif hêtre / chêne, séché à l'air, brut, production Suisse</t>
  </si>
  <si>
    <t>3D89DC7F-1638-4C94-AFA8-DC31CAC210BC</t>
  </si>
  <si>
    <t>Massivholz Fichte / Tanne / Lärche, kammergetr., gehobelt</t>
  </si>
  <si>
    <t>Bois massif épicéa / sapin / mélèze, séché en cellule, raboté</t>
  </si>
  <si>
    <t>07.011.01</t>
  </si>
  <si>
    <t>D122C786-0887-4B71-BEBD-513955B5F184</t>
  </si>
  <si>
    <t>Massivholz Fichte / Tanne / Lärche, kammergetr., gehobelt, Produktion Schweiz</t>
  </si>
  <si>
    <t>Bois massif épicéa / sapin / mélèze, séché en cellule, raboté, production Suisse</t>
  </si>
  <si>
    <t>07.011.02</t>
  </si>
  <si>
    <t>C4DE94C2-36D6-4BB9-9753-228622401A82</t>
  </si>
  <si>
    <t>Massivholz Fichte / Tanne, kammergetr., Vollholzhaus holzpur</t>
  </si>
  <si>
    <t>Bois massif épicéa / sapin, séché en cellule, holzpur</t>
  </si>
  <si>
    <t>07.010</t>
  </si>
  <si>
    <t>C6FE17BA-12BD-4454-B0F0-74CA8C665D6B</t>
  </si>
  <si>
    <t>Massivholz Fichte / Tanne / Lärche, luftgetr., gehobelt</t>
  </si>
  <si>
    <t>Bois massif épicéa / sapin / mélèze, séché à l'air, raboté</t>
  </si>
  <si>
    <t>07.010.01</t>
  </si>
  <si>
    <t>0AABF430-9178-4975-8390-B4C585739DE2</t>
  </si>
  <si>
    <t>Massivholz Fichte / Tanne / Lärche, luftgetr., gehobelt, Produktion Schweiz</t>
  </si>
  <si>
    <t>Bois massif épicéa / sapin / mélèze, séché à l'air, raboté, production Suisse</t>
  </si>
  <si>
    <t>EB82F166-04B1-49F0-A586-FD8F92824196</t>
  </si>
  <si>
    <t>Massivholz Fichte / Tanne / Lärche, luftgetrocknet, rau</t>
  </si>
  <si>
    <t>Bois massif épicéa / sapin / mélèze, séché à l'air, brut</t>
  </si>
  <si>
    <t>07.009.01</t>
  </si>
  <si>
    <t>ADBDB232-AC94-49B1-9EB6-652076C22BAB</t>
  </si>
  <si>
    <t>Massivholz Fichte / Tanne / Lärche, luftgetrocknet, rau, Produktion Schweiz</t>
  </si>
  <si>
    <t>Bois massif épicéa / sapin / mélèze, séché à l'air, brut, production Suisse</t>
  </si>
  <si>
    <t>07.012</t>
  </si>
  <si>
    <t>962B816C-DBD4-445F-8392-E4F8532069C8</t>
  </si>
  <si>
    <t>Mitteldichte Faserplatte (MDF), UF-gebunden</t>
  </si>
  <si>
    <t>91.050</t>
  </si>
  <si>
    <t>Entsorgung, Faserplatte mittlerer Dichte (MDF)</t>
  </si>
  <si>
    <t>Panneau de fibres à densité moyenne (MDF), colle UF</t>
  </si>
  <si>
    <r>
      <rPr>
        <sz val="10"/>
        <color rgb="FFFF0000"/>
        <rFont val="Arial"/>
        <family val="2"/>
      </rPr>
      <t>Élimination, panneau de fibres de compacité moyenne</t>
    </r>
  </si>
  <si>
    <t>07.013</t>
  </si>
  <si>
    <t>BD66B05D-27E3-4ADF-85A2-E0ABBBA686A5</t>
  </si>
  <si>
    <t>OSB Platte, PF-gebunden, Feuchtbereich</t>
  </si>
  <si>
    <t>Panneau d'aggloméré type OSB, colle PF, zone humide</t>
  </si>
  <si>
    <t>07.024</t>
  </si>
  <si>
    <t>2ec4e1b4-5694-4169-b734-b38c2365aaac</t>
  </si>
  <si>
    <t>Röhrenspanplatte</t>
  </si>
  <si>
    <t>Panneau de particules tubulaire</t>
  </si>
  <si>
    <t>07.015</t>
  </si>
  <si>
    <t>F54AEECA-7B3B-4ACE-B4CB-88527B1C903C</t>
  </si>
  <si>
    <t>Spanplatte, PF-gebunden, Feuchtbereich</t>
  </si>
  <si>
    <t>Panneau de particules, colle PF, zone humide</t>
  </si>
  <si>
    <t>07.016</t>
  </si>
  <si>
    <t>FB830352-0350-46F9-BF46-73733C576386</t>
  </si>
  <si>
    <t>Spanplatte, UF-gebunden, beschichtet, Trockenbereich</t>
  </si>
  <si>
    <t>91.057</t>
  </si>
  <si>
    <t>Entsorgung, Spanplatte, 10% Bindemittel, 3.5% MF-gebunden</t>
  </si>
  <si>
    <t>Panneau de particules, colle UF, enduit, zone sèche</t>
  </si>
  <si>
    <r>
      <rPr>
        <sz val="10"/>
        <color rgb="FFFF0000"/>
        <rFont val="Arial"/>
        <family val="2"/>
      </rPr>
      <t>Élimination, plaque de serrage, agent liant 10 %, 3,5 % résine MF</t>
    </r>
  </si>
  <si>
    <t>07.014</t>
  </si>
  <si>
    <t>E88CFF0D-059B-4E8A-93BC-A4E3A917A2F6</t>
  </si>
  <si>
    <t>Spanplatte, UF-gebunden, Trockenbereich</t>
  </si>
  <si>
    <t>Panneau de particules, colle UF, zone sèche</t>
  </si>
  <si>
    <t>32B17B00-83C9-412F-899B-03B8DB3781BF</t>
  </si>
  <si>
    <t>Sperrholz/Multiplex, PF-gebunden, Feuchtbereich</t>
  </si>
  <si>
    <t>Bois lamellé / multiplex, colle PF, zone humide</t>
  </si>
  <si>
    <t>07.017</t>
  </si>
  <si>
    <t>55C3FB36-27C5-40BB-B51C-715C9F2984FE</t>
  </si>
  <si>
    <t>Sperrholz/Multiplex, UF-gebunden, Trockenbereich</t>
  </si>
  <si>
    <t>Bois lamellé / multiplex, colle UF, zone sèche</t>
  </si>
  <si>
    <t>07.019</t>
  </si>
  <si>
    <t>134906e4-dbd4-42e3-828c-e819fea6a651</t>
  </si>
  <si>
    <t>Stabschichtholz, Buche</t>
  </si>
  <si>
    <t>Bois lamellé-collé en hêtre</t>
  </si>
  <si>
    <t>07.019.01</t>
  </si>
  <si>
    <t>9b25432d-40ef-4f3b-8c5b-7104ad4b6d52</t>
  </si>
  <si>
    <t>Stabschichtholz, Buche, fagus</t>
  </si>
  <si>
    <t>91.175.01</t>
  </si>
  <si>
    <t>Entsorgung, Stabschichtholz, Buche, fagus</t>
  </si>
  <si>
    <t>Bois lamellé-collé en hêtre, fagus</t>
  </si>
  <si>
    <r>
      <rPr>
        <sz val="10"/>
        <color rgb="FFFF0000"/>
        <rFont val="Arial"/>
        <family val="2"/>
      </rPr>
      <t>Élimination, bois lamellé-collé, hêtre, fagus</t>
    </r>
  </si>
  <si>
    <t xml:space="preserve">Holzrechner: Mit dem Holzrechner (https://treeze.ch/de/rechner) können die Umweltkennwerte von Holzprodukten verschiedenster Herkunft berechnet werden. 
Calculateur de bois: le calculateur de bois (https://treeze.ch/de/rechner) permet de calculer les données écobilans de produits en bois d'origines très diverses. </t>
  </si>
  <si>
    <t>08</t>
  </si>
  <si>
    <t>Klebstoffe und Fugendichtungsmassen</t>
  </si>
  <si>
    <t>Colles et masses de jointoiement</t>
  </si>
  <si>
    <t>21330D47-1D7A-36C8-7F0E-CB11F4CB2767</t>
  </si>
  <si>
    <t>2-Komponenten Klebstoff</t>
  </si>
  <si>
    <t>91.146</t>
  </si>
  <si>
    <t>Entsorgung, Kleb-, Dichtstoffe, Anstriche</t>
  </si>
  <si>
    <t>Colle bicomposant</t>
  </si>
  <si>
    <r>
      <rPr>
        <sz val="10"/>
        <color rgb="FFFF0000"/>
        <rFont val="Arial"/>
        <family val="2"/>
      </rPr>
      <t>Élimination, colles, produits d</t>
    </r>
    <r>
      <rPr>
        <sz val="10"/>
        <color rgb="FFFF0000"/>
        <rFont val="Arial"/>
        <family val="2"/>
      </rPr>
      <t>'étanchéité, peintures</t>
    </r>
  </si>
  <si>
    <t>CA0CC8C0-0CF0-4DE4-A9E8-C3B416365119</t>
  </si>
  <si>
    <t>Heissbitumen</t>
  </si>
  <si>
    <t>Masse bitumeuse, chaude</t>
  </si>
  <si>
    <t>08.003</t>
  </si>
  <si>
    <t>9831C103-3AC5-439B-9BF1-3C1976328C98</t>
  </si>
  <si>
    <t>Kautschukdichtungsmasse</t>
  </si>
  <si>
    <t>Masse de jointoiement en caoutchouc</t>
  </si>
  <si>
    <t>08.004</t>
  </si>
  <si>
    <t>0732FA24-108B-41A5-A86B-71ADB88B5F21</t>
  </si>
  <si>
    <t>Polysulfiddichtungsmasse</t>
  </si>
  <si>
    <t>Masse de jointoiement en polysulfide</t>
  </si>
  <si>
    <t>08.005</t>
  </si>
  <si>
    <t>85E73CA0-F8D0-4F4D-BA4F-074E3BBD8A31</t>
  </si>
  <si>
    <t>Silicon-Fugenmasse</t>
  </si>
  <si>
    <t>Masse de jointoiement en silicone</t>
  </si>
  <si>
    <t>09</t>
  </si>
  <si>
    <t>Dichtungsbahnen und Schutzfolien</t>
  </si>
  <si>
    <r>
      <t>kg/m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; kg/m</t>
    </r>
    <r>
      <rPr>
        <b/>
        <vertAlign val="superscript"/>
        <sz val="10"/>
        <rFont val="Arial"/>
        <family val="2"/>
      </rPr>
      <t>2</t>
    </r>
  </si>
  <si>
    <t xml:space="preserve">Lés d'étanchéité et feuilles de protection </t>
  </si>
  <si>
    <t>01CD6F3D-BD57-4002-A3FB-6CD6DF5868D7</t>
  </si>
  <si>
    <t>Dampfbremse bituminös</t>
  </si>
  <si>
    <t>91.172</t>
  </si>
  <si>
    <t>Entsorgung, Dichtungsbahnen und Schutzfolien, Dampfbremse Bitumen</t>
  </si>
  <si>
    <t>Barrière de vapeur bitumineuse</t>
  </si>
  <si>
    <r>
      <rPr>
        <sz val="10"/>
        <color rgb="FFFF0000"/>
        <rFont val="Arial"/>
        <family val="2"/>
      </rPr>
      <t>Élimination, feuilles d</t>
    </r>
    <r>
      <rPr>
        <sz val="10"/>
        <color rgb="FFFF0000"/>
        <rFont val="Arial"/>
        <family val="2"/>
      </rPr>
      <t>'étanchéité et de protection, frein de vapeur en bitume</t>
    </r>
  </si>
  <si>
    <t>09.002</t>
  </si>
  <si>
    <t>5155BF82-EBE7-4FE9-A0C3-3B52FF372827</t>
  </si>
  <si>
    <t>Dampfbremse Polyethylen (PE)</t>
  </si>
  <si>
    <t>91.037</t>
  </si>
  <si>
    <t>Entsorgung, Dichtungsbahnen und Schutzfolien, Dampfbremse PE</t>
  </si>
  <si>
    <t>Barrière de vapeur PE</t>
  </si>
  <si>
    <r>
      <rPr>
        <sz val="10"/>
        <color rgb="FFFF0000"/>
        <rFont val="Arial"/>
        <family val="2"/>
      </rPr>
      <t>Élimination, feuilles d</t>
    </r>
    <r>
      <rPr>
        <sz val="10"/>
        <color rgb="FFFF0000"/>
        <rFont val="Arial"/>
        <family val="2"/>
      </rPr>
      <t>'étanchéité et de protection, frein de vapeur en PE</t>
    </r>
  </si>
  <si>
    <t>7BA5DD3A-06EF-4108-853B-3687B698FF22</t>
  </si>
  <si>
    <t>Dichtungsbahn bituminös</t>
  </si>
  <si>
    <t>Lé d'étanchéité bitumineux</t>
  </si>
  <si>
    <t>09.003.11</t>
  </si>
  <si>
    <t>7734C0C2-7D2F-4604-A1A8-D8CB9E7310C7</t>
  </si>
  <si>
    <t>Bituminöse Dichtungsbahn, swissporBIKUPLAN ECO</t>
  </si>
  <si>
    <t>Lé d'étanchéité bitumineux, swissporBIKUPLAN ECO</t>
  </si>
  <si>
    <t>8363831F-FB86-4CDD-B1F2-138E478F34B0</t>
  </si>
  <si>
    <t>Bituminöse Dichtungsbahn, swissporBIKUTOP</t>
  </si>
  <si>
    <t>Lé d'étanchéité bitumineux, swissporBIKUTOP</t>
  </si>
  <si>
    <t>09.003.02</t>
  </si>
  <si>
    <t>3734EA52-A3C5-4A05-A040-03322A348AE1</t>
  </si>
  <si>
    <t>Bituminöse Dichtungsbahn, swissporBIKUTOP ECO</t>
  </si>
  <si>
    <t>Lé d'étanchéité bitumineux, swissporBIKUTOP ECO</t>
  </si>
  <si>
    <t>BA1409B5-8AC0-4016-9AC1-E3AFC2D20C52</t>
  </si>
  <si>
    <t>09.003.04</t>
  </si>
  <si>
    <t>2AEB700D-8C0A-4554-97D3-80B5CC367CAD</t>
  </si>
  <si>
    <t>09.003.05</t>
  </si>
  <si>
    <t>0C5A7BA6-B74D-46D7-A2F1-5F7E95808E83</t>
  </si>
  <si>
    <t>09.003.06</t>
  </si>
  <si>
    <t>744A1B0B-105B-45BA-909E-79E490F26917</t>
  </si>
  <si>
    <t>DF6CF380-78F7-466D-AD94-DA3ED7536CA9</t>
  </si>
  <si>
    <t>09.003.08</t>
  </si>
  <si>
    <t>EDC15F2A-8353-4B92-89EA-F588F082D528</t>
  </si>
  <si>
    <t>09.003.09</t>
  </si>
  <si>
    <t>2B07EF82-8010-4C65-AF7C-90055932DA86</t>
  </si>
  <si>
    <t>09.003.10</t>
  </si>
  <si>
    <t>E6956688-D02C-414C-8EC6-B0FAEF52C8B8</t>
  </si>
  <si>
    <t>09.003.12</t>
  </si>
  <si>
    <t>996bca23-d530-4e8e-b4f1-6f6f57b89e0a</t>
  </si>
  <si>
    <t>Elastomerbitumen-Dichtungsbahn Sopravap EVA 35 flam</t>
  </si>
  <si>
    <t>Feuille d'étanchéité à base de bitume élastomèren Sopravap EVA 35 flam</t>
  </si>
  <si>
    <t>09.003.13</t>
  </si>
  <si>
    <t>45f59ef0-c310-4611-bd9f-96c3f29ff6a3</t>
  </si>
  <si>
    <t>Elastomerbitumen-Dichtungsbahn Sopralen EGV 3</t>
  </si>
  <si>
    <t>Feuille d'étanchéité à base de bitume élastomèren Sopralen EGV 3</t>
  </si>
  <si>
    <t>09.003.14</t>
  </si>
  <si>
    <t>417f2b8c-45c8-406b-97ac-ef149321e8f7</t>
  </si>
  <si>
    <t>Elastomerbitumen-Dichtungsbahn Sopralen EGV 3.5</t>
  </si>
  <si>
    <t>Feuille d'étanchéité à base de bitume élastomèren Sopralen EGV 3.5</t>
  </si>
  <si>
    <t>09.003.15</t>
  </si>
  <si>
    <t>0d94f5a6-1b6a-469e-bf01-0ddab8f03d10</t>
  </si>
  <si>
    <t>Elastomerbitumen-Dichtungsbahn Sopralen Premier EP 5 ard flam</t>
  </si>
  <si>
    <t>Feuille d'étanchéité à base de bitume élastomèren Sopralen Premier EP 5 ard flam</t>
  </si>
  <si>
    <t>09.003.16</t>
  </si>
  <si>
    <t>a06b8703-9c56-4844-bbbd-388e15772d67</t>
  </si>
  <si>
    <t>Elastomerbitumen-Dichtungsbahn Sopralen Jardin EP 5 ard flam</t>
  </si>
  <si>
    <t>Feuille d'étanchéité à base de bitume élastomèren Sopralen Jardin EP 5 ard flam</t>
  </si>
  <si>
    <t>09.003.17</t>
  </si>
  <si>
    <t>11a560d2-4cc5-4cd6-9b99-0945186d224e</t>
  </si>
  <si>
    <t>Elastomerbitumen-Dichtungsbahn Sopragum Flam HT-O Jardin S5</t>
  </si>
  <si>
    <t>Feuille d'étanchéité à base de bitume élastomèren Sopragum Flam HT-O Jardin S5</t>
  </si>
  <si>
    <t>09.003.18</t>
  </si>
  <si>
    <t>3030d795-4231-40bc-803f-4f6218b99104</t>
  </si>
  <si>
    <t>Elastomerbitumen-Dichtungsbahn SOPREMA Vapro Alpino</t>
  </si>
  <si>
    <t>Feuille d'étanchéité à base de bitume élastomèren SOPREMA Vapro Alpino</t>
  </si>
  <si>
    <t>09.003.19</t>
  </si>
  <si>
    <t>431554b3-cf1e-422c-8593-f2c5946cb82f</t>
  </si>
  <si>
    <t>Elastomerbitumen-Dichtungsbahn SOPREMA Vapro Nature</t>
  </si>
  <si>
    <t>Feuille d'étanchéité à base de bitume élastomèren SOPREMA Vapro Nature</t>
  </si>
  <si>
    <t>09.004</t>
  </si>
  <si>
    <t>90159AF7-455B-4996-A1AC-6D5B6E3242F4</t>
  </si>
  <si>
    <t>Dichtungsbahn Gummi (EPDM)</t>
  </si>
  <si>
    <t>91.147</t>
  </si>
  <si>
    <t>Entsorgung, Dichtungsbahnen und Schutzfolien, EPDM</t>
  </si>
  <si>
    <t>Lé d'étanchéité caoutchouc (EPDM)</t>
  </si>
  <si>
    <r>
      <rPr>
        <sz val="10"/>
        <color rgb="FFFF0000"/>
        <rFont val="Arial"/>
        <family val="2"/>
      </rPr>
      <t>Élimination, bandes d</t>
    </r>
    <r>
      <rPr>
        <sz val="10"/>
        <color rgb="FFFF0000"/>
        <rFont val="Arial"/>
        <family val="2"/>
      </rPr>
      <t>'étanchéité et de protection, EPDM</t>
    </r>
  </si>
  <si>
    <t>09.005</t>
  </si>
  <si>
    <t>CFA0CA34-15A6-4D99-AEC3-CA60F46DBE4D</t>
  </si>
  <si>
    <t>Dichtungsbahn Polyolefin (FPO)</t>
  </si>
  <si>
    <t>91.148</t>
  </si>
  <si>
    <t>Entsorgung, Dichtungsbahnen und Schutzfolien, Polyolefin</t>
  </si>
  <si>
    <t>Lé d'étanchéité polyoléfine (FPO)</t>
  </si>
  <si>
    <r>
      <rPr>
        <sz val="10"/>
        <color rgb="FFFF0000"/>
        <rFont val="Arial"/>
        <family val="2"/>
      </rPr>
      <t>Élimination, bandes d</t>
    </r>
    <r>
      <rPr>
        <sz val="10"/>
        <color rgb="FFFF0000"/>
        <rFont val="Arial"/>
        <family val="2"/>
      </rPr>
      <t>'étanchéité et de protection, polyoléfine</t>
    </r>
  </si>
  <si>
    <t>09.006</t>
  </si>
  <si>
    <t>5C26C97A-D10C-49A8-815E-06A340CCC448</t>
  </si>
  <si>
    <t>Kraftpapier</t>
  </si>
  <si>
    <t>91.149</t>
  </si>
  <si>
    <t>Entsorgung, Kraft-Papier</t>
  </si>
  <si>
    <t>Papier Kraft</t>
  </si>
  <si>
    <r>
      <rPr>
        <sz val="10"/>
        <color rgb="FFFF0000"/>
        <rFont val="Arial"/>
        <family val="2"/>
      </rPr>
      <t>Élimination, papier kraft</t>
    </r>
  </si>
  <si>
    <t>D4BF6599-6623-4AE5-9D50-8EDDB6B05F41</t>
  </si>
  <si>
    <t>Polyethylenfolie (PE)</t>
  </si>
  <si>
    <t>Feuille de polyéthylène (PE)</t>
  </si>
  <si>
    <t>FD71B629-B98E-47C8-ADA4-513631C0896B</t>
  </si>
  <si>
    <t>Polyethylenvlies (PE)</t>
  </si>
  <si>
    <t>Voile de polyéthylène (PE)</t>
  </si>
  <si>
    <t>10</t>
  </si>
  <si>
    <t>Wärmedämmstoffe</t>
  </si>
  <si>
    <t>Produits d'isolation thermique</t>
  </si>
  <si>
    <t>10.014</t>
  </si>
  <si>
    <t>9EC4E12B-5E75-4A0B-84DA-A1A5F152A4BC</t>
  </si>
  <si>
    <t>Aerogel-Vlies</t>
  </si>
  <si>
    <t>91.119</t>
  </si>
  <si>
    <t>Entsorgung, Aerogel-Vlies</t>
  </si>
  <si>
    <t>Fibres d'aérogel</t>
  </si>
  <si>
    <r>
      <rPr>
        <sz val="10"/>
        <color rgb="FFFF0000"/>
        <rFont val="Arial"/>
        <family val="2"/>
      </rPr>
      <t>Élimination, fibres d</t>
    </r>
    <r>
      <rPr>
        <sz val="10"/>
        <color rgb="FFFF0000"/>
        <rFont val="Arial"/>
        <family val="2"/>
      </rPr>
      <t>'aérogel</t>
    </r>
  </si>
  <si>
    <t>E6773968-F9C9-4782-A5CD-78B9B1164571</t>
  </si>
  <si>
    <t>Blähperlit</t>
  </si>
  <si>
    <t>65-140</t>
  </si>
  <si>
    <t>Perlite expansée</t>
  </si>
  <si>
    <r>
      <rPr>
        <sz val="10"/>
        <color rgb="FFFF0000"/>
        <rFont val="Arial"/>
        <family val="2"/>
      </rPr>
      <t>Élimination, bâtiment, brique en terre cuite, élimination</t>
    </r>
  </si>
  <si>
    <t>10.011</t>
  </si>
  <si>
    <t>A0A69B33-B2C9-4DE4-BA2E-770C2A4EF76A</t>
  </si>
  <si>
    <t>Blähvermiculit</t>
  </si>
  <si>
    <t>Vermiculite expansée</t>
  </si>
  <si>
    <t>10.016</t>
  </si>
  <si>
    <t>7A1681B7-2F34-4B51-BF2D-D4C9C33CFCA5</t>
  </si>
  <si>
    <t>Flachsfasern</t>
  </si>
  <si>
    <t>91.121</t>
  </si>
  <si>
    <t>Entsorgung, Flachsfaser-Dämmung</t>
  </si>
  <si>
    <t>Isolation en lin</t>
  </si>
  <si>
    <r>
      <rPr>
        <sz val="10"/>
        <color rgb="FFFF0000"/>
        <rFont val="Arial"/>
        <family val="2"/>
      </rPr>
      <t>Élimination, isolation lin</t>
    </r>
  </si>
  <si>
    <t>10.016.01</t>
  </si>
  <si>
    <t>109E7CA4-9DB1-46E0-AAA8-EF6E159A7A63</t>
  </si>
  <si>
    <t>Flachsfasern, MAGRIPOL, Premium</t>
  </si>
  <si>
    <t>Isolation en lin, MAGRIPOL, Premium</t>
  </si>
  <si>
    <t>10.017</t>
  </si>
  <si>
    <t>CC513F17-747F-4776-ABFA-9C78FF26A557</t>
  </si>
  <si>
    <t>Flachsfasern, feuerfest</t>
  </si>
  <si>
    <t>Isolation en lin, résistant au feu</t>
  </si>
  <si>
    <t>10.017.01</t>
  </si>
  <si>
    <t>C5CF1731-3091-4FC5-9552-DE7368F296A6</t>
  </si>
  <si>
    <t>Flachsfasern, feuerfest, MAGRIPOL, Premium+</t>
  </si>
  <si>
    <t>Isolation en lin, anti-feu, MAGRIPOL, Premium+</t>
  </si>
  <si>
    <t>43B03F61-91A1-438E-B958-6E274F13B241</t>
  </si>
  <si>
    <t>Glaswolle</t>
  </si>
  <si>
    <t>91.173</t>
  </si>
  <si>
    <t>Entsorgung, Dämmstoff, mineralisch</t>
  </si>
  <si>
    <t>20-100</t>
  </si>
  <si>
    <r>
      <rPr>
        <sz val="10"/>
        <color rgb="FFFF0000"/>
        <rFont val="Arial"/>
        <family val="2"/>
      </rPr>
      <t>Élimination, matériaux isolant, minéral</t>
    </r>
  </si>
  <si>
    <t>10.001.01</t>
  </si>
  <si>
    <t>C2140A4D-E25B-4E13-BD72-87C1C5A37286</t>
  </si>
  <si>
    <t>Glaswolle, Isover, phenolbasiertes Bindemittel</t>
  </si>
  <si>
    <t>Laine de verre, Isover, résine phénolique</t>
  </si>
  <si>
    <t>10.001.03</t>
  </si>
  <si>
    <t>894290c5-7d1a-42b6-8b27-cfabcd6fa573</t>
  </si>
  <si>
    <t>Glaswolle, Isover, pflanzliches Bindemittel</t>
  </si>
  <si>
    <t>Laine de verre, Isover, liant végétal</t>
  </si>
  <si>
    <t>10.001.02</t>
  </si>
  <si>
    <t>b0b693b6-0c93-49bc-ad75-0de3492042b8</t>
  </si>
  <si>
    <t>Glaswolle, SUPAFIL</t>
  </si>
  <si>
    <t>Laine de verre, SUPAFIL</t>
  </si>
  <si>
    <t>10.002</t>
  </si>
  <si>
    <t>42A8911C-62FF-4A4B-ACD8-31E4148787E8</t>
  </si>
  <si>
    <t>Korkplatte</t>
  </si>
  <si>
    <t>91.150</t>
  </si>
  <si>
    <t>Entsorgung, Korkplatte</t>
  </si>
  <si>
    <t>Panneau en liège</t>
  </si>
  <si>
    <r>
      <rPr>
        <sz val="10"/>
        <color rgb="FFFF0000"/>
        <rFont val="Arial"/>
        <family val="2"/>
      </rPr>
      <t>Élimination, panneau de liège</t>
    </r>
  </si>
  <si>
    <t>10.003</t>
  </si>
  <si>
    <t>4F352DCA-9E8B-49E4-98B6-F10BA797180E</t>
  </si>
  <si>
    <t>Phenolharz (PF)</t>
  </si>
  <si>
    <t>91.151</t>
  </si>
  <si>
    <t>Entsorgung, Dämmstoff, organisch, Polystyrol</t>
  </si>
  <si>
    <t>Résine phénolique  (PF)</t>
  </si>
  <si>
    <r>
      <rPr>
        <sz val="10"/>
        <color rgb="FFFF0000"/>
        <rFont val="Arial"/>
        <family val="2"/>
      </rPr>
      <t>Élimination, matériau isolant, organique, polystyrène</t>
    </r>
  </si>
  <si>
    <t>9F6CB547-DC00-4900-8FB4-A37135F510B4</t>
  </si>
  <si>
    <t>Polystyrol expandiert (EPS)</t>
  </si>
  <si>
    <t>15-40</t>
  </si>
  <si>
    <t>Polystyrène expansé (EPS)</t>
  </si>
  <si>
    <t>10.004.01</t>
  </si>
  <si>
    <t>046FE9F5-65FC-48A0-802F-8E2EE600CDA6</t>
  </si>
  <si>
    <t>Polystyrol expandiert, SwissporEPS</t>
  </si>
  <si>
    <t>Polystyrène expansé, SwissporEPS</t>
  </si>
  <si>
    <t>10.004.02</t>
  </si>
  <si>
    <t>05CBB4FF-6CFE-4285-86E1-8D5EA593637D</t>
  </si>
  <si>
    <t>Polystyrol expandiert, 44% Recyclinganteil, SwissporEPS Roof Eco</t>
  </si>
  <si>
    <t>Polystyrène expansé, fraction recyclée 44%, SwissporEPS Roof Eco</t>
  </si>
  <si>
    <t>10.004.03</t>
  </si>
  <si>
    <t>99E3A2B4-CE0F-4E7A-AECB-9AA35D2FABAF</t>
  </si>
  <si>
    <t>Polystyrol expandiert, 100% Recyclinganteil, SwissporEPS R 100%</t>
  </si>
  <si>
    <t>Polystyrène expansé, fraction recyclée 100%, SwissporEPS R 100%</t>
  </si>
  <si>
    <t>604F2ECA-F888-49C4-9FA5-C206BC37E889</t>
  </si>
  <si>
    <t>Polystyrol extrudiert (XPS)</t>
  </si>
  <si>
    <t>30-35</t>
  </si>
  <si>
    <t>Polystyrène extrudé (XPS)</t>
  </si>
  <si>
    <t>10.005.01</t>
  </si>
  <si>
    <t>ACF64203-B038-4EAF-B297-53D8C48F8A42</t>
  </si>
  <si>
    <t>Polystyrol extrudiert, SwissporXPS</t>
  </si>
  <si>
    <t>Polystyrène extrudé, SwissporXPS</t>
  </si>
  <si>
    <t>D23B8D09-6CCC-42B7-B54D-B67BEEEC54DD</t>
  </si>
  <si>
    <t>Polyurethan (PUR/PIR)</t>
  </si>
  <si>
    <t>91.039</t>
  </si>
  <si>
    <t>Entsorgung, Wäremdämmstoffe Polyurethan</t>
  </si>
  <si>
    <t>Polyuréthane (PUR/PIR)</t>
  </si>
  <si>
    <r>
      <rPr>
        <sz val="10"/>
        <color rgb="FFFF0000"/>
        <rFont val="Arial"/>
        <family val="2"/>
      </rPr>
      <t>Élimination, isolant thermique de polyuréthane</t>
    </r>
  </si>
  <si>
    <t>10.006.01</t>
  </si>
  <si>
    <t>575A32F0-D99A-4ADE-A360-8E770639A5E3</t>
  </si>
  <si>
    <t>Polyurethan, SwissporPIR</t>
  </si>
  <si>
    <t>Polyuréthane, SwissporPIR</t>
  </si>
  <si>
    <t>328C6FA7-DA92-462A-9CC7-6D0DB5CCE2D3</t>
  </si>
  <si>
    <t>Schaumglas</t>
  </si>
  <si>
    <t>100-165</t>
  </si>
  <si>
    <t>10.007.01</t>
  </si>
  <si>
    <t>6bbf201f-48e8-4866-9dff-f6f2e3105ec6</t>
  </si>
  <si>
    <t>Schaumglas, GLAPOR</t>
  </si>
  <si>
    <t>Verre cellulaire, GLAPOR</t>
  </si>
  <si>
    <t>10.013</t>
  </si>
  <si>
    <t>BEB5B222-85E0-44DB-891D-851DF16EEA31</t>
  </si>
  <si>
    <t>Schaumglasschotter</t>
  </si>
  <si>
    <t>125-150</t>
  </si>
  <si>
    <t>Gravier de verre cellulaire</t>
  </si>
  <si>
    <t>10.013.01</t>
  </si>
  <si>
    <t>62F9139A-7A1D-40DD-90F8-38B52AF993C4</t>
  </si>
  <si>
    <t>Schaumglasschotter, Misapor</t>
  </si>
  <si>
    <t>Gravier de verre cellulaire, Misapor</t>
  </si>
  <si>
    <t>A3BBA042-97AF-4B5C-AF00-E049CEF1A557</t>
  </si>
  <si>
    <t>Steinwolle</t>
  </si>
  <si>
    <t>32-160</t>
  </si>
  <si>
    <t>10.008.01</t>
  </si>
  <si>
    <t>194F45E4-A08A-427B-A490-999934D5D610</t>
  </si>
  <si>
    <t>Steinwolle, Flumroc</t>
  </si>
  <si>
    <t>Laine de roche, Flumroc</t>
  </si>
  <si>
    <t>10.015</t>
  </si>
  <si>
    <t>92766C16-5D0D-44ED-9F92-C15AA32DECCE</t>
  </si>
  <si>
    <t>Strohballenwand</t>
  </si>
  <si>
    <t>91.122</t>
  </si>
  <si>
    <t>Entsorgungsmix, Strohballenwand</t>
  </si>
  <si>
    <t>Botte de paille pour la construction</t>
  </si>
  <si>
    <r>
      <rPr>
        <sz val="10"/>
        <rFont val="Arial"/>
        <family val="2"/>
      </rPr>
      <t>Élimination, mur en botte de paille</t>
    </r>
  </si>
  <si>
    <t>10.009</t>
  </si>
  <si>
    <t>B9689582-8BDE-4FE1-849D-BBBED840E410</t>
  </si>
  <si>
    <t>Weichfaserplatte</t>
  </si>
  <si>
    <t>91.051</t>
  </si>
  <si>
    <t>Entsorgung, Weichfaserplatte</t>
  </si>
  <si>
    <t>Panneau de fibres mou</t>
  </si>
  <si>
    <r>
      <rPr>
        <sz val="10"/>
        <color rgb="FFFF0000"/>
        <rFont val="Arial"/>
        <family val="2"/>
      </rPr>
      <t>Élimination, panneau de fibres souple</t>
    </r>
  </si>
  <si>
    <t>858771D5-96F5-42C9-AEE3-51D3BE1879F7</t>
  </si>
  <si>
    <t>Zellulosefasern</t>
  </si>
  <si>
    <t>91.046</t>
  </si>
  <si>
    <t>Entsorgung, Papier</t>
  </si>
  <si>
    <t>35-60</t>
  </si>
  <si>
    <t>Fibres de cellulose (soufflées)</t>
  </si>
  <si>
    <r>
      <rPr>
        <sz val="10"/>
        <color rgb="FFFF0000"/>
        <rFont val="Arial"/>
        <family val="2"/>
      </rPr>
      <t>Élimination, papier</t>
    </r>
  </si>
  <si>
    <t>10.010.01</t>
  </si>
  <si>
    <t>1F31C383-B2A1-490D-AB0F-B3EA2A24D804</t>
  </si>
  <si>
    <t>Zellulosefasern, Isofloc</t>
  </si>
  <si>
    <t>Fibres de cellulose (soufflées), Isofloc</t>
  </si>
  <si>
    <t>11</t>
  </si>
  <si>
    <t>Bodenbeläge</t>
  </si>
  <si>
    <t>Revêtements de sol</t>
  </si>
  <si>
    <t>11.001</t>
  </si>
  <si>
    <t>D5660BDD-EC47-4D6A-B3C1-3EA06F77EA89</t>
  </si>
  <si>
    <t>2K-Fliessbelag Industrie (Epoxidharz), 2.25 mm</t>
  </si>
  <si>
    <t>91.002</t>
  </si>
  <si>
    <t>Entsorgung, 2K-Fliessbelag Industrie</t>
  </si>
  <si>
    <t>Revêtement coulé à 2 comp., industrie (résine époxy), 2,25 mm</t>
  </si>
  <si>
    <r>
      <rPr>
        <sz val="10"/>
        <color rgb="FFFF0000"/>
        <rFont val="Arial"/>
        <family val="2"/>
      </rPr>
      <t>Élimination, revêtement coulé à 2 comp. industrie</t>
    </r>
  </si>
  <si>
    <t>11.002</t>
  </si>
  <si>
    <t>4E8C7D2C-2FC7-4E38-AB39-049E58E9CFCC</t>
  </si>
  <si>
    <t>2K-Fliessbelag Wohnen/Verwaltung (Epoxidharz, PU), 2 mm</t>
  </si>
  <si>
    <t>91.003</t>
  </si>
  <si>
    <t>Entsorgung, 2K-Fliessbelag Wohnen</t>
  </si>
  <si>
    <t>Revêtement coulé à 2 comp., habitation/admin. (résine époxy PU), 2 mm</t>
  </si>
  <si>
    <r>
      <rPr>
        <sz val="10"/>
        <color rgb="FFFF0000"/>
        <rFont val="Arial"/>
        <family val="2"/>
      </rPr>
      <t>Élimination, revêtement coulé à 2 comp. Habitation</t>
    </r>
  </si>
  <si>
    <t>11.003</t>
  </si>
  <si>
    <t>2F71DB77-CF3D-49DC-8DCA-C25203ED860B</t>
  </si>
  <si>
    <t>Gummigranulat versiegelt, 7.5 mm</t>
  </si>
  <si>
    <t>91.004</t>
  </si>
  <si>
    <t>Entsorgung, Bodenbelag organisch, Gummigranulat</t>
  </si>
  <si>
    <t>Caoutchouc granulé, vitrifié, 7,5 mm</t>
  </si>
  <si>
    <r>
      <rPr>
        <sz val="10"/>
        <color rgb="FFFF0000"/>
        <rFont val="Arial"/>
        <family val="2"/>
      </rPr>
      <t>Élimination, revêtement organique, granulés de caoutchouc</t>
    </r>
  </si>
  <si>
    <t>11.004</t>
  </si>
  <si>
    <t>B0C749DA-292B-417D-8E38-65766E052FBC</t>
  </si>
  <si>
    <t>Gussasphalt, 27.5 mm</t>
  </si>
  <si>
    <t>91.001</t>
  </si>
  <si>
    <t>Entsorgung, Asphalt, 0.1% Wasser, in Reaktordeponie</t>
  </si>
  <si>
    <t>Asphalte coulé, 27,5 mm</t>
  </si>
  <si>
    <r>
      <rPr>
        <sz val="10"/>
        <color rgb="FFFF0000"/>
        <rFont val="Arial"/>
        <family val="2"/>
      </rPr>
      <t>Élimination, asphalte, 0,1 % d</t>
    </r>
    <r>
      <rPr>
        <sz val="10"/>
        <color rgb="FFFF0000"/>
        <rFont val="Arial"/>
        <family val="2"/>
      </rPr>
      <t>'eau, dans une décharge bioactive</t>
    </r>
  </si>
  <si>
    <t>FC78B567-FFF2-432F-98A2-07A1420AA8BD</t>
  </si>
  <si>
    <t>Hartbeton einschichtig, 27.5 mm</t>
  </si>
  <si>
    <t>91.005</t>
  </si>
  <si>
    <t>Entsorgung, Bodenbelag, Hartbeton einschichtig</t>
  </si>
  <si>
    <r>
      <rPr>
        <sz val="10"/>
        <color rgb="FFFF0000"/>
        <rFont val="Arial"/>
        <family val="2"/>
      </rPr>
      <t>Élimination, revêtement, béton dur, 1 couche</t>
    </r>
  </si>
  <si>
    <t>11.006</t>
  </si>
  <si>
    <t>160EF365-BB74-41C8-AF40-5256811D83C3</t>
  </si>
  <si>
    <t>Hartbeton zweischichtig, 35 mm</t>
  </si>
  <si>
    <t>91.006</t>
  </si>
  <si>
    <t>Entsorgung, Bodenbelag, Hartbeton zweischichtig</t>
  </si>
  <si>
    <t>Béton dur, 2 couches, 35 mm</t>
  </si>
  <si>
    <r>
      <rPr>
        <sz val="10"/>
        <color rgb="FFFF0000"/>
        <rFont val="Arial"/>
        <family val="2"/>
      </rPr>
      <t>Élimination, revêtement, béton dur, 2 couches</t>
    </r>
  </si>
  <si>
    <t>11.007</t>
  </si>
  <si>
    <t>63EE2517-0078-4246-B833-08D253528653</t>
  </si>
  <si>
    <t>Kautschuk, 2 mm</t>
  </si>
  <si>
    <t>91.007</t>
  </si>
  <si>
    <t>Entsorgung, Bodenbelag, Kautschuk</t>
  </si>
  <si>
    <t>Caoutchouc, 2 mm</t>
  </si>
  <si>
    <r>
      <rPr>
        <sz val="10"/>
        <color rgb="FFFF0000"/>
        <rFont val="Arial"/>
        <family val="2"/>
      </rPr>
      <t>Élimination, revêtement, caoutchouc</t>
    </r>
  </si>
  <si>
    <t>414EEBBE-85C4-4869-A411-29C0097ADA38</t>
  </si>
  <si>
    <t>Keramik-/Steinzeugplatte, 9 mm</t>
  </si>
  <si>
    <t>91.152</t>
  </si>
  <si>
    <t>Entsorgung, Keramikziegel</t>
  </si>
  <si>
    <r>
      <rPr>
        <sz val="10"/>
        <color rgb="FFFF0000"/>
        <rFont val="Arial"/>
        <family val="2"/>
      </rPr>
      <t>Élimination, tuiles en céramique</t>
    </r>
  </si>
  <si>
    <t>11.009</t>
  </si>
  <si>
    <t>09B8473A-DDB4-42D4-977E-C9CA914B54AC</t>
  </si>
  <si>
    <t>Kork Fertigparkett, 10.5 mm</t>
  </si>
  <si>
    <t>91.008</t>
  </si>
  <si>
    <t>Entsorgung, Korkparkett</t>
  </si>
  <si>
    <t>Parquet préfabriqué en liège, 10,5 mm</t>
  </si>
  <si>
    <r>
      <rPr>
        <sz val="10"/>
        <color rgb="FFFF0000"/>
        <rFont val="Arial"/>
        <family val="2"/>
      </rPr>
      <t>Élimination, parquet en liège</t>
    </r>
  </si>
  <si>
    <t>11.010</t>
  </si>
  <si>
    <t>BF645614-152F-4820-8AA9-45B474C60CE2</t>
  </si>
  <si>
    <t>Kork PVC-beschichtet, 3.2 mm</t>
  </si>
  <si>
    <t>91.009</t>
  </si>
  <si>
    <t>Entsorgung, Bodenbelag, Kork PVC-beschichtet</t>
  </si>
  <si>
    <t xml:space="preserve">Parquet en liège, revêtement PVC, 3,2 mm </t>
  </si>
  <si>
    <r>
      <rPr>
        <sz val="10"/>
        <color rgb="FFFF0000"/>
        <rFont val="Arial"/>
        <family val="2"/>
      </rPr>
      <t>Élimination, revêtement, liège, revêtement PVC</t>
    </r>
  </si>
  <si>
    <t>11.011</t>
  </si>
  <si>
    <t>32D89BCF-BBDA-4EC1-B2B8-E4EE731B5D82</t>
  </si>
  <si>
    <t>Korkparkett geölt/versiegelt, 5.3 mm</t>
  </si>
  <si>
    <t xml:space="preserve">Parquet en liège, huilé et vitrifié, 5,3 mm </t>
  </si>
  <si>
    <t>11.012</t>
  </si>
  <si>
    <t>D6E43E7F-94A3-46BC-8327-A37DC2283E3A</t>
  </si>
  <si>
    <t>Kunststeinplatte zementgebunden, 10 mm</t>
  </si>
  <si>
    <t>91.153</t>
  </si>
  <si>
    <t>Entsorgung, Kunststeinziegel</t>
  </si>
  <si>
    <t>Dalle en pierre artificielle, liée au ciment, 10 mm</t>
  </si>
  <si>
    <r>
      <rPr>
        <sz val="10"/>
        <color rgb="FFFF0000"/>
        <rFont val="Arial"/>
        <family val="2"/>
      </rPr>
      <t>Élimination, tuiles en pierre artificielle</t>
    </r>
  </si>
  <si>
    <t>11.013</t>
  </si>
  <si>
    <t>927E7BE7-E17F-4B77-B6A5-F1E755ED4C9D</t>
  </si>
  <si>
    <t>Laminat, 8.5 mm</t>
  </si>
  <si>
    <t>91.011</t>
  </si>
  <si>
    <t>Entsorgung, Laminat, 5% Bindemittel</t>
  </si>
  <si>
    <t>Stratifiés, 8,5 mm</t>
  </si>
  <si>
    <r>
      <rPr>
        <sz val="10"/>
        <color rgb="FFFF0000"/>
        <rFont val="Arial"/>
        <family val="2"/>
      </rPr>
      <t>Élimination, revêtement, stratifiés, agent liant 5 %</t>
    </r>
  </si>
  <si>
    <t>219ECD16-D974-452B-9D34-CB93A1C2087D</t>
  </si>
  <si>
    <t>Linoleum, 2.5 mm</t>
  </si>
  <si>
    <t>91.012</t>
  </si>
  <si>
    <t>Entsorgung, Linoleum, 15% Bindemittel</t>
  </si>
  <si>
    <t>Linoléum, 2,5 mm</t>
  </si>
  <si>
    <r>
      <rPr>
        <sz val="10"/>
        <color rgb="FFFF0000"/>
        <rFont val="Arial"/>
        <family val="2"/>
      </rPr>
      <t>Élimination, revêtement, linoléum, agent liant 15 %</t>
    </r>
  </si>
  <si>
    <t>11.015</t>
  </si>
  <si>
    <t>A94BDF7C-82AA-49BB-A7D8-BA6C9DE53D49</t>
  </si>
  <si>
    <t>Natursteinplatte geschliffen, 15 mm</t>
  </si>
  <si>
    <t>91.154</t>
  </si>
  <si>
    <t>Entsorgung, Natursteinziegel</t>
  </si>
  <si>
    <t>Dalle en pierre naturelle rectifiée, 15 mm</t>
  </si>
  <si>
    <r>
      <rPr>
        <sz val="10"/>
        <color rgb="FFFF0000"/>
        <rFont val="Arial"/>
        <family val="2"/>
      </rPr>
      <t>Élimination, tuiles en pierre naturelle</t>
    </r>
  </si>
  <si>
    <t>11.015.01</t>
  </si>
  <si>
    <t>C5248FB7-477A-414E-9767-D520A592AD8F</t>
  </si>
  <si>
    <t>Natursteinplatte geschliffen, Europa, 15 mm</t>
  </si>
  <si>
    <t>Dalle en pierre naturelle rectifiée, Europe, 15 mm</t>
  </si>
  <si>
    <t>11.015.02</t>
  </si>
  <si>
    <t>31E6D875-1CEC-4AB8-BA9F-4515F540EF64</t>
  </si>
  <si>
    <t>Natursteinplatte geschliffen, Schweiz, 15 mm</t>
  </si>
  <si>
    <t>Dalle en pierre naturelle rectifiée, Suisse, 15 mm</t>
  </si>
  <si>
    <t>11.015.03</t>
  </si>
  <si>
    <t>8248313F-D90D-4DE8-B4A4-B9DBE3FD1D47</t>
  </si>
  <si>
    <t>Natursteinplatte geschliffen, Übersee, 15 mm</t>
  </si>
  <si>
    <t>Dalle en pierre naturelle rectifiée, d'outre-mer, 15 mm</t>
  </si>
  <si>
    <t>11.016</t>
  </si>
  <si>
    <t>09C392C6-F1C7-421F-B4DA-536C97AB36C7</t>
  </si>
  <si>
    <t>Natursteinplatte geschnitten, 15 mm</t>
  </si>
  <si>
    <t>Dalle en pierre naturelle coupée, 15 mm</t>
  </si>
  <si>
    <t>11.017</t>
  </si>
  <si>
    <t>09098784-8F4C-4C60-BD8D-39EB2145D8C4</t>
  </si>
  <si>
    <t>Natursteinplatte poliert, 15 mm</t>
  </si>
  <si>
    <t>Dalle en pierre naturelle polie, 15 mm</t>
  </si>
  <si>
    <t>E7E6539A-A99C-41CA-B367-9F23E95AB60B</t>
  </si>
  <si>
    <t>Parkett 2-Schicht werkversiegelt, 11 mm</t>
  </si>
  <si>
    <t>91.013</t>
  </si>
  <si>
    <t>Entsorgung, Holzparkett, 2-Schicht</t>
  </si>
  <si>
    <r>
      <rPr>
        <sz val="10"/>
        <color rgb="FFFF0000"/>
        <rFont val="Arial"/>
        <family val="2"/>
      </rPr>
      <t>Élimination, revêtement, parquet 2 plis</t>
    </r>
  </si>
  <si>
    <t>11.019</t>
  </si>
  <si>
    <t>3A16EE50-78D2-41C3-B04C-081938045128</t>
  </si>
  <si>
    <t>Parkett 3-Schicht werkversiegelt, 15 mm</t>
  </si>
  <si>
    <t>91.014</t>
  </si>
  <si>
    <t>Entsorgung, Holzparkett, 3-Schicht</t>
  </si>
  <si>
    <t>Parquet, 3 plis, vitrifié d'usine, 15 mm</t>
  </si>
  <si>
    <r>
      <rPr>
        <sz val="10"/>
        <color rgb="FFFF0000"/>
        <rFont val="Arial"/>
        <family val="2"/>
      </rPr>
      <t>Élimination, revêtement, parquet 3 plis</t>
    </r>
  </si>
  <si>
    <t>11.020</t>
  </si>
  <si>
    <t>3CBF6DF7-FB0E-43EC-B297-DFBA6B9E4283</t>
  </si>
  <si>
    <t>Parkett Mosaik werkversiegelt, 8 mm</t>
  </si>
  <si>
    <t>91.015</t>
  </si>
  <si>
    <t>Entsorgung, Holzparkett Mosaik</t>
  </si>
  <si>
    <t>Parquet type mosaïque, vitrifié d'usine, 8 mm</t>
  </si>
  <si>
    <r>
      <rPr>
        <sz val="10"/>
        <color rgb="FFFF0000"/>
        <rFont val="Arial"/>
        <family val="2"/>
      </rPr>
      <t>Élimination, revêtement, parquet mosaïque</t>
    </r>
  </si>
  <si>
    <t>11.021</t>
  </si>
  <si>
    <t>07714EA8-1659-4E92-BF5B-CE52120C7B4F</t>
  </si>
  <si>
    <t>PVC homogen, 2 mm</t>
  </si>
  <si>
    <t>91.016</t>
  </si>
  <si>
    <t>Entsorgung, Kunststoffe, PVC</t>
  </si>
  <si>
    <t>PVC homogène, 2 mm</t>
  </si>
  <si>
    <r>
      <rPr>
        <sz val="10"/>
        <color rgb="FFFF0000"/>
        <rFont val="Arial"/>
        <family val="2"/>
      </rPr>
      <t>Élimination, plastique, PVC</t>
    </r>
  </si>
  <si>
    <t>11.022</t>
  </si>
  <si>
    <t>9C7A2743-77DD-4CE8-B1C7-A412157B907C</t>
  </si>
  <si>
    <t>Steinholz versiegelt, 16.5 mm</t>
  </si>
  <si>
    <t>91.017</t>
  </si>
  <si>
    <t>Entsorgung, Steinholzboden</t>
  </si>
  <si>
    <t>Xylolithe, vitrifié, 16.5 mm</t>
  </si>
  <si>
    <r>
      <rPr>
        <sz val="10"/>
        <color rgb="FFFF0000"/>
        <rFont val="Arial"/>
        <family val="2"/>
      </rPr>
      <t>Élimination, revêtement de sol de xylolithe</t>
    </r>
  </si>
  <si>
    <t>11.023</t>
  </si>
  <si>
    <t>C8140CBD-C5D3-40B0-9AEF-498C98AD7909</t>
  </si>
  <si>
    <t>Synthetische thermoplastische Beläge (TPO), 2 mm</t>
  </si>
  <si>
    <t>91.018</t>
  </si>
  <si>
    <t>Entsorgung, synthetische thermoplastische Beläge (TPO)</t>
  </si>
  <si>
    <t>Revêtements synthétiques, thermoplastiques (POT), 2 mm</t>
  </si>
  <si>
    <r>
      <rPr>
        <sz val="10"/>
        <color rgb="FFFF0000"/>
        <rFont val="Arial"/>
        <family val="2"/>
      </rPr>
      <t>Élimination, revêtements synthétiques, thermoplastiques (POT)</t>
    </r>
  </si>
  <si>
    <t>11.024</t>
  </si>
  <si>
    <t>92E45A3D-900C-4492-ADA8-61B2DD0019C8</t>
  </si>
  <si>
    <t>Teppich Kunstfaser getuftet</t>
  </si>
  <si>
    <t>91.019</t>
  </si>
  <si>
    <t>Entsorgung, Teppich Kunstfaser getuftet</t>
  </si>
  <si>
    <t>Moquette en fibres synthétiques, tuftée</t>
  </si>
  <si>
    <r>
      <rPr>
        <sz val="10"/>
        <color rgb="FFFF0000"/>
        <rFont val="Arial"/>
        <family val="2"/>
      </rPr>
      <t>Élimination, moquette en fibres synthétiques, tuftée</t>
    </r>
  </si>
  <si>
    <t>11.025</t>
  </si>
  <si>
    <t>E5FD6450-C5AC-4847-BCCD-D0F029C154E6</t>
  </si>
  <si>
    <t>Teppich Nadelfilz</t>
  </si>
  <si>
    <t>91.020</t>
  </si>
  <si>
    <t>Entsorgung, Teppich Nadelfilz</t>
  </si>
  <si>
    <t>Moquette en feutre aiguilleté</t>
  </si>
  <si>
    <r>
      <rPr>
        <sz val="10"/>
        <color rgb="FFFF0000"/>
        <rFont val="Arial"/>
        <family val="2"/>
      </rPr>
      <t>Élimination, moquette en feutre aiguilleté</t>
    </r>
  </si>
  <si>
    <t>11.026</t>
  </si>
  <si>
    <t>9C22D41F-BB8A-428D-A09A-853D819ABCDF</t>
  </si>
  <si>
    <t>Teppich Naturfaser</t>
  </si>
  <si>
    <t>91.021</t>
  </si>
  <si>
    <t>Entsorgung, Teppich Naturfaser</t>
  </si>
  <si>
    <t>Moquette en fibres naturelles</t>
  </si>
  <si>
    <r>
      <rPr>
        <sz val="10"/>
        <color rgb="FFFF0000"/>
        <rFont val="Arial"/>
        <family val="2"/>
      </rPr>
      <t>Élimination, moquette en fibres naturelles</t>
    </r>
  </si>
  <si>
    <t>11.027</t>
  </si>
  <si>
    <t>3C9838E9-2A6B-46EF-B6B7-E310A1B0A6B8</t>
  </si>
  <si>
    <t>Terrazzo versiegelt, 40 mm</t>
  </si>
  <si>
    <t>91.022</t>
  </si>
  <si>
    <t>Entsorgung, Terrazzo</t>
  </si>
  <si>
    <t>Terrazzo vitrifié, 40 mm</t>
  </si>
  <si>
    <r>
      <rPr>
        <sz val="10"/>
        <color rgb="FFFF0000"/>
        <rFont val="Arial"/>
        <family val="2"/>
      </rPr>
      <t>Élimination, terrazzo</t>
    </r>
  </si>
  <si>
    <t>12</t>
  </si>
  <si>
    <t>Türen</t>
  </si>
  <si>
    <t>35881663-8dbf-472c-8690-957d157a54a2</t>
  </si>
  <si>
    <t>91.162</t>
  </si>
  <si>
    <t>Entsorgung, Aussentüre, Aluminium, Glaseinsatz</t>
  </si>
  <si>
    <r>
      <rPr>
        <sz val="10"/>
        <color rgb="FFFF0000"/>
        <rFont val="Arial"/>
        <family val="2"/>
      </rPr>
      <t>Élimination, porte extérieure, aluminium, plaque de verre</t>
    </r>
  </si>
  <si>
    <t>12.006</t>
  </si>
  <si>
    <t>2c4d1c2a-496b-4d2f-8e9f-ce621e4a1afb</t>
  </si>
  <si>
    <t>Aussentüre, Aluminium, Paneelfüllung</t>
  </si>
  <si>
    <t>91.163</t>
  </si>
  <si>
    <t>Entsorgung, Aussentüre, Aluminium, Paneelfüllung</t>
  </si>
  <si>
    <t>Portes extérieures aluminium, avec panneau</t>
  </si>
  <si>
    <r>
      <rPr>
        <sz val="10"/>
        <color rgb="FFFF0000"/>
        <rFont val="Arial"/>
        <family val="2"/>
      </rPr>
      <t>Élimination, porte extérieure, aluminium, remplissage des panneaux</t>
    </r>
  </si>
  <si>
    <t>12.008</t>
  </si>
  <si>
    <t>ff27a77b-badc-4527-9373-29f79906804c</t>
  </si>
  <si>
    <t>Aussentüre, Holz</t>
  </si>
  <si>
    <t>91.164</t>
  </si>
  <si>
    <t>Entsorgung, Gebäude, Aussentüre, Holz</t>
  </si>
  <si>
    <t>Portes extérieures bois</t>
  </si>
  <si>
    <r>
      <rPr>
        <sz val="10"/>
        <color rgb="FFFF0000"/>
        <rFont val="Arial"/>
        <family val="2"/>
      </rPr>
      <t>Élimination, bâtiment, porte extérieure, bois</t>
    </r>
  </si>
  <si>
    <t>12.001</t>
  </si>
  <si>
    <t>4C49FCC1-4EF1-41DC-8754-E19D12D113FA</t>
  </si>
  <si>
    <t>Aussentüre, Holz, aluminiumbeplankt</t>
  </si>
  <si>
    <t>91.024</t>
  </si>
  <si>
    <t>Entsorgung, Gebäude, Aussentüre, Holz-Aluminium</t>
  </si>
  <si>
    <t xml:space="preserve">Portes extérieures bois, doublées alu </t>
  </si>
  <si>
    <r>
      <rPr>
        <sz val="10"/>
        <color rgb="FFFF0000"/>
        <rFont val="Arial"/>
        <family val="2"/>
      </rPr>
      <t>Élimination, bâtiment, portes extérieures bois-aluminium</t>
    </r>
  </si>
  <si>
    <t>12.002</t>
  </si>
  <si>
    <t>1B535A14-092B-4B01-9882-459671D72379</t>
  </si>
  <si>
    <t>Aussentüre, Holz, Glaseinsatz</t>
  </si>
  <si>
    <t>91.025</t>
  </si>
  <si>
    <t>Entsorgung, Gebäude, Aussentüre, Holz-Glas</t>
  </si>
  <si>
    <t>Portes extérieures bois, avec vitrage</t>
  </si>
  <si>
    <r>
      <rPr>
        <sz val="10"/>
        <color rgb="FFFF0000"/>
        <rFont val="Arial"/>
        <family val="2"/>
      </rPr>
      <t>Élimination, bâtiment, portes extérieures bois-verre</t>
    </r>
  </si>
  <si>
    <t>12.007</t>
  </si>
  <si>
    <t>70161147-1156-4b2d-b954-d6592929a8ef</t>
  </si>
  <si>
    <t>Innentüre, Aluminium, Glaseinsatz</t>
  </si>
  <si>
    <t>91.165</t>
  </si>
  <si>
    <t>Entsorgung, Innentüre, Aluminium, Glaseinsatz</t>
  </si>
  <si>
    <t>Portes intérieures aluminium, avec vitrage</t>
  </si>
  <si>
    <r>
      <rPr>
        <sz val="10"/>
        <color rgb="FFFF0000"/>
        <rFont val="Arial"/>
        <family val="2"/>
      </rPr>
      <t>Élimination, porte intérieure, aluminium, vitrage</t>
    </r>
  </si>
  <si>
    <t>bfa8d003-c41c-4c53-9875-5c924683a1d2</t>
  </si>
  <si>
    <t>Innentüre, Funktionstüre, Holz, Holzrahmen</t>
  </si>
  <si>
    <t>91.166</t>
  </si>
  <si>
    <t>Entsorgung, Gebäude, Funktionstüre, Holz, Holzrahmen</t>
  </si>
  <si>
    <t>Porte intérieure, porte fonctionnelle, bois, cadre en bois</t>
  </si>
  <si>
    <r>
      <rPr>
        <sz val="10"/>
        <color rgb="FFFF0000"/>
        <rFont val="Arial"/>
        <family val="2"/>
      </rPr>
      <t>Élimination, bâtiment, porte fonctionnelle, bois, cadre en bois</t>
    </r>
  </si>
  <si>
    <t>12.012</t>
  </si>
  <si>
    <t>0be05dde-ba72-4acc-bf8d-278e526584d7</t>
  </si>
  <si>
    <t>Innentüre, Funktionstüre, Holz, Stahlzarge</t>
  </si>
  <si>
    <t>91.167</t>
  </si>
  <si>
    <t>Entsorgung, Gebäude, Funktionstüre, Holz, Stahlzarge</t>
  </si>
  <si>
    <t>Porte intérieure, porte fonctionnelle, bois, huisserie en acier</t>
  </si>
  <si>
    <r>
      <rPr>
        <sz val="10"/>
        <color rgb="FFFF0000"/>
        <rFont val="Arial"/>
        <family val="2"/>
      </rPr>
      <t>Élimination, bâtiment, porte fonctionnelle, bois, cadre en acier</t>
    </r>
  </si>
  <si>
    <t>12.004</t>
  </si>
  <si>
    <t>A1868DC5-9456-4291-865A-499B33A5FCD1</t>
  </si>
  <si>
    <t>Innentüre, Zimmertüre, Holz, Glaseinsatz, Holzrahmen</t>
  </si>
  <si>
    <t>91.034</t>
  </si>
  <si>
    <t>Entsorgung, Gebäude, Innentüre, Holz, Glaseinsatz, Holzrahmen</t>
  </si>
  <si>
    <t>Porte intérieure, porte de chambre, bois, vitrage, cadre en bois</t>
  </si>
  <si>
    <r>
      <rPr>
        <sz val="10"/>
        <color rgb="FFFF0000"/>
        <rFont val="Arial"/>
        <family val="2"/>
      </rPr>
      <t>Élimination, bâtiment, portes intérieures bois-verre</t>
    </r>
  </si>
  <si>
    <t>12.011</t>
  </si>
  <si>
    <t>baf5dab7-6a2d-47f6-a64c-867e2227b969</t>
  </si>
  <si>
    <t>Innentüre, Zimmertüre, Holz, Glaseinsatz, Stahlzarge</t>
  </si>
  <si>
    <t>91.168</t>
  </si>
  <si>
    <t>Entsorgung, Gebäude, Innentüre, Holz, Glaseinsatz, Stahlzarge</t>
  </si>
  <si>
    <t>Porte intérieure, porte de chambre, bois, vitrage, huisserie en acier</t>
  </si>
  <si>
    <r>
      <rPr>
        <sz val="10"/>
        <color rgb="FFFF0000"/>
        <rFont val="Arial"/>
        <family val="2"/>
      </rPr>
      <t>Élimination, bâtiment, porte intérieure, bois, vitrage, cadre en acier</t>
    </r>
  </si>
  <si>
    <t>12.003</t>
  </si>
  <si>
    <t>767D89CB-9927-4BDD-ACD3-FCC79C32B97E</t>
  </si>
  <si>
    <t>Innentüre, Zimmertüre, Holz, Holzrahmen</t>
  </si>
  <si>
    <t>91.035</t>
  </si>
  <si>
    <t>Entsorgung, Gebäude, Innentüre, Holz, Holzrahmen</t>
  </si>
  <si>
    <t>Porte intérieure, porte de chambre, bois, cadre en bois</t>
  </si>
  <si>
    <r>
      <rPr>
        <sz val="10"/>
        <color rgb="FFFF0000"/>
        <rFont val="Arial"/>
        <family val="2"/>
      </rPr>
      <t>Élimination, bâtiment, portes intérieures bois, cadre en bois</t>
    </r>
  </si>
  <si>
    <t>12.010</t>
  </si>
  <si>
    <t>0ea0aaec-c7a6-42ab-97cb-d02848277eb6</t>
  </si>
  <si>
    <t>Innentüre, Zimmertüre, Holz, Stahlzarge</t>
  </si>
  <si>
    <t>91.169</t>
  </si>
  <si>
    <t>Entsorgung, Gebäude, Innentüre, Holz, Stahlzarge</t>
  </si>
  <si>
    <t>Porte intérieure, porte de chambre, bois, huisserie en acier</t>
  </si>
  <si>
    <r>
      <rPr>
        <sz val="10"/>
        <color rgb="FFFF0000"/>
        <rFont val="Arial"/>
        <family val="2"/>
      </rPr>
      <t>Élimination, bâtiment, porte intérieure, bois, cadre en acier</t>
    </r>
  </si>
  <si>
    <t xml:space="preserve">Türrechner: mit dem Türrechner (https://treeze.ch/de/rechner) können Umweltkennwerte von Türen mit projektspezifischen Abmessungen und Eigenschaften berechnet werden.                      
</t>
  </si>
  <si>
    <t>Calculateur de porte: le calculateur de porte (https://treeze.ch/fileadmin/user_upload/calculators/T%C3%BCrrechner_FR/T%C3%BCrrechner_FR.htm) permet de calculer les données environnementales des portes avec des dimensions et des caractéristiques spécifiques au projet.</t>
  </si>
  <si>
    <t>13</t>
  </si>
  <si>
    <t>Rohre</t>
  </si>
  <si>
    <t>Tuyaux</t>
  </si>
  <si>
    <t>13.001</t>
  </si>
  <si>
    <t>D145CC3E-3828-487D-8C94-C2CDC23BF922</t>
  </si>
  <si>
    <t>Acrylnitril-Butadien-Styrol (ABS)</t>
  </si>
  <si>
    <t>91.155</t>
  </si>
  <si>
    <t>Entsorgung, Kunststoff-Rohre, ABS</t>
  </si>
  <si>
    <t>Acrylonitril-butadiène-styrène (ABS)</t>
  </si>
  <si>
    <r>
      <rPr>
        <sz val="10"/>
        <color rgb="FFFF0000"/>
        <rFont val="Arial"/>
        <family val="2"/>
      </rPr>
      <t>Élimination, tuyaux en plastique, ABS</t>
    </r>
  </si>
  <si>
    <t>13.005</t>
  </si>
  <si>
    <t>BF5ADE50-BDAD-419B-B7E5-9A3F7F6938A3</t>
  </si>
  <si>
    <t>Gusseisen</t>
  </si>
  <si>
    <t>Fer de fonte</t>
  </si>
  <si>
    <t>0DB3712B-3B7E-44BB-B56C-A49DDED3D465</t>
  </si>
  <si>
    <t>Polyethylen (PE)</t>
  </si>
  <si>
    <t>91.174</t>
  </si>
  <si>
    <t>Entsorgung, Kunststoffrohre, PE oder PP</t>
  </si>
  <si>
    <t>Polyéthylène (HDPE)</t>
  </si>
  <si>
    <r>
      <rPr>
        <sz val="10"/>
        <color rgb="FFFF0000"/>
        <rFont val="Arial"/>
        <family val="2"/>
      </rPr>
      <t>Élimination, tuyau plastique en PE ou PP</t>
    </r>
  </si>
  <si>
    <t>13.003</t>
  </si>
  <si>
    <t>92B2EFB8-9F95-47EC-963D-114CBE430246</t>
  </si>
  <si>
    <t>Polypropylen (PP)</t>
  </si>
  <si>
    <t>Polypropylène (PP)</t>
  </si>
  <si>
    <t>5A6449C2-62A0-4A42-BF6D-F1E33F5F9480</t>
  </si>
  <si>
    <t>Polyvinylchlorid (PVC)</t>
  </si>
  <si>
    <t>91.156</t>
  </si>
  <si>
    <t>Entsorgung, Kunststoff-Rohre, PVC</t>
  </si>
  <si>
    <t>Chlorure de polyvinyle (PVC)</t>
  </si>
  <si>
    <r>
      <rPr>
        <sz val="10"/>
        <color rgb="FFFF0000"/>
        <rFont val="Arial"/>
        <family val="2"/>
      </rPr>
      <t>Élimination, tuyau plastique en PVC</t>
    </r>
  </si>
  <si>
    <t>14</t>
  </si>
  <si>
    <t>Anstrichstoffe, Beschichtungen</t>
  </si>
  <si>
    <t>Enduits et revêtements</t>
  </si>
  <si>
    <t>14.002</t>
  </si>
  <si>
    <t>07DD2F56-133A-4FBF-A39B-1D374248EB2A</t>
  </si>
  <si>
    <t>Anstrich, lösemittelverdünnbar, 2 Anstriche</t>
  </si>
  <si>
    <t>91.023</t>
  </si>
  <si>
    <t>Entsorgung, Farbe, 2 Schichten</t>
  </si>
  <si>
    <t>Enduit, diluable au solvant, 2 couches</t>
  </si>
  <si>
    <r>
      <rPr>
        <sz val="10"/>
        <color rgb="FFFF0000"/>
        <rFont val="Arial"/>
        <family val="2"/>
      </rPr>
      <t>Élimination, peinture sur bois, 2 couches</t>
    </r>
  </si>
  <si>
    <t>10ACA0B7-B75D-4F51-A3AB-976B923ACA8A</t>
  </si>
  <si>
    <t>Anstrich, wasserverdünnbar, 2 Anstriche</t>
  </si>
  <si>
    <t>1165EF5A-E1A2-4C0D-9307-622DEE107999</t>
  </si>
  <si>
    <t>Bitumenemulsion, 1 Anstrich</t>
  </si>
  <si>
    <t>91.157</t>
  </si>
  <si>
    <t>Entsorgung, Farbe, 1 Schicht</t>
  </si>
  <si>
    <r>
      <rPr>
        <sz val="10"/>
        <color rgb="FFFF0000"/>
        <rFont val="Arial"/>
        <family val="2"/>
      </rPr>
      <t>Élimination, peinture, 1 couche</t>
    </r>
  </si>
  <si>
    <t>14.004</t>
  </si>
  <si>
    <t>F45B12F5-FF80-528A-2C76-A6DABD38F684</t>
  </si>
  <si>
    <t>Emaillieren, Metall</t>
  </si>
  <si>
    <t>keine</t>
  </si>
  <si>
    <t>Émaillage, métal</t>
  </si>
  <si>
    <r>
      <rPr>
        <sz val="10"/>
        <rFont val="Arial"/>
        <family val="2"/>
      </rPr>
      <t>Aucune</t>
    </r>
  </si>
  <si>
    <t>14.005</t>
  </si>
  <si>
    <t>68569EAE-A2FA-E096-D678-497AB362BCCF</t>
  </si>
  <si>
    <t>Pulverbeschichten, Aluminium</t>
  </si>
  <si>
    <t>Revêtement pulvérisé, aluminium</t>
  </si>
  <si>
    <r>
      <rPr>
        <sz val="10"/>
        <rFont val="Arial"/>
        <family val="2"/>
      </rPr>
      <t xml:space="preserve">Aucune </t>
    </r>
  </si>
  <si>
    <t>E9266136-2E91-997B-5E48-CA88AB77279C</t>
  </si>
  <si>
    <t>Pulverbeschichten, Stahl</t>
  </si>
  <si>
    <t>Revêtement pulvérisé, acier</t>
  </si>
  <si>
    <t>14.007</t>
  </si>
  <si>
    <t>3FDD883B-8EDA-4735-987C-5D7CF46F1004</t>
  </si>
  <si>
    <t>Verchromen, Stahl</t>
  </si>
  <si>
    <t>Chromage, acier</t>
  </si>
  <si>
    <t>14.008</t>
  </si>
  <si>
    <t>AAF77F9A-FE78-41CD-BAD5-16DAA6238CC2</t>
  </si>
  <si>
    <t>Verzinken, Stahl</t>
  </si>
  <si>
    <t>Zincage, acier</t>
  </si>
  <si>
    <t>15</t>
  </si>
  <si>
    <t>Kunststoffe</t>
  </si>
  <si>
    <t>Matières plastique</t>
  </si>
  <si>
    <t>15.001</t>
  </si>
  <si>
    <t>78087965-417E-4763-B8B5-4A7910943363</t>
  </si>
  <si>
    <t>Plexiglas (PMMA, Acrylglas)</t>
  </si>
  <si>
    <t>91.158</t>
  </si>
  <si>
    <t>Entsorgung, Kunststoffe aus reinen Kohlenwasserstoffen</t>
  </si>
  <si>
    <t>Plexiglas (PMMA, verre acrylique)</t>
  </si>
  <si>
    <r>
      <rPr>
        <sz val="10"/>
        <color rgb="FFFF0000"/>
        <rFont val="Arial"/>
        <family val="2"/>
      </rPr>
      <t>Élimination, matières plastiques d</t>
    </r>
    <r>
      <rPr>
        <sz val="10"/>
        <color rgb="FFFF0000"/>
        <rFont val="Arial"/>
        <family val="2"/>
      </rPr>
      <t>'hydrocarbures purs</t>
    </r>
  </si>
  <si>
    <t>A5671823-5D7E-A4B1-2A9F-C32E6CA3BCB9</t>
  </si>
  <si>
    <t>Polyamid (PA) glasfaserverstärkt</t>
  </si>
  <si>
    <t>91.159</t>
  </si>
  <si>
    <t>Entsorgung, Kunststoffe, stickstoffhaltig</t>
  </si>
  <si>
    <t xml:space="preserve">Polyamide (PA) renforcé par des fibres de verre </t>
  </si>
  <si>
    <r>
      <rPr>
        <sz val="10"/>
        <color rgb="FFFF0000"/>
        <rFont val="Arial"/>
        <family val="2"/>
      </rPr>
      <t>Élimination, matières plastiques, contenant de l</t>
    </r>
    <r>
      <rPr>
        <sz val="10"/>
        <color rgb="FFFF0000"/>
        <rFont val="Arial"/>
        <family val="2"/>
      </rPr>
      <t>'azote</t>
    </r>
  </si>
  <si>
    <t>15.003</t>
  </si>
  <si>
    <t>464C8985-D30C-40EC-8B26-7E107BCF7F1A</t>
  </si>
  <si>
    <t>Polycarbonat (PC)</t>
  </si>
  <si>
    <t>Polycarbonate (PC)</t>
  </si>
  <si>
    <t>15.004</t>
  </si>
  <si>
    <t>993A7227-F17D-4BFA-8B37-C62C13DC42F5</t>
  </si>
  <si>
    <t>Polyester (UP) glasfaserverstärkt</t>
  </si>
  <si>
    <t>Polyester (UP) renforcé par des fibres de verre</t>
  </si>
  <si>
    <t>15.005</t>
  </si>
  <si>
    <t>CBDADEEB-3B93-32E4-6504-08EF289B6D9B</t>
  </si>
  <si>
    <t>Polystyrol (PS)</t>
  </si>
  <si>
    <t>91.160</t>
  </si>
  <si>
    <t>Entsorgung, Polystyrol</t>
  </si>
  <si>
    <t>Polystyrène (PS)</t>
  </si>
  <si>
    <r>
      <rPr>
        <sz val="10"/>
        <color rgb="FFFF0000"/>
        <rFont val="Arial"/>
        <family val="2"/>
      </rPr>
      <t>Élimination, polystyrène</t>
    </r>
  </si>
  <si>
    <t>Kücheneinbauten und -möbel</t>
  </si>
  <si>
    <t>Installations et meubles de cuisine</t>
  </si>
  <si>
    <t>21.001</t>
  </si>
  <si>
    <t>3C36CA50-3B4E-44CA-8240-EB4B75A84B68</t>
  </si>
  <si>
    <t>Abfalltrennsystem</t>
  </si>
  <si>
    <t>91.123</t>
  </si>
  <si>
    <t>Entsorgung, Abfalltrennsystem</t>
  </si>
  <si>
    <t>Stk.</t>
  </si>
  <si>
    <t>Système de tri des déchets</t>
  </si>
  <si>
    <r>
      <rPr>
        <sz val="10"/>
        <color rgb="FFFF0000"/>
        <rFont val="Arial"/>
        <family val="2"/>
      </rPr>
      <t>Élimination, système de tri des déchets</t>
    </r>
  </si>
  <si>
    <t>21.002</t>
  </si>
  <si>
    <t>FC7C4727-B6B9-45A9-9AB9-53EE5C039FB2</t>
  </si>
  <si>
    <t>Arbeitsplatte Chromstahl, high-end</t>
  </si>
  <si>
    <t>91.161</t>
  </si>
  <si>
    <t>Entsorgung, Arbeitsplatte Chromstahl, High-End</t>
  </si>
  <si>
    <t>Plan de travail en acier chromé, haut de gamme</t>
  </si>
  <si>
    <r>
      <rPr>
        <sz val="10"/>
        <color rgb="FFFF0000"/>
        <rFont val="Arial"/>
        <family val="2"/>
      </rPr>
      <t>Élimination, plan de travail acier chromé, haut de gamme</t>
    </r>
  </si>
  <si>
    <t>21.003</t>
  </si>
  <si>
    <t>59550658-97D9-44D0-A19E-69C1434953F0</t>
  </si>
  <si>
    <t>Arbeitsplatte Chromstahl, Standard</t>
  </si>
  <si>
    <t>91.124</t>
  </si>
  <si>
    <t>Entsorgung, Arbeitsplatte Chromstahl, Standard</t>
  </si>
  <si>
    <t>Plan de travail en acier chromé, standard</t>
  </si>
  <si>
    <r>
      <rPr>
        <sz val="10"/>
        <color rgb="FFFF0000"/>
        <rFont val="Arial"/>
        <family val="2"/>
      </rPr>
      <t>Élimination, plan de travail en acier chromé, standard</t>
    </r>
  </si>
  <si>
    <t>21.004</t>
  </si>
  <si>
    <t>BA8B90B0-9DF2-4B24-9C2E-2771662E958F</t>
  </si>
  <si>
    <t>Arbeitsplatte Kompositwerkstoff (auf Aluminiumhydroxidbasis)</t>
  </si>
  <si>
    <t>91.125</t>
  </si>
  <si>
    <t>Entsorgung, Arbeitsplatte Kompositwerkstoff (auf Aluminiumhydroxidbasis)</t>
  </si>
  <si>
    <t>Plan de travail en matériau composite (base: hydroxyde d'aluminium)</t>
  </si>
  <si>
    <r>
      <rPr>
        <sz val="10"/>
        <color rgb="FFFF0000"/>
        <rFont val="Arial"/>
        <family val="2"/>
      </rPr>
      <t>Élimination, plan de travail en matériau composite (base: hydroxyde d</t>
    </r>
    <r>
      <rPr>
        <sz val="10"/>
        <color rgb="FFFF0000"/>
        <rFont val="Arial"/>
        <family val="2"/>
      </rPr>
      <t>'aluminium)</t>
    </r>
  </si>
  <si>
    <t>21.005</t>
  </si>
  <si>
    <t>77DCCEBD-760E-4534-9BF9-975E037EB3A0</t>
  </si>
  <si>
    <t>Arbeitsplatte kunstharzbeschichtet</t>
  </si>
  <si>
    <t>91.126</t>
  </si>
  <si>
    <t>Entsorgung, Arbeitsplatte kunstharzbeschichtet</t>
  </si>
  <si>
    <t>Plan de travail en résine synthétique</t>
  </si>
  <si>
    <r>
      <rPr>
        <sz val="10"/>
        <color rgb="FFFF0000"/>
        <rFont val="Arial"/>
        <family val="2"/>
      </rPr>
      <t>Élimination, plan de travail en résine synthétique</t>
    </r>
  </si>
  <si>
    <t>21.006</t>
  </si>
  <si>
    <t>FF8F7027-E9C1-4AD4-9E47-7DDB0F44CCEE</t>
  </si>
  <si>
    <t>Arbeitsplatte Massivholz</t>
  </si>
  <si>
    <t>91.127</t>
  </si>
  <si>
    <t>Entsorgung, Arbeitsplatte Massivholz</t>
  </si>
  <si>
    <t>Plan de travail en bois massif</t>
  </si>
  <si>
    <r>
      <rPr>
        <sz val="10"/>
        <color rgb="FFFF0000"/>
        <rFont val="Arial"/>
        <family val="2"/>
      </rPr>
      <t>Élimination, plan de travail en bois massif</t>
    </r>
  </si>
  <si>
    <t>21.007</t>
  </si>
  <si>
    <t>F6E3D922-9AB9-43AF-8913-DAEEA4FBE722</t>
  </si>
  <si>
    <t>Arbeitsplatte Naturstein</t>
  </si>
  <si>
    <t>Plan de travail en pierre naturelle</t>
  </si>
  <si>
    <t>21.008</t>
  </si>
  <si>
    <t>84ED90B6-CBDF-4F8D-845B-272346268676</t>
  </si>
  <si>
    <t>Dampfabzug</t>
  </si>
  <si>
    <t>91.129</t>
  </si>
  <si>
    <t>Entsorgung, Dampfabzug</t>
  </si>
  <si>
    <t>Hotte de ventilation</t>
  </si>
  <si>
    <r>
      <rPr>
        <sz val="10"/>
        <color rgb="FFFF0000"/>
        <rFont val="Arial"/>
        <family val="2"/>
      </rPr>
      <t>Élimination, hotte de ventilation</t>
    </r>
  </si>
  <si>
    <t>21.009</t>
  </si>
  <si>
    <t>179EF39A-FF60-4845-9534-8D73EF207C47</t>
  </si>
  <si>
    <t>Küche, Massivholz, 16-teilig</t>
  </si>
  <si>
    <t>91.130</t>
  </si>
  <si>
    <t>Entsorgung, Küche, Massivholz, 16-teilig</t>
  </si>
  <si>
    <t>Cuisine, bois massif, 16 éléments</t>
  </si>
  <si>
    <r>
      <rPr>
        <sz val="10"/>
        <color rgb="FFFF0000"/>
        <rFont val="Arial"/>
        <family val="2"/>
      </rPr>
      <t>Élimination, cuisine, bois massif, 16 éléments</t>
    </r>
  </si>
  <si>
    <t>21.010</t>
  </si>
  <si>
    <t>6927B923-0CE9-404D-B3A9-98914ED31E83</t>
  </si>
  <si>
    <t>Küche, Metall, 16-teilig</t>
  </si>
  <si>
    <t>91.131</t>
  </si>
  <si>
    <t>Entsorgung, Küche, Metall, 16-teilig</t>
  </si>
  <si>
    <t>Cuisine, métal, 16 éléments</t>
  </si>
  <si>
    <r>
      <rPr>
        <sz val="10"/>
        <color rgb="FFFF0000"/>
        <rFont val="Arial"/>
        <family val="2"/>
      </rPr>
      <t>Élimination, cuisine, métal, 16 éléments</t>
    </r>
  </si>
  <si>
    <t>21.011</t>
  </si>
  <si>
    <t>FADC1641-F855-4888-B0BB-42B23153ED97</t>
  </si>
  <si>
    <t>Küche, Spanplatte, 16-teilig</t>
  </si>
  <si>
    <t>91.132</t>
  </si>
  <si>
    <t>Entsorgung, Küche, Spanplatte, 16-teilig</t>
  </si>
  <si>
    <t>Cuisine, bois reconstitué, 16 éléments</t>
  </si>
  <si>
    <r>
      <rPr>
        <sz val="10"/>
        <color rgb="FFFF0000"/>
        <rFont val="Arial"/>
        <family val="2"/>
      </rPr>
      <t>Élimination, cuisine, bois reconstitué, 16 éléments</t>
    </r>
  </si>
  <si>
    <t>21.012</t>
  </si>
  <si>
    <t>12ADE34B-2318-4E01-89C0-4A690DF416D3</t>
  </si>
  <si>
    <t>Spüle Chromstahl</t>
  </si>
  <si>
    <t>91.133</t>
  </si>
  <si>
    <t>Entsorgung, Spüle Chromstahl</t>
  </si>
  <si>
    <t>Armoire-évier en acier chromé</t>
  </si>
  <si>
    <r>
      <rPr>
        <sz val="10"/>
        <color rgb="FFFF0000"/>
        <rFont val="Arial"/>
        <family val="2"/>
      </rPr>
      <t>Élimination, armoire-évier en acier chromé</t>
    </r>
  </si>
  <si>
    <t>21.013</t>
  </si>
  <si>
    <t>77603615-1C21-4F15-A9A7-3194EA13EEE8</t>
  </si>
  <si>
    <t>Spüle Kompositwerkstoff (auf Gesteinsmehlbasis)</t>
  </si>
  <si>
    <t>91.134</t>
  </si>
  <si>
    <t>Entsorgung, Spüle Kompositwerkstoff (auf Gesteinsmehlbasis)</t>
  </si>
  <si>
    <t>Armoire-évier en matières composites (base: poudre de roche)</t>
  </si>
  <si>
    <r>
      <rPr>
        <sz val="10"/>
        <color rgb="FFFF0000"/>
        <rFont val="Arial"/>
        <family val="2"/>
      </rPr>
      <t>Élimination, armoire-évier en matières composites (base: poudre de roche)</t>
    </r>
  </si>
  <si>
    <t>Mobiliarrechner: mit dem Mobiliarrechner können Umweltkennwerte von verschiedenen Möbel berechnet werden.</t>
  </si>
  <si>
    <t>Calculateur de mobilier: le calculateur de mobilier permet de calculer les données environnementales de différents meubles.</t>
  </si>
  <si>
    <t>Données des écobilans dans la construction</t>
  </si>
  <si>
    <t>PEF-ges</t>
  </si>
  <si>
    <t>PEF-e</t>
  </si>
  <si>
    <t>PEF-ne</t>
  </si>
  <si>
    <t>THG</t>
  </si>
  <si>
    <t xml:space="preserve">GEBÄUDETECHNIK
</t>
  </si>
  <si>
    <t xml:space="preserve">TECHNIQUE DU BÂTIMENT
</t>
  </si>
  <si>
    <t>nicht erneuerbar</t>
  </si>
  <si>
    <t>Grösse</t>
  </si>
  <si>
    <t>non renouvelable</t>
  </si>
  <si>
    <t>Dimension</t>
  </si>
  <si>
    <t>Einheit / Unité</t>
  </si>
  <si>
    <t>31</t>
  </si>
  <si>
    <t>Heizungsanlagen</t>
  </si>
  <si>
    <t>Installations de chauffage</t>
  </si>
  <si>
    <t>645b97bd-1df3-4009-b1e2-cf2361027d28</t>
  </si>
  <si>
    <r>
      <t>Wärmeerzeuger, spez. Leistungsbedarf 10 W/m</t>
    </r>
    <r>
      <rPr>
        <vertAlign val="superscript"/>
        <sz val="10"/>
        <rFont val="Arial"/>
        <family val="2"/>
      </rPr>
      <t>2</t>
    </r>
  </si>
  <si>
    <t>92.006</t>
  </si>
  <si>
    <r>
      <t>Entsorgung, Wärmeerzeuger, spez. Leistungsbedarf 10 W/m</t>
    </r>
    <r>
      <rPr>
        <vertAlign val="superscript"/>
        <sz val="10"/>
        <rFont val="Arial"/>
        <family val="2"/>
      </rPr>
      <t>2</t>
    </r>
  </si>
  <si>
    <t>EBF</t>
  </si>
  <si>
    <r>
      <t>Prod. de chaleur, besoins en puissance 10 W/m</t>
    </r>
    <r>
      <rPr>
        <vertAlign val="superscript"/>
        <sz val="10"/>
        <rFont val="Arial"/>
        <family val="2"/>
      </rPr>
      <t>2</t>
    </r>
  </si>
  <si>
    <r>
      <rPr>
        <sz val="10"/>
        <rFont val="Arial"/>
        <family val="2"/>
      </rPr>
      <t>Élimination, producteur de chaleur, besoin spéc. en puissance 10 W/m</t>
    </r>
    <r>
      <rPr>
        <vertAlign val="superscript"/>
        <sz val="10"/>
        <rFont val="Arial"/>
        <family val="2"/>
      </rPr>
      <t>2</t>
    </r>
  </si>
  <si>
    <t>99bbe55d-26c7-43c1-9cb7-bb22acaba046</t>
  </si>
  <si>
    <r>
      <t>Wärmeerzeuger, spez. Leistungsbedarf 30 W/m</t>
    </r>
    <r>
      <rPr>
        <vertAlign val="superscript"/>
        <sz val="10"/>
        <rFont val="Arial"/>
        <family val="2"/>
      </rPr>
      <t>2</t>
    </r>
  </si>
  <si>
    <t>92.007</t>
  </si>
  <si>
    <r>
      <t>Entsorgung, Wärmeerzeuger, spez. Leistungsbedarf 30 W/m</t>
    </r>
    <r>
      <rPr>
        <vertAlign val="superscript"/>
        <sz val="10"/>
        <rFont val="Arial"/>
        <family val="2"/>
      </rPr>
      <t>2</t>
    </r>
  </si>
  <si>
    <r>
      <t>Prod.de chaleur, besoins en puissance 30 W/m</t>
    </r>
    <r>
      <rPr>
        <vertAlign val="superscript"/>
        <sz val="10"/>
        <rFont val="Arial"/>
        <family val="2"/>
      </rPr>
      <t>2</t>
    </r>
  </si>
  <si>
    <r>
      <rPr>
        <sz val="10"/>
        <rFont val="Arial"/>
        <family val="2"/>
      </rPr>
      <t>Élimination, producteur de chaleur, besoin spéc. en puissance 30 W/m</t>
    </r>
    <r>
      <rPr>
        <vertAlign val="superscript"/>
        <sz val="10"/>
        <rFont val="Arial"/>
        <family val="2"/>
      </rPr>
      <t>2</t>
    </r>
  </si>
  <si>
    <t>c9919efb-4f2c-4bd6-9cd0-60b9a23fa0d3</t>
  </si>
  <si>
    <r>
      <t>Wärmeerzeuger, spez. Leistungsbedarf 50 W/m</t>
    </r>
    <r>
      <rPr>
        <vertAlign val="superscript"/>
        <sz val="10"/>
        <rFont val="Arial"/>
        <family val="2"/>
      </rPr>
      <t>2</t>
    </r>
  </si>
  <si>
    <t>92.008</t>
  </si>
  <si>
    <r>
      <t>Entsorgung, Wärmeerzeuger, spez. Leistungsbedarf 50 W/m</t>
    </r>
    <r>
      <rPr>
        <vertAlign val="superscript"/>
        <sz val="10"/>
        <rFont val="Arial"/>
        <family val="2"/>
      </rPr>
      <t>2</t>
    </r>
  </si>
  <si>
    <r>
      <t>Prod.de chaleur, besoins en puissance 50 W/m</t>
    </r>
    <r>
      <rPr>
        <vertAlign val="superscript"/>
        <sz val="10"/>
        <rFont val="Arial"/>
        <family val="2"/>
      </rPr>
      <t>2</t>
    </r>
  </si>
  <si>
    <r>
      <rPr>
        <sz val="10"/>
        <rFont val="Arial"/>
        <family val="2"/>
      </rPr>
      <t>Élimination, producteur de chaleur, besoin spéc. en puissance 50 W/m</t>
    </r>
    <r>
      <rPr>
        <vertAlign val="superscript"/>
        <sz val="10"/>
        <rFont val="Arial"/>
        <family val="2"/>
      </rPr>
      <t>2</t>
    </r>
  </si>
  <si>
    <t>31.027</t>
  </si>
  <si>
    <t>f53af324-0889-4d90-b66c-f0a0ae9c3efc</t>
  </si>
  <si>
    <t>Elektrospeicherofen 5kW</t>
  </si>
  <si>
    <t>92.032</t>
  </si>
  <si>
    <t>Entsorgung, Elektrospeicherofen 5kW</t>
  </si>
  <si>
    <t>Masse</t>
  </si>
  <si>
    <t>masse</t>
  </si>
  <si>
    <t>Poêle électrique à accumulation 5kW</t>
  </si>
  <si>
    <r>
      <rPr>
        <sz val="10"/>
        <color rgb="FFFF0000"/>
        <rFont val="Arial"/>
        <family val="2"/>
      </rPr>
      <t>Élimination, four électrique à accumulation 5 kW</t>
    </r>
  </si>
  <si>
    <t>a40edcbc-cd81-4bf2-963b-cb545d6e3b02</t>
  </si>
  <si>
    <t>Wärmeverteilung Wohngebäude</t>
  </si>
  <si>
    <t>92.014</t>
  </si>
  <si>
    <t>Entsorgung, Verteilung Wohngebäude</t>
  </si>
  <si>
    <t>Distribution de chaleur, bâtiment d'habitation</t>
  </si>
  <si>
    <r>
      <rPr>
        <sz val="10"/>
        <rFont val="Arial"/>
        <family val="2"/>
      </rPr>
      <t>Élimination, distribution bâtiment d</t>
    </r>
    <r>
      <rPr>
        <sz val="10"/>
        <rFont val="Arial"/>
        <family val="2"/>
      </rPr>
      <t>'habitation</t>
    </r>
  </si>
  <si>
    <t>6249860e-f4cf-40fb-8244-be22d92e78e5</t>
  </si>
  <si>
    <t>Wärmeverteilung Bürogebäude</t>
  </si>
  <si>
    <t>92.015</t>
  </si>
  <si>
    <t>Entsorgung, Verteilung Bürogebäude</t>
  </si>
  <si>
    <t>Distribution de chaleur, bâtiment administratif</t>
  </si>
  <si>
    <r>
      <rPr>
        <sz val="10"/>
        <rFont val="Arial"/>
        <family val="2"/>
      </rPr>
      <t>Élimination, distribution bâtiment administratif</t>
    </r>
  </si>
  <si>
    <t>068e9380-2088-4f04-8385-ce410ead6121</t>
  </si>
  <si>
    <t>Wärmeabgabe über Heizkörper</t>
  </si>
  <si>
    <t>92.016</t>
  </si>
  <si>
    <t>Entsorgung, Abgabe über Heizkörper</t>
  </si>
  <si>
    <t>Diffusion de chaleur par le biais du corps de chauffe</t>
  </si>
  <si>
    <r>
      <rPr>
        <sz val="10"/>
        <rFont val="Arial"/>
        <family val="2"/>
      </rPr>
      <t>Élimination, diffusion par le biais du corps de chauffe</t>
    </r>
  </si>
  <si>
    <t>a9814d97-ccf9-4349-934d-b70b67622da2</t>
  </si>
  <si>
    <t>Wärmeabgabe über Fussbodenheizung</t>
  </si>
  <si>
    <t>92.017</t>
  </si>
  <si>
    <t>Entsorgung, Abgabe über Fussbodenheizung</t>
  </si>
  <si>
    <t>Diffusion de chaleur par le biais du chauffage au sol</t>
  </si>
  <si>
    <r>
      <rPr>
        <sz val="10"/>
        <rFont val="Arial"/>
        <family val="2"/>
      </rPr>
      <t>Élimination, diffusion par le biais du chauffage au sol</t>
    </r>
  </si>
  <si>
    <t>31.025</t>
  </si>
  <si>
    <t>de698b1d-fa42-456f-8f8e-a33cdf6ab46b</t>
  </si>
  <si>
    <t>Wärmeabgabe über Heizkühldecke (ohne Gips- oder Metalldecke)</t>
  </si>
  <si>
    <t>92.018</t>
  </si>
  <si>
    <t>Entsorgung, Abgabe über Heizkühldecke (ohne Gips- oder Metalldecke)</t>
  </si>
  <si>
    <t>Diffusion de chaleur par le biais du système de chauffage et de refroidissement au plafond</t>
  </si>
  <si>
    <r>
      <rPr>
        <sz val="10"/>
        <rFont val="Arial"/>
        <family val="2"/>
      </rPr>
      <t>Élimination, diffusion par le biais du système de chauffage et de refroidissement au plafond</t>
    </r>
  </si>
  <si>
    <t>31.015</t>
  </si>
  <si>
    <t>1a8f4741-4ce9-4bbf-9f2e-c9c6796fbd61</t>
  </si>
  <si>
    <t>Wärmeverteilung und Abgabe, Luftheizung</t>
  </si>
  <si>
    <t>92.019</t>
  </si>
  <si>
    <t>Entsorgung, Wärmeverteilung und Abgabe, Luftheizung</t>
  </si>
  <si>
    <t>Distribution de chaleur, chauffage à air chaud</t>
  </si>
  <si>
    <r>
      <rPr>
        <sz val="10"/>
        <rFont val="Arial"/>
        <family val="2"/>
      </rPr>
      <t>Élimination, distribution et diffusion de chaleur, chauffage à air</t>
    </r>
  </si>
  <si>
    <t>55af576a-3041-4ea1-9c78-bef7123063ef</t>
  </si>
  <si>
    <t>Erdsonden, für Sole-Wasser-Wärmepumpe</t>
  </si>
  <si>
    <t>92.009</t>
  </si>
  <si>
    <t>Entsorgung, Erdsonden, für Sole-Wasser-Wärmepumpe</t>
  </si>
  <si>
    <t>Sondenlänge</t>
  </si>
  <si>
    <t>longueur</t>
  </si>
  <si>
    <t>Sondes géothermiques, pour la pompe à chaleur saumure-eau</t>
  </si>
  <si>
    <r>
      <rPr>
        <sz val="10"/>
        <rFont val="Arial"/>
        <family val="2"/>
      </rPr>
      <t>Élimination, sondes géothermiques, pour la pompe à chaleur saumure-eau</t>
    </r>
  </si>
  <si>
    <t>31.026</t>
  </si>
  <si>
    <t>a5710d9b-04fc-40d5-9192-d885da64143b</t>
  </si>
  <si>
    <t>Förder- und Schluckbrunnen für Grundwasser Wärmepumpe</t>
  </si>
  <si>
    <t>92.033</t>
  </si>
  <si>
    <t>Entsorgung, Förder- und Schluckbrunnen für Grundwasser Wärmepumpe</t>
  </si>
  <si>
    <t>Gerät</t>
  </si>
  <si>
    <t>appareil</t>
  </si>
  <si>
    <t>Puits de production et d'absorption pour pompe à chaleur sur nappe phréatique</t>
  </si>
  <si>
    <r>
      <rPr>
        <sz val="10"/>
        <color rgb="FFFF0000"/>
        <rFont val="Arial"/>
        <family val="2"/>
      </rPr>
      <t>Élimination, puits de production et d</t>
    </r>
    <r>
      <rPr>
        <sz val="10"/>
        <color rgb="FFFF0000"/>
        <rFont val="Arial"/>
        <family val="2"/>
      </rPr>
      <t>'absorption pour la nappe souterraine, pompe à chaleur</t>
    </r>
  </si>
  <si>
    <t>31.017</t>
  </si>
  <si>
    <t>22e2235a-a83c-45f6-9427-f94b4f974e5e</t>
  </si>
  <si>
    <t>Sole-Wasser Wärmepumpe 7 kW</t>
  </si>
  <si>
    <t>92.010</t>
  </si>
  <si>
    <t>Entsorgung, Sole-Wasser Wärmepumpe 7 kW</t>
  </si>
  <si>
    <t>Pompe à chaleur saumure-eau 7 kW</t>
  </si>
  <si>
    <r>
      <rPr>
        <sz val="10"/>
        <rFont val="Arial"/>
        <family val="2"/>
      </rPr>
      <t>Élimination, pompe à chaleur saumure-eau 7 kW</t>
    </r>
  </si>
  <si>
    <t>31.018</t>
  </si>
  <si>
    <t>e20c6a33-83fc-4eac-b584-c72158f02235</t>
  </si>
  <si>
    <t>92.011</t>
  </si>
  <si>
    <t>31.019</t>
  </si>
  <si>
    <t>3c2731f6-9027-4651-8c00-dda182d954dc</t>
  </si>
  <si>
    <t>Luft-Wasser Wärmepumpe 7 kW</t>
  </si>
  <si>
    <t>92.012</t>
  </si>
  <si>
    <t>Entsorgung, Luft-Wasser Wärmepumpe 7 kW</t>
  </si>
  <si>
    <t>Pompe à chaleur air-eau 7 kW</t>
  </si>
  <si>
    <r>
      <rPr>
        <sz val="10"/>
        <rFont val="Arial"/>
        <family val="2"/>
      </rPr>
      <t>Élimination, pompe à chaleur air-eau 7 kW</t>
    </r>
  </si>
  <si>
    <t>31.020</t>
  </si>
  <si>
    <t>b19278f1-e280-43e7-b95e-387e5b300fa1</t>
  </si>
  <si>
    <t>92.013</t>
  </si>
  <si>
    <t>31.007</t>
  </si>
  <si>
    <t>a2577f20-910e-4ab9-b25c-28b17d727db4</t>
  </si>
  <si>
    <t>Flachkollektor für Warmwasser EFH</t>
  </si>
  <si>
    <t>Herstellung inkl. Entsorgung</t>
  </si>
  <si>
    <t>Kollektorfläche</t>
  </si>
  <si>
    <t>Surf. collecteurs</t>
  </si>
  <si>
    <t>Collecteurs solaires plan, eau chaude maison individuelle</t>
  </si>
  <si>
    <r>
      <rPr>
        <sz val="10"/>
        <rFont val="Arial"/>
        <family val="2"/>
      </rPr>
      <t>Fabrication, élimination comprise</t>
    </r>
  </si>
  <si>
    <t>31.008</t>
  </si>
  <si>
    <t>91edaf83-571f-4b81-af85-c44fa3577859</t>
  </si>
  <si>
    <t>Flachkollektor für Raumheizung und Warmwasser EFH</t>
  </si>
  <si>
    <t>Collecteurs solaires plan, chaleur et eau chaude  maison individuelle</t>
  </si>
  <si>
    <t>e9ef231c-e33b-455d-962d-5f1b4d598988</t>
  </si>
  <si>
    <t>Collecteurs solaires plan, eau chaude immeuble locatif</t>
  </si>
  <si>
    <t>31.010</t>
  </si>
  <si>
    <t>514cd372-7b41-418d-962a-601f600e785a</t>
  </si>
  <si>
    <t>Röhrenkollektor für Raumheizung und Warmwasser EFH</t>
  </si>
  <si>
    <t>Collecteurs solaires à tubes, chaleur et eau chaude  maison individuelle</t>
  </si>
  <si>
    <t>31.028</t>
  </si>
  <si>
    <t>c76bc41b-0c38-4c87-9763-094c24492e42</t>
  </si>
  <si>
    <t>Hybridkollektor Schrägdach mit Erdsondenregeneration</t>
  </si>
  <si>
    <t>Collecteur hybride pour toit incliné avec régénération par sonde géothermique</t>
  </si>
  <si>
    <t>31.029</t>
  </si>
  <si>
    <t>ae61f436-618d-45ed-b2a3-2b09b2e8c35d</t>
  </si>
  <si>
    <t>Hybridkollektor Schrägdach mit Warmwasserspeicher</t>
  </si>
  <si>
    <t xml:space="preserve">Collecteur hybride pour toit incliné avec accumulateur d'eau chaude </t>
  </si>
  <si>
    <t>32</t>
  </si>
  <si>
    <t>Lüftungsanlagen</t>
  </si>
  <si>
    <t>e4fe6828-ae2f-4171-8797-1c452a44e9cb</t>
  </si>
  <si>
    <r>
      <t>Lüftungsanlage, spez. Luftmenge 1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</t>
    </r>
  </si>
  <si>
    <t>92.027</t>
  </si>
  <si>
    <r>
      <t>Entsorgung, Lüftungsanlage, spez. Luftmenge 1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</t>
    </r>
  </si>
  <si>
    <r>
      <t>Ventilation bureau, canaux en tôle, besoins en air 1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</t>
    </r>
  </si>
  <si>
    <r>
      <rPr>
        <sz val="10"/>
        <rFont val="Arial"/>
        <family val="2"/>
      </rPr>
      <t>Élimination, ventilation, besoins en air 1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</t>
    </r>
  </si>
  <si>
    <t>395dfa3e-b1b6-4023-9bf2-89f71c34ba55</t>
  </si>
  <si>
    <r>
      <t>Lüftungsanlage, spez. Luftmenge 2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</t>
    </r>
  </si>
  <si>
    <t>92.028</t>
  </si>
  <si>
    <r>
      <t>Entsorgung, Lüftungsanlage, spez. Luftmenge 2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</t>
    </r>
  </si>
  <si>
    <r>
      <t>Ventilation bureau, canaux en tôle, besoins en air  2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</t>
    </r>
  </si>
  <si>
    <r>
      <rPr>
        <sz val="10"/>
        <rFont val="Arial"/>
        <family val="2"/>
      </rPr>
      <t>Élimination, ventilation, besoins en air 2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</t>
    </r>
  </si>
  <si>
    <t>5ecd5719-455c-4f94-a425-6d53871c374e</t>
  </si>
  <si>
    <r>
      <t>Lüftungsanlage, spez. Luftmenge 4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</t>
    </r>
  </si>
  <si>
    <t>92.029</t>
  </si>
  <si>
    <r>
      <t>Entsorgung, Lüftungsanlage, spez. Luftmenge 4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</t>
    </r>
  </si>
  <si>
    <r>
      <t>Ventilation bureau, canaux en tôle, besoins en air 4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</t>
    </r>
  </si>
  <si>
    <r>
      <rPr>
        <sz val="10"/>
        <rFont val="Arial"/>
        <family val="2"/>
      </rPr>
      <t>Élimination, ventilation, besoins en air 4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</t>
    </r>
  </si>
  <si>
    <t>32.007</t>
  </si>
  <si>
    <t>03b18a1a-ea2f-4893-91d7-232d6c0dbe5e</t>
  </si>
  <si>
    <r>
      <t>Lüftungsanlage, spez. Luftmenge 6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</t>
    </r>
  </si>
  <si>
    <t>92.030</t>
  </si>
  <si>
    <r>
      <t>Entsorgung, Lüftungsanlage, spez. Luftmenge 6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</t>
    </r>
  </si>
  <si>
    <r>
      <t>Ventilation bureau, canaux en tôle, besoins en air 6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</t>
    </r>
  </si>
  <si>
    <r>
      <rPr>
        <sz val="10"/>
        <rFont val="Arial"/>
        <family val="2"/>
      </rPr>
      <t>Élimination, ventilation, besoins en air 6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</t>
    </r>
  </si>
  <si>
    <t>32.012</t>
  </si>
  <si>
    <t>42e1c28c-95a8-43ee-ae9a-0bf1175d7980</t>
  </si>
  <si>
    <r>
      <t>Lüftungsanlage, spez. Luftmenge 8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</t>
    </r>
  </si>
  <si>
    <t>92.031</t>
  </si>
  <si>
    <r>
      <t>Entsorgung, Lüftungsanlage, spez. Luftmenge 8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</t>
    </r>
  </si>
  <si>
    <r>
      <t>Ventilation bureau, canaux en tôle, besoins en air 8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</t>
    </r>
  </si>
  <si>
    <r>
      <rPr>
        <sz val="10"/>
        <rFont val="Arial"/>
        <family val="2"/>
      </rPr>
      <t>Élimination, ventilation, besoins en air 8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</t>
    </r>
  </si>
  <si>
    <t>32.001</t>
  </si>
  <si>
    <t>3d01311f-bce0-4e29-bfab-e1971a21410d</t>
  </si>
  <si>
    <t>Lüftungsanlage Wohnen, Blechkanäle, inkl. Küchenabluft</t>
  </si>
  <si>
    <t>92.021</t>
  </si>
  <si>
    <t>Entsorgung, Lüftungsanlage Wohnen, Blechkanäle, inkl. Küchenabluft</t>
  </si>
  <si>
    <t xml:space="preserve">Ventilation habitation, canaux en tôle, évacuation d'air (cuisine) </t>
  </si>
  <si>
    <r>
      <rPr>
        <sz val="10"/>
        <rFont val="Arial"/>
        <family val="2"/>
      </rPr>
      <t>Élimination, ventilation habitation, canaux en tôle, y c. évacuation d</t>
    </r>
    <r>
      <rPr>
        <sz val="10"/>
        <rFont val="Arial"/>
        <family val="2"/>
      </rPr>
      <t>'air (cuisine)</t>
    </r>
  </si>
  <si>
    <t>32.002</t>
  </si>
  <si>
    <t>7a17dc11-ba34-4e71-9b81-43b85add04f2</t>
  </si>
  <si>
    <t>Lüftungsanlage Wohnen, PE-Kanäle, inkl. Küchenabluft</t>
  </si>
  <si>
    <t>92.022</t>
  </si>
  <si>
    <t>Entsorgung, Lüftungsanlage Wohnen, PE-Kanäle, inkl. Küchenabluft</t>
  </si>
  <si>
    <t xml:space="preserve">Ventilation habitation, canaux en HDPE, évacuation d'air (cuisine) </t>
  </si>
  <si>
    <r>
      <rPr>
        <sz val="10"/>
        <rFont val="Arial"/>
        <family val="2"/>
      </rPr>
      <t>Élimination, ventilation habitation, canaux en HDPE, y c. évacuation d</t>
    </r>
    <r>
      <rPr>
        <sz val="10"/>
        <rFont val="Arial"/>
        <family val="2"/>
      </rPr>
      <t>'air (cuisine)</t>
    </r>
  </si>
  <si>
    <t>645717a2-e9cc-44f3-be97-b3ae40ee9007</t>
  </si>
  <si>
    <t>92.023</t>
  </si>
  <si>
    <t>Entsorgung, Abluftanlage Küche und Bad</t>
  </si>
  <si>
    <t>Évacuation d'air cuisine et salle de bain</t>
  </si>
  <si>
    <r>
      <rPr>
        <sz val="10"/>
        <rFont val="Arial"/>
        <family val="2"/>
      </rPr>
      <t>Élimination, évacuation d</t>
    </r>
    <r>
      <rPr>
        <sz val="10"/>
        <rFont val="Arial"/>
        <family val="2"/>
      </rPr>
      <t>'air cuisine et salle de bains</t>
    </r>
  </si>
  <si>
    <t>32.004</t>
  </si>
  <si>
    <t>4c70ecba-4236-456c-ad4f-a9c1af79f860</t>
  </si>
  <si>
    <t>Erdregister zu Lüftungsanlage Wohnen</t>
  </si>
  <si>
    <t>92.024</t>
  </si>
  <si>
    <t>Entsorgung, Erdregister zu Lüftungsanlage Wohnen</t>
  </si>
  <si>
    <t>Registre de terre pour ventilation habitation</t>
  </si>
  <si>
    <r>
      <rPr>
        <sz val="10"/>
        <rFont val="Arial"/>
        <family val="2"/>
      </rPr>
      <t>Élimination, registre de terre pour ventilation habitation</t>
    </r>
  </si>
  <si>
    <t>32.008</t>
  </si>
  <si>
    <t>52d5a2c2-5c73-4764-b968-ce9d2f11251f</t>
  </si>
  <si>
    <r>
      <t>Erdregister kurz zu Lüftungsanlage Büro (0.27 m/m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EBF)</t>
    </r>
  </si>
  <si>
    <t>92.025</t>
  </si>
  <si>
    <r>
      <t>Entsorgung, Erdregister kurz zu Lüftungsanlage Büro (0.27 m/m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EBF)</t>
    </r>
  </si>
  <si>
    <r>
      <t>Registre de terre court pour ventilation bureau (0.27 m/m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SRE)</t>
    </r>
  </si>
  <si>
    <r>
      <rPr>
        <sz val="10"/>
        <rFont val="Arial"/>
        <family val="2"/>
      </rPr>
      <t>Élimination, registre de terre court pour ventilation bureau (0,27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SRE)</t>
    </r>
  </si>
  <si>
    <t>32.009</t>
  </si>
  <si>
    <t>76d83bec-2ab8-4775-97c5-81fccaab766d</t>
  </si>
  <si>
    <r>
      <t>Erdregister lang zu Lüftungsanlage Büro (0.67 m/m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EBF)</t>
    </r>
  </si>
  <si>
    <t>92.026</t>
  </si>
  <si>
    <r>
      <t>Entsorgung, Erdregister lang zu Lüftungsanlage Büro (0.67 m/m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EBF)</t>
    </r>
  </si>
  <si>
    <r>
      <t>Registre de terre long pour ventilation bureau (0.67 m/m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SRE)</t>
    </r>
  </si>
  <si>
    <r>
      <rPr>
        <sz val="10"/>
        <rFont val="Arial"/>
        <family val="2"/>
      </rPr>
      <t>Élimination, registre de terre long pour ventilation bureau (0,67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SRE)</t>
    </r>
  </si>
  <si>
    <t>32.010</t>
  </si>
  <si>
    <t>efafc2f6-8bd1-4d35-89b0-04deff6620b2</t>
  </si>
  <si>
    <r>
      <t>Einzelraumlüfer Fenstermodell 10-30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/h, ohne Montage</t>
    </r>
  </si>
  <si>
    <t>92.020</t>
  </si>
  <si>
    <r>
      <t>Entsorgung, Einzelraumlüfer Fenstermodell 10-30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/h, ohne Montage</t>
    </r>
  </si>
  <si>
    <r>
      <t>Ventilation pièce individuelle, modèle de fenêtre 10-30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/h, sans montage</t>
    </r>
  </si>
  <si>
    <r>
      <rPr>
        <sz val="10"/>
        <rFont val="Arial"/>
        <family val="2"/>
      </rPr>
      <t>Élimination, ventilation pièce individuelle, modèle de fenêtre 10-30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/h, sans montage</t>
    </r>
  </si>
  <si>
    <t>33</t>
  </si>
  <si>
    <t>Sanitäranlagen</t>
  </si>
  <si>
    <t>Installations sanitaires</t>
  </si>
  <si>
    <t>b60b6657-8c44-4d7a-b939-8b4509f1de9b</t>
  </si>
  <si>
    <t>92.001</t>
  </si>
  <si>
    <t>Entsorgung, Büro, einfache Installation, inkl. Apparate und Leitungen</t>
  </si>
  <si>
    <t>Bureau, degré de complexité faible, appareils et conduites compris</t>
  </si>
  <si>
    <r>
      <rPr>
        <sz val="10"/>
        <rFont val="Arial"/>
        <family val="2"/>
      </rPr>
      <t>Élimination, bureau, installation simple, y c. appareils et conduites</t>
    </r>
  </si>
  <si>
    <t>61b56ba6-7617-4f37-8e69-449bdff80954</t>
  </si>
  <si>
    <t>92.002</t>
  </si>
  <si>
    <t>Entsorgung, Büro, aufwändige Installation, inkl. Apparate und Leitungen</t>
  </si>
  <si>
    <t>Bureau, degré de complexité élevé, appareils et conduites compris</t>
  </si>
  <si>
    <r>
      <rPr>
        <sz val="10"/>
        <rFont val="Arial"/>
        <family val="2"/>
      </rPr>
      <t>Élimination, bureau, installation complexe, y c. appareils et conduites</t>
    </r>
  </si>
  <si>
    <t>2f3072ee-186f-41b6-8dd0-08ec47723547</t>
  </si>
  <si>
    <t>92.003</t>
  </si>
  <si>
    <t>Entsorgung, Wohnen, inkl. Apparate und Leitungen</t>
  </si>
  <si>
    <t>Habitation, appareils et conduites compris</t>
  </si>
  <si>
    <r>
      <rPr>
        <sz val="10"/>
        <rFont val="Arial"/>
        <family val="2"/>
      </rPr>
      <t>Élimination, habitation, y c. appareils et conduites</t>
    </r>
  </si>
  <si>
    <t>34</t>
  </si>
  <si>
    <t>Elektroanlagen</t>
  </si>
  <si>
    <t>Installations électriques</t>
  </si>
  <si>
    <t>d3a16f42-8e69-483c-b05e-1bc8a0685795</t>
  </si>
  <si>
    <t>Elektroanlagen Wohnen</t>
  </si>
  <si>
    <t>92.004</t>
  </si>
  <si>
    <t>Entsorgung, Elektroanlagen Wohnen</t>
  </si>
  <si>
    <t>Installations électriques, habitation</t>
  </si>
  <si>
    <r>
      <rPr>
        <sz val="10"/>
        <rFont val="Arial"/>
        <family val="2"/>
      </rPr>
      <t>Élimination, installations électriques habitation</t>
    </r>
  </si>
  <si>
    <t>da74b332-8bbb-4fdd-a33e-dd1c569696e0</t>
  </si>
  <si>
    <t>Elektroanlagen Büro</t>
  </si>
  <si>
    <t>92.005</t>
  </si>
  <si>
    <t>Entsorgung, Elektroanlagen Büro</t>
  </si>
  <si>
    <t>Installations électriques, bureau</t>
  </si>
  <si>
    <r>
      <rPr>
        <sz val="10"/>
        <rFont val="Arial"/>
        <family val="2"/>
      </rPr>
      <t>Élimination, installations électriques bureau</t>
    </r>
  </si>
  <si>
    <t>34.024</t>
  </si>
  <si>
    <t>529fcea4-b0c4-46e3-b9c0-9a70f9a91668</t>
  </si>
  <si>
    <r>
      <t>Solarstromanlage</t>
    </r>
    <r>
      <rPr>
        <vertAlign val="superscript"/>
        <sz val="10"/>
        <rFont val="Arial"/>
        <family val="2"/>
      </rPr>
      <t>1</t>
    </r>
  </si>
  <si>
    <t>Max. Leistung</t>
  </si>
  <si>
    <t>Puissance max.</t>
  </si>
  <si>
    <r>
      <t xml:space="preserve">Installations photovoltaïques </t>
    </r>
    <r>
      <rPr>
        <vertAlign val="superscript"/>
        <sz val="10"/>
        <rFont val="Arial"/>
        <family val="2"/>
      </rPr>
      <t>1</t>
    </r>
  </si>
  <si>
    <t>34.025</t>
  </si>
  <si>
    <t>7ce8ec83-ed7b-4e84-8359-546c96d7de8b</t>
  </si>
  <si>
    <r>
      <t>Solarstromanlage Schrägdach</t>
    </r>
    <r>
      <rPr>
        <vertAlign val="superscript"/>
        <sz val="10"/>
        <rFont val="Arial"/>
        <family val="2"/>
      </rPr>
      <t>1</t>
    </r>
  </si>
  <si>
    <r>
      <t xml:space="preserve">Installations photovoltaïque toiture inclinée </t>
    </r>
    <r>
      <rPr>
        <vertAlign val="superscript"/>
        <sz val="10"/>
        <rFont val="Arial"/>
        <family val="2"/>
      </rPr>
      <t>1</t>
    </r>
  </si>
  <si>
    <t>1862d29b-d6a4-45a8-9cd6-5539444be95b</t>
  </si>
  <si>
    <r>
      <t>Solarstromanlage Flachdach</t>
    </r>
    <r>
      <rPr>
        <vertAlign val="superscript"/>
        <sz val="10"/>
        <rFont val="Arial"/>
        <family val="2"/>
      </rPr>
      <t>1</t>
    </r>
  </si>
  <si>
    <r>
      <t xml:space="preserve">Installations photovoltaïque toiture plate </t>
    </r>
    <r>
      <rPr>
        <vertAlign val="superscript"/>
        <sz val="10"/>
        <rFont val="Arial"/>
        <family val="2"/>
      </rPr>
      <t>1</t>
    </r>
  </si>
  <si>
    <t>34.027</t>
  </si>
  <si>
    <t>6dc4866a-596d-4eee-abce-a2b6df8ae356</t>
  </si>
  <si>
    <r>
      <t>Solarstromanlage Fassade</t>
    </r>
    <r>
      <rPr>
        <vertAlign val="superscript"/>
        <sz val="10"/>
        <rFont val="Arial"/>
        <family val="2"/>
      </rPr>
      <t>1</t>
    </r>
  </si>
  <si>
    <r>
      <t xml:space="preserve">Installations photovoltaïques façade </t>
    </r>
    <r>
      <rPr>
        <vertAlign val="superscript"/>
        <sz val="10"/>
        <rFont val="Arial"/>
        <family val="2"/>
      </rPr>
      <t>1</t>
    </r>
  </si>
  <si>
    <t>34.027.01</t>
  </si>
  <si>
    <t>2dcad0f9-eb56-488f-b3f6-4caf54cd1690</t>
  </si>
  <si>
    <t>Fassadenunterkonstruktion, integriert, Eternit</t>
  </si>
  <si>
    <t>92.039.01</t>
  </si>
  <si>
    <t>Entsorgung, Fassadenunterkonstruktion, integriert, Eternit</t>
  </si>
  <si>
    <t>Panelfläche</t>
  </si>
  <si>
    <t>Surf. Panneau</t>
  </si>
  <si>
    <t>Sous-construction de façade, intégrée, Eternit</t>
  </si>
  <si>
    <r>
      <rPr>
        <sz val="10"/>
        <color rgb="FFFF0000"/>
        <rFont val="Arial"/>
        <family val="2"/>
      </rPr>
      <t>Élimination, sous-construction de façade, intégrée, Eternit</t>
    </r>
  </si>
  <si>
    <t>34.027.02</t>
  </si>
  <si>
    <t>212aabea-485c-4b9d-a6d8-fa1dcce62283</t>
  </si>
  <si>
    <t>Fassadenunterkonstruktion, integriert, StoVentec Artline inlay</t>
  </si>
  <si>
    <t>92.039.02</t>
  </si>
  <si>
    <t>Entsorgung, Fassadenunterkonstruktion, integriert, StoVentec Artline inlay</t>
  </si>
  <si>
    <t>Sous-construction de façade, intégrée, StoVentec Artline inlay</t>
  </si>
  <si>
    <r>
      <rPr>
        <sz val="10"/>
        <color rgb="FFFF0000"/>
        <rFont val="Arial"/>
        <family val="2"/>
      </rPr>
      <t>Élimination, sous-construction de façade, intégrée, StoVentec Artline inlay</t>
    </r>
  </si>
  <si>
    <t>34.027.03</t>
  </si>
  <si>
    <t>cb5bf91e-0849-48bd-9f26-0b2ec1979a9d</t>
  </si>
  <si>
    <t>Fassadenunterkonstruktion, integriert, StoVentec Artline invisible</t>
  </si>
  <si>
    <t>92.039.03</t>
  </si>
  <si>
    <t>Entsorgung, Fassadenunterkonstruktion, integriert, StoVentec Artline invisible</t>
  </si>
  <si>
    <t>Sous-construction de façade, intégrée, StoVentec Artline invisible</t>
  </si>
  <si>
    <r>
      <rPr>
        <sz val="10"/>
        <color rgb="FFFF0000"/>
        <rFont val="Arial"/>
        <family val="2"/>
      </rPr>
      <t>Élimination, sous-construction de façade, intégrée, StoVentec Artline invisible</t>
    </r>
  </si>
  <si>
    <t>34.027.04</t>
  </si>
  <si>
    <t>50a78e02-3974-4a45-9657-e971378f4341</t>
  </si>
  <si>
    <t>Fassadenunterkonstruktion, integriert, mittelformatig, GFT</t>
  </si>
  <si>
    <t>92.039.04</t>
  </si>
  <si>
    <t>Entsorgung, Fassadenunterkonstruktion, integriert, mittelformatig, GFT</t>
  </si>
  <si>
    <t>Sous-construction de façade, intégrée, format moyen, GFT</t>
  </si>
  <si>
    <r>
      <rPr>
        <sz val="10"/>
        <color rgb="FFFF0000"/>
        <rFont val="Arial"/>
        <family val="2"/>
      </rPr>
      <t>Élimination, sous-construction de façade, intégrée, format moyen, GFT</t>
    </r>
  </si>
  <si>
    <t>34.027.05</t>
  </si>
  <si>
    <t>1d794910-c5d8-4adb-ae45-1d2a9a0c406e</t>
  </si>
  <si>
    <t>Fassadenunterkonstruktion, integriert, Vogelsang</t>
  </si>
  <si>
    <t>92.039.05</t>
  </si>
  <si>
    <t>Entsorgung, Fassadenunterkonstruktion, integriert, Vogelsang</t>
  </si>
  <si>
    <t>Sous-construction de façade, intégrée, Vogelsang</t>
  </si>
  <si>
    <r>
      <rPr>
        <sz val="10"/>
        <color rgb="FFFF0000"/>
        <rFont val="Arial"/>
        <family val="2"/>
      </rPr>
      <t>Élimination, sous-construction de façade, intégrée, Vogelsang</t>
    </r>
  </si>
  <si>
    <t>34.027.06</t>
  </si>
  <si>
    <t>bdd63033-73b0-49e3-9696-8ab0483baa31</t>
  </si>
  <si>
    <t>Fassadenunterkonstruktion, integriert, Betonuntergrund, Ecolite</t>
  </si>
  <si>
    <t>92.039.06</t>
  </si>
  <si>
    <t>Entsorgung, Fassadenunterkonstruktion, integriert, Betonuntergrund, Ecolite</t>
  </si>
  <si>
    <t>Sous-construction de façade, intégrée, support en béton, Ecolite</t>
  </si>
  <si>
    <r>
      <rPr>
        <sz val="10"/>
        <color rgb="FFFF0000"/>
        <rFont val="Arial"/>
        <family val="2"/>
      </rPr>
      <t>Élimination, sous-construction de façade, intégrée, support en béton, Ecolite</t>
    </r>
  </si>
  <si>
    <t>34.027.07</t>
  </si>
  <si>
    <t>1d856ced-181d-4501-82b1-a311f820415b</t>
  </si>
  <si>
    <t>Fassadenunterkonstruktion, integriert, Backsteinuntergrund, Ecolite</t>
  </si>
  <si>
    <t>92.039.07</t>
  </si>
  <si>
    <t>Entsorgung, Fassadenunterkonstruktion, integriert, Backsteinuntergrund, Ecolite</t>
  </si>
  <si>
    <t>Sous-construction de façade, intégrée, support en briques, Ecolite</t>
  </si>
  <si>
    <r>
      <rPr>
        <sz val="10"/>
        <color rgb="FFFF0000"/>
        <rFont val="Arial"/>
        <family val="2"/>
      </rPr>
      <t>Élimination, sous-construction de façade, intégrée, support en briques, Ecolite</t>
    </r>
  </si>
  <si>
    <t>34.027.08</t>
  </si>
  <si>
    <t>3872a48b-1d54-483a-9514-1202ae6a0ce8</t>
  </si>
  <si>
    <t>Fassadenunterkonstruktion, integriert, Durchschnitt, Ecolite</t>
  </si>
  <si>
    <t>92.039.08</t>
  </si>
  <si>
    <t>Entsorgung, Fassadenunterkonstruktion, integriert, Durchschnitt, Ecolite</t>
  </si>
  <si>
    <t>Sous-construction de façade, intégrée, moyenne, Ecolite</t>
  </si>
  <si>
    <r>
      <rPr>
        <sz val="10"/>
        <color rgb="FFFF0000"/>
        <rFont val="Arial"/>
        <family val="2"/>
      </rPr>
      <t>Élimination, sous-construction de façade, intégrée, moyenne, Ecolite</t>
    </r>
  </si>
  <si>
    <t>34.027.09</t>
  </si>
  <si>
    <t>1bed54c2-bd25-4a8c-92b6-048efef0f144</t>
  </si>
  <si>
    <t>Solarpanel, Mono-Si, Eternit Sunskin Facade, 18.0%</t>
  </si>
  <si>
    <t>92.037</t>
  </si>
  <si>
    <t>Rücknahme und Recycling, c-Si PV Modul</t>
  </si>
  <si>
    <t>Panneau solaire, Mono-Si, Eternit Sunskin Facade, 18,0</t>
  </si>
  <si>
    <r>
      <rPr>
        <sz val="10"/>
        <color rgb="FFFF0000"/>
        <rFont val="Arial"/>
        <family val="2"/>
      </rPr>
      <t>Collecte et recyclage, module photovoltaïque c-Si</t>
    </r>
  </si>
  <si>
    <t>34.027.10</t>
  </si>
  <si>
    <t>8442cb56-9009-4302-aa74-3af8caba21e0</t>
  </si>
  <si>
    <t>Solarpanel, Mono-Si, Kioto Solar PVP-GExxxM, 12.5%</t>
  </si>
  <si>
    <t>Panneau solaire, Mono-Si, Kioto Solar PVP-GExxxM, 12,5 %</t>
  </si>
  <si>
    <t>34.027.11</t>
  </si>
  <si>
    <t>ad2734dc-12ca-4f65-ae79-89b2021d4698</t>
  </si>
  <si>
    <t>Solarpanel, Mono-Si, Vogelsang-Kioto Solar, 9.1%</t>
  </si>
  <si>
    <t>Panneau solaire, Mono-Si, Vogelsang-Kioto Solar, 9,1 %</t>
  </si>
  <si>
    <t>34.027.12</t>
  </si>
  <si>
    <t>f29fef62-5f16-4bec-8ba2-45a0db80cbda</t>
  </si>
  <si>
    <t>Solarpanel, CIS, StoVentec Artline inlay, 9.5%</t>
  </si>
  <si>
    <t>92.038</t>
  </si>
  <si>
    <t>Rücknahme und Recycling, CdTe PV Modul</t>
  </si>
  <si>
    <t>Panneau solaire, CIS, StoVentec Artline inlay, 9,5 %</t>
  </si>
  <si>
    <r>
      <rPr>
        <sz val="10"/>
        <color rgb="FFFF0000"/>
        <rFont val="Arial"/>
        <family val="2"/>
      </rPr>
      <t>Collecte et recyclage, module photovoltaïque CdTe</t>
    </r>
  </si>
  <si>
    <t>34.027.13</t>
  </si>
  <si>
    <t>7d017958-0383-4f59-8277-5c33c96718f5</t>
  </si>
  <si>
    <t>Solarpanel, CIS, StoVentec Artline invisible, 9.5%</t>
  </si>
  <si>
    <t>Panneau solaire, CIS, StoVentec Artline invisible, 9,5 %</t>
  </si>
  <si>
    <t>34.028</t>
  </si>
  <si>
    <t>11bfcb57-c662-45d7-a709-87edf595669e</t>
  </si>
  <si>
    <r>
      <t>Solarstromanlage Schrägdach Mono-Si</t>
    </r>
    <r>
      <rPr>
        <vertAlign val="superscript"/>
        <sz val="10"/>
        <color rgb="FFFF0000"/>
        <rFont val="Arial"/>
        <family val="2"/>
      </rPr>
      <t>1</t>
    </r>
  </si>
  <si>
    <r>
      <t xml:space="preserve">Installation solaire sur toit incliné Mono-Si </t>
    </r>
    <r>
      <rPr>
        <vertAlign val="superscript"/>
        <sz val="10"/>
        <color rgb="FFFF0000"/>
        <rFont val="Arial"/>
        <family val="2"/>
      </rPr>
      <t>1</t>
    </r>
  </si>
  <si>
    <t>34.029</t>
  </si>
  <si>
    <t>b833386b-d841-47fa-a201-773218827017</t>
  </si>
  <si>
    <r>
      <t>Solarstromanlage Schrägdach Multi-Si</t>
    </r>
    <r>
      <rPr>
        <vertAlign val="superscript"/>
        <sz val="10"/>
        <color rgb="FFFF0000"/>
        <rFont val="Arial"/>
        <family val="2"/>
      </rPr>
      <t>1</t>
    </r>
  </si>
  <si>
    <r>
      <t xml:space="preserve">Installation solaire sur toit incliné Multi-Si </t>
    </r>
    <r>
      <rPr>
        <vertAlign val="superscript"/>
        <sz val="10"/>
        <color rgb="FFFF0000"/>
        <rFont val="Arial"/>
        <family val="2"/>
      </rPr>
      <t>1</t>
    </r>
  </si>
  <si>
    <t>34.030</t>
  </si>
  <si>
    <t>7d49c45f-4c6f-4cdc-8a8a-ff6d76bc1567</t>
  </si>
  <si>
    <r>
      <t>Solarstromanlage Schrägdach CdTe</t>
    </r>
    <r>
      <rPr>
        <vertAlign val="superscript"/>
        <sz val="10"/>
        <color rgb="FFFF0000"/>
        <rFont val="Arial"/>
        <family val="2"/>
      </rPr>
      <t>1</t>
    </r>
  </si>
  <si>
    <r>
      <t>Installation solaire sur toit incliné CdTe</t>
    </r>
    <r>
      <rPr>
        <vertAlign val="superscript"/>
        <sz val="10"/>
        <color rgb="FFFF0000"/>
        <rFont val="Arial"/>
        <family val="2"/>
      </rPr>
      <t xml:space="preserve"> 1 </t>
    </r>
  </si>
  <si>
    <t>34.031</t>
  </si>
  <si>
    <t>0e201389-8d05-4794-8197-d6e8f9633e49</t>
  </si>
  <si>
    <r>
      <t>Solarstromanlage Schrägdach CIS</t>
    </r>
    <r>
      <rPr>
        <vertAlign val="superscript"/>
        <sz val="10"/>
        <color rgb="FFFF0000"/>
        <rFont val="Arial"/>
        <family val="2"/>
      </rPr>
      <t>1</t>
    </r>
  </si>
  <si>
    <r>
      <t>Installation solaire sur toit incliné CISe</t>
    </r>
    <r>
      <rPr>
        <vertAlign val="superscript"/>
        <sz val="10"/>
        <color rgb="FFFF0000"/>
        <rFont val="Arial"/>
        <family val="2"/>
      </rPr>
      <t xml:space="preserve"> 1 </t>
    </r>
  </si>
  <si>
    <t>34.032</t>
  </si>
  <si>
    <t>5877239a-cf84-4ac2-8acb-829cb4252185</t>
  </si>
  <si>
    <r>
      <t>Wechselrichter 2.5 kW</t>
    </r>
    <r>
      <rPr>
        <vertAlign val="superscript"/>
        <sz val="10"/>
        <color rgb="FFFF0000"/>
        <rFont val="Arial"/>
        <family val="2"/>
      </rPr>
      <t>1</t>
    </r>
  </si>
  <si>
    <r>
      <t xml:space="preserve">Onduleur 2.5 kW </t>
    </r>
    <r>
      <rPr>
        <vertAlign val="superscript"/>
        <sz val="10"/>
        <color rgb="FFFF0000"/>
        <rFont val="Arial"/>
        <family val="2"/>
      </rPr>
      <t>1</t>
    </r>
  </si>
  <si>
    <t>34.033</t>
  </si>
  <si>
    <t>3f0bf472-027a-4421-aa10-1d8bd28d3b66</t>
  </si>
  <si>
    <r>
      <t>Wechselrichter 5 kW</t>
    </r>
    <r>
      <rPr>
        <vertAlign val="superscript"/>
        <sz val="10"/>
        <color rgb="FFFF0000"/>
        <rFont val="Arial"/>
        <family val="2"/>
      </rPr>
      <t>1</t>
    </r>
  </si>
  <si>
    <r>
      <t>Onduleur 5 kW</t>
    </r>
    <r>
      <rPr>
        <vertAlign val="superscript"/>
        <sz val="10"/>
        <color rgb="FFFF0000"/>
        <rFont val="Arial"/>
        <family val="2"/>
      </rPr>
      <t xml:space="preserve"> 1</t>
    </r>
  </si>
  <si>
    <t>34.034</t>
  </si>
  <si>
    <t>01e23196-7856-4acf-8926-c9ad60129694</t>
  </si>
  <si>
    <r>
      <t>Wechselrichter 10 kW</t>
    </r>
    <r>
      <rPr>
        <vertAlign val="superscript"/>
        <sz val="10"/>
        <color rgb="FFFF0000"/>
        <rFont val="Arial"/>
        <family val="2"/>
      </rPr>
      <t>1</t>
    </r>
  </si>
  <si>
    <r>
      <t>Onduleur 10 kW</t>
    </r>
    <r>
      <rPr>
        <vertAlign val="superscript"/>
        <sz val="10"/>
        <color rgb="FFFF0000"/>
        <rFont val="Arial"/>
        <family val="2"/>
      </rPr>
      <t xml:space="preserve"> 1</t>
    </r>
  </si>
  <si>
    <t>34.035</t>
  </si>
  <si>
    <t>897456bd-6639-457a-b703-8a13b603b8b9</t>
  </si>
  <si>
    <r>
      <t>Wechselrichter 20 kW</t>
    </r>
    <r>
      <rPr>
        <vertAlign val="superscript"/>
        <sz val="10"/>
        <color rgb="FFFF0000"/>
        <rFont val="Arial"/>
        <family val="2"/>
      </rPr>
      <t>1</t>
    </r>
  </si>
  <si>
    <r>
      <t>Onduleur 20 kW</t>
    </r>
    <r>
      <rPr>
        <vertAlign val="superscript"/>
        <sz val="10"/>
        <color rgb="FFFF0000"/>
        <rFont val="Arial"/>
        <family val="2"/>
      </rPr>
      <t xml:space="preserve"> 1</t>
    </r>
  </si>
  <si>
    <t>34.036</t>
  </si>
  <si>
    <t>3dd4be12-0cd1-49a0-8880-8ba30e1ea3c1</t>
  </si>
  <si>
    <r>
      <t>Elektroinstallation, Photovoltaikanlage</t>
    </r>
    <r>
      <rPr>
        <vertAlign val="superscript"/>
        <sz val="10"/>
        <color rgb="FFFF0000"/>
        <rFont val="Arial"/>
        <family val="2"/>
      </rPr>
      <t>1</t>
    </r>
  </si>
  <si>
    <r>
      <t>Installation électrique, installation photovoltaïque</t>
    </r>
    <r>
      <rPr>
        <vertAlign val="superscript"/>
        <sz val="10"/>
        <color rgb="FFFF0000"/>
        <rFont val="Arial"/>
        <family val="2"/>
      </rPr>
      <t xml:space="preserve"> 1</t>
    </r>
  </si>
  <si>
    <r>
      <rPr>
        <vertAlign val="superscript"/>
        <sz val="9"/>
        <color rgb="FFFF0000"/>
        <rFont val="Arial"/>
        <family val="2"/>
      </rPr>
      <t>1</t>
    </r>
    <r>
      <rPr>
        <sz val="9"/>
        <color rgb="FFFF0000"/>
        <rFont val="Arial"/>
        <family val="2"/>
      </rPr>
      <t xml:space="preserve"> Umweltkennwerte «Herstellung» inklusive Umweltbelastung durch Rücknahme und Recycling</t>
    </r>
  </si>
  <si>
    <t/>
  </si>
  <si>
    <t>1 Caractéristiques environnementales «fabrication», y compris l'impact environnemental de la reprise et du recyclage</t>
  </si>
  <si>
    <t>PEF-es</t>
  </si>
  <si>
    <t xml:space="preserve">ENERGIE
</t>
  </si>
  <si>
    <t>Bezug
Réference</t>
  </si>
  <si>
    <r>
      <t>UBP'</t>
    </r>
    <r>
      <rPr>
        <b/>
        <sz val="9"/>
        <color rgb="FFFF0000"/>
        <rFont val="Arial"/>
        <family val="2"/>
      </rPr>
      <t>21</t>
    </r>
    <r>
      <rPr>
        <b/>
        <sz val="9"/>
        <rFont val="Arial"/>
        <family val="2"/>
      </rPr>
      <t xml:space="preserve">
UBP'21</t>
    </r>
  </si>
  <si>
    <t xml:space="preserve">ÉNERGIE
</t>
  </si>
  <si>
    <t>erneuerbar am Standort</t>
  </si>
  <si>
    <t>renouvelable du site</t>
  </si>
  <si>
    <t>Einheit
Unité</t>
  </si>
  <si>
    <t>41</t>
  </si>
  <si>
    <r>
      <t>Brennstoffe</t>
    </r>
    <r>
      <rPr>
        <b/>
        <vertAlign val="superscript"/>
        <sz val="10"/>
        <rFont val="Arial"/>
        <family val="2"/>
      </rPr>
      <t>1</t>
    </r>
  </si>
  <si>
    <r>
      <t>Combustibles</t>
    </r>
    <r>
      <rPr>
        <b/>
        <vertAlign val="superscript"/>
        <sz val="10"/>
        <rFont val="Arial"/>
        <family val="2"/>
      </rPr>
      <t>1</t>
    </r>
  </si>
  <si>
    <t>41.001</t>
  </si>
  <si>
    <t>48b15cda-179e-4f9a-81c3-7cd01653e920</t>
  </si>
  <si>
    <t>Heizöl EL</t>
  </si>
  <si>
    <t>Endenergie</t>
  </si>
  <si>
    <t>Énergie finale</t>
  </si>
  <si>
    <t>41.002</t>
  </si>
  <si>
    <t>76a19c53-8e44-4806-8bd2-f0d87507a1db</t>
  </si>
  <si>
    <t>Erdgas</t>
  </si>
  <si>
    <t>41.003</t>
  </si>
  <si>
    <t>f12d6f0a-8ea3-450f-b9af-2e8f53758baa</t>
  </si>
  <si>
    <t>Propan/Butan</t>
  </si>
  <si>
    <t>Propane/butane</t>
  </si>
  <si>
    <t>41.004</t>
  </si>
  <si>
    <t>217f6f88-ba46-4c56-850c-80a57dc9daad</t>
  </si>
  <si>
    <t>Kohle Koks</t>
  </si>
  <si>
    <t>Coke de houille</t>
  </si>
  <si>
    <t>41.005</t>
  </si>
  <si>
    <t>0fd32da9-b0cb-424f-ae15-de65666785c4</t>
  </si>
  <si>
    <t>Kohle Brikett</t>
  </si>
  <si>
    <t>Briquette de houille</t>
  </si>
  <si>
    <t>41.006</t>
  </si>
  <si>
    <t>714c90ac-5805-462a-bcaa-d08d11977e3f</t>
  </si>
  <si>
    <t>Stückholz</t>
  </si>
  <si>
    <t>41.010</t>
  </si>
  <si>
    <t>2db29ccb-52fe-4e84-a135-734d8b38c078</t>
  </si>
  <si>
    <t>Stückholz mit Partikelfilter</t>
  </si>
  <si>
    <t>Bûches de bois avec filtre à particules</t>
  </si>
  <si>
    <t>41.007</t>
  </si>
  <si>
    <t>37e0ceac-f8ff-44f1-a1df-6ac995426b5e</t>
  </si>
  <si>
    <t>Holzschnitzel</t>
  </si>
  <si>
    <t>Particules de bois</t>
  </si>
  <si>
    <t>41.011</t>
  </si>
  <si>
    <t>6e44744b-89c3-4e51-bbce-ad8fdfcc77b6</t>
  </si>
  <si>
    <t>Holzschnitzel mit Partikelfilter</t>
  </si>
  <si>
    <t>Particules de bois avec filtre à particules</t>
  </si>
  <si>
    <t>41.008</t>
  </si>
  <si>
    <t>e7b59798-478f-43ff-a576-379dbf6da60d</t>
  </si>
  <si>
    <t>Pellets</t>
  </si>
  <si>
    <t>41.012</t>
  </si>
  <si>
    <t>7ff25854-f861-4a40-9823-65d24b5e1d11</t>
  </si>
  <si>
    <t>Pellets mit Partikelfilter</t>
  </si>
  <si>
    <t>Granules (pellets) avec filtre à particules</t>
  </si>
  <si>
    <t>41.009</t>
  </si>
  <si>
    <t>273feaeb-5b51-4f6b-b42a-f27eb5e1973f</t>
  </si>
  <si>
    <t>Biogas</t>
  </si>
  <si>
    <t>Biogaz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</si>
  <si>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Oberer Heizwert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</si>
  <si>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Pouvoir calorifique supérieur</t>
    </r>
  </si>
  <si>
    <t>42</t>
  </si>
  <si>
    <t>Fernwärme</t>
  </si>
  <si>
    <t>Chauffage urbain</t>
  </si>
  <si>
    <t>42.018</t>
  </si>
  <si>
    <t>d6bcf340-4df2-46b5-8fc3-4c602ae28ef9</t>
  </si>
  <si>
    <t>Atomkraftwerk</t>
  </si>
  <si>
    <t>Centrale nucléaire</t>
  </si>
  <si>
    <t>42.001</t>
  </si>
  <si>
    <t>b5fed222-858b-4b0c-9b79-2004731edfd9</t>
  </si>
  <si>
    <t>Heizzentrale Oel</t>
  </si>
  <si>
    <t>Centrale de chauffage, pétrole</t>
  </si>
  <si>
    <t>42.002</t>
  </si>
  <si>
    <t>4c27aa48-dc77-421c-b747-3cd7bde6ee17</t>
  </si>
  <si>
    <t>Heizzentrale Gas</t>
  </si>
  <si>
    <t>Centrale de chauffage, gaz</t>
  </si>
  <si>
    <t>42.003</t>
  </si>
  <si>
    <t>ff03eee5-5157-4073-ae97-2cb453aadedd</t>
  </si>
  <si>
    <t>Heizzentrale Holz</t>
  </si>
  <si>
    <t>Centrale de chauffage, bois</t>
  </si>
  <si>
    <t>42.004</t>
  </si>
  <si>
    <t>2c1816ea-5584-46cc-970a-ad2510e4ef7b</t>
  </si>
  <si>
    <t>Heizkraftwerk Holz</t>
  </si>
  <si>
    <t>Centrale à cogénération, bois</t>
  </si>
  <si>
    <t>42.006</t>
  </si>
  <si>
    <t>c64180bd-c1b0-4063-9fb3-08cb3fc4c8ab</t>
  </si>
  <si>
    <t>Heizzentrale EWP Abwasser (JAZ 3.4)</t>
  </si>
  <si>
    <t>Centrale de chauffage PACE, eaux usées (COPA 3.4)</t>
  </si>
  <si>
    <t>42.007</t>
  </si>
  <si>
    <t>7e521934-5d8f-40ac-8e17-249fe17da805</t>
  </si>
  <si>
    <t>Heizzentrale EWP Grundwasser (JAZ 3.1)</t>
  </si>
  <si>
    <t>Centrale de chauffage PACE, eaux souterraines (COPA 3.4)</t>
  </si>
  <si>
    <t>42.008</t>
  </si>
  <si>
    <t>9ac34f42-df98-4f3a-b676-3c91f8cff5c1</t>
  </si>
  <si>
    <t>Heizzentrale EWP Erdsonde (JAZ 3.1)</t>
  </si>
  <si>
    <t>Centrale de chauffage PACE, sonde géothermique (COPA 3.9)</t>
  </si>
  <si>
    <t>42.009</t>
  </si>
  <si>
    <t>2601e6f0-975b-4d52-a7bc-d2e4b60f951b</t>
  </si>
  <si>
    <t>Heizzentrale Geothermie</t>
  </si>
  <si>
    <t>Centrale de chauffage, géothermie</t>
  </si>
  <si>
    <t>42.010</t>
  </si>
  <si>
    <t>2b651e64-f7fa-4bcd-a6d8-4f36ea6efe21</t>
  </si>
  <si>
    <t>Heizkraftwerk Geothermie</t>
  </si>
  <si>
    <t>Centrale à cogénération, géothermie</t>
  </si>
  <si>
    <t>42.011</t>
  </si>
  <si>
    <t>8c167af0-64e3-4846-9087-fb1d378e9ee6</t>
  </si>
  <si>
    <t>Kehrichtverbrennung</t>
  </si>
  <si>
    <t>Incinération des ordures ménagères</t>
  </si>
  <si>
    <t>42.012</t>
  </si>
  <si>
    <t>57f12294-3883-4d65-863e-f081764b635a</t>
  </si>
  <si>
    <t>Blockheizkraftwerk Diesel</t>
  </si>
  <si>
    <t>Centrale à cogénération, diesel</t>
  </si>
  <si>
    <t>42.013</t>
  </si>
  <si>
    <t>360395e5-0272-4bfd-913a-e924e088f66f</t>
  </si>
  <si>
    <t>Blockheizkraftwerk Gas</t>
  </si>
  <si>
    <t>Centrale à cogénération, gaz</t>
  </si>
  <si>
    <t>42.014</t>
  </si>
  <si>
    <t>4613ab3e-444a-4a2d-8d5a-b60948fb8dee</t>
  </si>
  <si>
    <t>Blockheizkraftwerk Biogas</t>
  </si>
  <si>
    <t>Centrale à cogénération, biogaz</t>
  </si>
  <si>
    <t>42.016</t>
  </si>
  <si>
    <t>130cb5ce-cd7e-4ed8-96d7-93cb56dd3853</t>
  </si>
  <si>
    <t>Fernwärme Durchschnitt Netze CH</t>
  </si>
  <si>
    <t>Chauffage à distance, moyenne réseaux CH</t>
  </si>
  <si>
    <t>42.017</t>
  </si>
  <si>
    <t>a8516884-b484-4e68-8e30-608d276fa1c0</t>
  </si>
  <si>
    <t>Fernwärme mit Nutzung Kehrichtwärme, Durchschnitt Netze CH</t>
  </si>
  <si>
    <t>Chauffage à distance de l'incinération des ordures, moyenne réseaux CH</t>
  </si>
  <si>
    <t>43</t>
  </si>
  <si>
    <t>Nutzwärme</t>
  </si>
  <si>
    <t>Chaleur utile</t>
  </si>
  <si>
    <t>43.013</t>
  </si>
  <si>
    <t>55460b07-ca34-4a67-8982-2e852bc37223</t>
  </si>
  <si>
    <t>Elektrospeicherofen (Strom CH)</t>
  </si>
  <si>
    <r>
      <t>Nutzwärme</t>
    </r>
    <r>
      <rPr>
        <vertAlign val="superscript"/>
        <sz val="10"/>
        <color rgb="FFFF0000"/>
        <rFont val="Arial"/>
        <family val="2"/>
      </rPr>
      <t>2</t>
    </r>
  </si>
  <si>
    <r>
      <t>Chaleur utile</t>
    </r>
    <r>
      <rPr>
        <vertAlign val="superscript"/>
        <sz val="10"/>
        <color rgb="FFFF0000"/>
        <rFont val="Arial"/>
        <family val="2"/>
      </rPr>
      <t>2</t>
    </r>
  </si>
  <si>
    <t>Four à accumulation électrique (électricité CH)</t>
  </si>
  <si>
    <t>43.014</t>
  </si>
  <si>
    <t>65f87076-fa16-4403-8fae-232d7c9c2f36</t>
  </si>
  <si>
    <t>Elektrospeicherofen (Strom CH zertifiziert)</t>
  </si>
  <si>
    <t>Four à accumulation électrique (électricité certifiée CH)</t>
  </si>
  <si>
    <t>43.001</t>
  </si>
  <si>
    <t>7d9b9d39-8e10-45ca-8ea8-622b3828030b</t>
  </si>
  <si>
    <t>Heizkessel Heizöl EL</t>
  </si>
  <si>
    <r>
      <t>Nutzwärme</t>
    </r>
    <r>
      <rPr>
        <vertAlign val="superscript"/>
        <sz val="10"/>
        <rFont val="Arial"/>
        <family val="2"/>
      </rPr>
      <t>2</t>
    </r>
  </si>
  <si>
    <r>
      <t>Chaleur utile</t>
    </r>
    <r>
      <rPr>
        <vertAlign val="superscript"/>
        <sz val="10"/>
        <rFont val="Arial"/>
        <family val="2"/>
      </rPr>
      <t>2</t>
    </r>
  </si>
  <si>
    <t>Chaudière, mazout EL</t>
  </si>
  <si>
    <t>43.002</t>
  </si>
  <si>
    <t>ba619be9-6606-4dbe-87ed-406ae039d885</t>
  </si>
  <si>
    <t>Heizkessel Erdgas</t>
  </si>
  <si>
    <t>Chaudière, gaz naturel</t>
  </si>
  <si>
    <t>43.003</t>
  </si>
  <si>
    <t>dc135147-dd7c-49a1-a456-3becae0fd4ed</t>
  </si>
  <si>
    <t>Heizkessel Propan / Butan</t>
  </si>
  <si>
    <t>Chaudière, propane/butane</t>
  </si>
  <si>
    <t>43.004</t>
  </si>
  <si>
    <t>8eff895b-6598-421d-8348-73fb966452dc</t>
  </si>
  <si>
    <t>Heizkessel Kohle Koks</t>
  </si>
  <si>
    <t>Chaudière, coke de houille</t>
  </si>
  <si>
    <t>43.005</t>
  </si>
  <si>
    <t>cfc59c80-f1cf-4936-a91e-730144481924</t>
  </si>
  <si>
    <t>Heizkessel Kohle Brikett</t>
  </si>
  <si>
    <t>Chaudière, briquette de houille</t>
  </si>
  <si>
    <t>43.006</t>
  </si>
  <si>
    <t>fc02eb84-74dd-4d52-a0e4-5c20232efbc4</t>
  </si>
  <si>
    <t>Heizkessel Stückholz</t>
  </si>
  <si>
    <t>Chaudière, bûches de bois</t>
  </si>
  <si>
    <t>43.010</t>
  </si>
  <si>
    <t>a3736425-d2ff-4dec-9c77-b28223681b44</t>
  </si>
  <si>
    <t>Heizkessel Stückholz mit Partikelfilter</t>
  </si>
  <si>
    <t>Chaudière, bûches de bois avec filtre à particules</t>
  </si>
  <si>
    <t>43.007</t>
  </si>
  <si>
    <t>5f1933a0-398d-481b-bb23-afcc4517728b</t>
  </si>
  <si>
    <t>Heizkessel Holzschnitzel</t>
  </si>
  <si>
    <t>Chaudière, particules de bois</t>
  </si>
  <si>
    <t>43.011</t>
  </si>
  <si>
    <t>1da5e9bd-101d-4979-b88f-ef3a5c8a60bd</t>
  </si>
  <si>
    <t>Heizkessel Holzschnitzel mit Partikelfilter</t>
  </si>
  <si>
    <t>Chaudière, particules de bois avec filtre à particules</t>
  </si>
  <si>
    <t>43.008</t>
  </si>
  <si>
    <t>c7a584e8-5547-4635-ab55-72ea8498a49d</t>
  </si>
  <si>
    <t>Heizkessel Pellets</t>
  </si>
  <si>
    <t>Chaudière, granules (pellets)</t>
  </si>
  <si>
    <t>43.012</t>
  </si>
  <si>
    <t>678aba03-e476-40da-b927-a3d3f6b3cfd0</t>
  </si>
  <si>
    <t>Heizkessel Pellets mit Partikelfilter</t>
  </si>
  <si>
    <t>Chaudière, granules (pellets) avec filtre à particules</t>
  </si>
  <si>
    <t>43.009</t>
  </si>
  <si>
    <t>e9c79b59-e4d3-49ff-a0d9-290bc7f01055</t>
  </si>
  <si>
    <t>Heizkessel Biogas</t>
  </si>
  <si>
    <t>Chaudière, biogaz</t>
  </si>
  <si>
    <t>44</t>
  </si>
  <si>
    <t>Nutzwärme am Standort erzeugt, inkl. erneuerbare Energien</t>
  </si>
  <si>
    <t>Chaleur utile produite sur place, y compris énergies renouvelables</t>
  </si>
  <si>
    <t>44.001</t>
  </si>
  <si>
    <t>0b18350f-d69a-436d-ae82-e34e89382b2c</t>
  </si>
  <si>
    <t>Elektrowärmepumpe Luft / Wasser (15kW, Altbau, JAZ 2.7, Strom CH)</t>
  </si>
  <si>
    <t>Nutzwärme2</t>
  </si>
  <si>
    <t>Pompe à chaleur électrique air-eau (15kW, ancien, COPA 2.7, électricité CH)</t>
  </si>
  <si>
    <t>44.012</t>
  </si>
  <si>
    <t>4ea61be0-177c-4f44-a0b6-baba4dde43b8</t>
  </si>
  <si>
    <t>Elektrowärmepumpe Luft / Wasser (15kW, Altbau, JAZ 2.7, Strom CH zertifiziert)</t>
  </si>
  <si>
    <t>Pompe à chaleur électrique air-eau (15kW, ancien, COPA 2.7, électricité CH certifiée)</t>
  </si>
  <si>
    <t>44.009</t>
  </si>
  <si>
    <t>58b13ac9-512c-4397-8b96-7c8a77c5cace</t>
  </si>
  <si>
    <t>Elektrowärmepumpe Luft / Wasser (15kW, Neubau, JAZ 4.4, Strom CH)</t>
  </si>
  <si>
    <t>Pompe à chaleur électrique air-eau (15kW, nouveau, COPA 4.4, électricité CH)</t>
  </si>
  <si>
    <t>44.015</t>
  </si>
  <si>
    <t>554cbe26-389f-4e9c-9238-10d1258df06d</t>
  </si>
  <si>
    <t>Elektrowärmepumpe Luft / Wasser (15kW, Neubau, JAZ 4.4, Strom CH zertifiziert)</t>
  </si>
  <si>
    <t>Pompe à chaleur électrique air-eau (15kW, nouveau, COPA 4.4, électricité CH certifiée)</t>
  </si>
  <si>
    <t>44.002</t>
  </si>
  <si>
    <t>a673b8a9-910d-4ddd-85ab-a46bc496654f</t>
  </si>
  <si>
    <t>Elektrowärmepumpe Erdsonden (15kW, Altbau, JAZ 3.2, Strom CH)</t>
  </si>
  <si>
    <t>Pompe à chaleur électrique sonde géothermique (15kW, ancien, COPA 3.2, électricité CH)</t>
  </si>
  <si>
    <t>44.013</t>
  </si>
  <si>
    <t>af3e00a5-f765-4c28-b8f3-90f0ef380730</t>
  </si>
  <si>
    <t>Elektrowärmepumpe Erdsonden (15kW, Altbau, JAZ 3.2, Strom CH zertifiziert)</t>
  </si>
  <si>
    <t>Pompe à chaleur électrique sonde géothermique (15kW, ancien, COPA 3.2, électricité CH certifiée)</t>
  </si>
  <si>
    <t>44.010</t>
  </si>
  <si>
    <t>b9cb39f8-a5b1-46d5-9ffa-c1e1d5d08e24</t>
  </si>
  <si>
    <t>Elektrowärmepumpe Erdsonden (15kW, Neubau, JAZ 5.3, Strom CH)</t>
  </si>
  <si>
    <t>Pompe à chaleur électrique sonde géothermique (15kW, nouveau, COPA 5.3, électricité CH)</t>
  </si>
  <si>
    <t>44.016</t>
  </si>
  <si>
    <t>c807fa71-cf7c-42b1-ac5e-50e329bcc2d9</t>
  </si>
  <si>
    <t>Elektrowärmepumpe Erdsonden (15kW, Neubau, JAZ 5.3, Strom CH zertifiziert)</t>
  </si>
  <si>
    <t>Pompe à chaleur électrique sonde géothermique (15kW, nouveau, COPA 5.3, électricité CH certifiée)</t>
  </si>
  <si>
    <t>44.003</t>
  </si>
  <si>
    <t>ad4e5263-415c-4a35-b9c4-f9e6fe89d367</t>
  </si>
  <si>
    <t>Elektrowärmepumpe Grundwasser (15kW, Altbau, JAZ 3.2, Strom CH)</t>
  </si>
  <si>
    <t>Pompe à chaleur électrique eaux souterraines (15kW, ancien, COPA 3.2, électricité CH)</t>
  </si>
  <si>
    <t>44.014</t>
  </si>
  <si>
    <t>d3f29196-dca0-4212-b79b-21d85d4343e0</t>
  </si>
  <si>
    <t>Elektrowärmepumpe Grundwasser (15kW, Altbau, JAZ 3.2, Strom CH zertifiziert)</t>
  </si>
  <si>
    <t>Pompe à chaleur électrique eaux souterraines (15kW, ancien, COPA 3.2, électricité CH certifiée)</t>
  </si>
  <si>
    <t>44.011</t>
  </si>
  <si>
    <t>d41868f3-7ed1-4518-b290-d9823454d590</t>
  </si>
  <si>
    <t>Elektrowärmepumpe Grundwasser (15kW, Neubau, JAZ 5.3, Strom CH)</t>
  </si>
  <si>
    <t>Pompe à chaleur électrique eaux souterraines (15kW, nouveau, COPA 5.3, électricité CH)</t>
  </si>
  <si>
    <t>44.017</t>
  </si>
  <si>
    <t>bdb8bd74-b9bc-4d08-b2a5-490d3b8b381e</t>
  </si>
  <si>
    <t>Elektrowärmepumpe Grundwasser (15kW, Neubau, JAZ 5.3, Strom CH zertifiziert)</t>
  </si>
  <si>
    <t>Pompe à chaleur électrique eaux souterraines (15kW, nouveau, COPA 5.3, électricité CH certifiée)</t>
  </si>
  <si>
    <t>44.004</t>
  </si>
  <si>
    <t>5d43faac-ced7-442d-9c5b-fd3c98dbf322</t>
  </si>
  <si>
    <t>44.005</t>
  </si>
  <si>
    <t>5f5c1c64-5015-4b87-98a9-84e4e2552dbe</t>
  </si>
  <si>
    <t>Collecteurs solaires plan, chaleur et eau chaude maison individuelle</t>
  </si>
  <si>
    <t>44.006</t>
  </si>
  <si>
    <t>34b2141d-695b-4223-b7ef-74bfd62d5081</t>
  </si>
  <si>
    <t>44.007</t>
  </si>
  <si>
    <t>9867129a-d2ec-4740-a36e-a702062d8d70</t>
  </si>
  <si>
    <t>Collecteurs solaires à tubes, chaleur et eau chaude maison individuelle</t>
  </si>
  <si>
    <t>44.008</t>
  </si>
  <si>
    <t>18d9c1bd-bedd-474b-b652-f28cce940ce9</t>
  </si>
  <si>
    <t>Kleinblockheizkraftwerk, Erdgas</t>
  </si>
  <si>
    <t>Centrale à cogénération, petite, gaz</t>
  </si>
  <si>
    <t>44.018</t>
  </si>
  <si>
    <t>a53faab7-4b4b-49c1-b019-e8fb34f5e330</t>
  </si>
  <si>
    <t>Solarthermieanlage Schrägdach mit Erdsondenregeneration</t>
  </si>
  <si>
    <t>Installation solaire thermique sur toiture inclinée avec régénération par sonde géothermique</t>
  </si>
  <si>
    <t>44.019</t>
  </si>
  <si>
    <t>5cc125f5-2014-4cae-a3c1-aa9035fce5d6</t>
  </si>
  <si>
    <t>Solarthermieanlage Schrägdach mit Warmwasserspeicher</t>
  </si>
  <si>
    <t>Installation solaire thermique sur toiture inclinée avec accumulateur d'eau chaude sanitaire</t>
  </si>
  <si>
    <r>
      <t>2</t>
    </r>
    <r>
      <rPr>
        <sz val="9"/>
        <rFont val="Arial"/>
        <family val="2"/>
      </rPr>
      <t xml:space="preserve">inkl. Verteilverluste (Wärme am Ausgang Wärmeerzeuger)
</t>
    </r>
  </si>
  <si>
    <r>
      <t>2</t>
    </r>
    <r>
      <rPr>
        <sz val="9"/>
        <rFont val="Arial"/>
        <family val="2"/>
      </rPr>
      <t>y compris pertes de distribution (Chaleur à la sortie du producteur de chaleur)</t>
    </r>
    <r>
      <rPr>
        <vertAlign val="superscript"/>
        <sz val="9"/>
        <rFont val="Arial"/>
        <family val="2"/>
      </rPr>
      <t xml:space="preserve">
</t>
    </r>
  </si>
  <si>
    <t>45</t>
  </si>
  <si>
    <t>Elektrizität vom Netz</t>
  </si>
  <si>
    <t>Électricité du réseau</t>
  </si>
  <si>
    <t>45.001</t>
  </si>
  <si>
    <t>435c385f-89c8-4697-b56e-03e6ff69bbf0</t>
  </si>
  <si>
    <t>45.002</t>
  </si>
  <si>
    <t>af5f1204-e32e-4854-a7d7-14358c31b884</t>
  </si>
  <si>
    <t>Erdgaskombikraftwerk GuD</t>
  </si>
  <si>
    <t>Centrale combinée gaz naturel G+V</t>
  </si>
  <si>
    <t>45.024</t>
  </si>
  <si>
    <t>f63eab72-1de0-420c-8980-2c07f13fe242</t>
  </si>
  <si>
    <t>Erdgaskraftwerk</t>
  </si>
  <si>
    <t>Centrale gaz naturel</t>
  </si>
  <si>
    <t>45.023</t>
  </si>
  <si>
    <t>72c73906-19ca-4ffa-bcb6-1d0bf591af7a</t>
  </si>
  <si>
    <t>Braunkohlekraftwerk</t>
  </si>
  <si>
    <t>Centrale au lignite</t>
  </si>
  <si>
    <t>45.003</t>
  </si>
  <si>
    <t>aa08451d-646b-465e-ba87-f402946e572b</t>
  </si>
  <si>
    <t>Steinkohlekraftwerk</t>
  </si>
  <si>
    <t>Centrale au charbon</t>
  </si>
  <si>
    <t>45.004</t>
  </si>
  <si>
    <t>824df77c-1694-439b-b3be-ed1751afb72f</t>
  </si>
  <si>
    <t>Kraftwerk Schweröl</t>
  </si>
  <si>
    <t>Centrale, pétrole</t>
  </si>
  <si>
    <t>45.005</t>
  </si>
  <si>
    <t>71f008b1-b010-49c8-b6f3-12c8b17a1768</t>
  </si>
  <si>
    <t>45.006</t>
  </si>
  <si>
    <t>7c4c72bf-4676-4084-bd34-45e41d445ff0</t>
  </si>
  <si>
    <t>45.007</t>
  </si>
  <si>
    <t>e5a3a6ce-588f-4182-ace1-77d8824dcefb</t>
  </si>
  <si>
    <t>45.008</t>
  </si>
  <si>
    <t>796f0ecd-6673-45de-a0ff-dd1518eb07aa</t>
  </si>
  <si>
    <t>45.009</t>
  </si>
  <si>
    <t>5f8e4f54-bff4-45ab-92c3-80542a3a821d</t>
  </si>
  <si>
    <t>45.011</t>
  </si>
  <si>
    <t>fb939bcf-3036-43c4-a53f-f0112ba5b94f</t>
  </si>
  <si>
    <t>Photovoltaik</t>
  </si>
  <si>
    <t>Photovoltaïque</t>
  </si>
  <si>
    <t>45.012</t>
  </si>
  <si>
    <t>b423276c-108a-4f5d-8956-b7d8d853610e</t>
  </si>
  <si>
    <t>Photovoltaik Schrägdach</t>
  </si>
  <si>
    <t>Photovoltaïque toiture inclinée</t>
  </si>
  <si>
    <t>45.013</t>
  </si>
  <si>
    <t>e55b3bc6-ae20-4bd4-a426-4e6d19274567</t>
  </si>
  <si>
    <t>Photovoltaik Flachdach</t>
  </si>
  <si>
    <t>Photovoltaïque toiture plate</t>
  </si>
  <si>
    <t>45.014</t>
  </si>
  <si>
    <t>788e955c-ee9b-40e1-ae75-a2324219a711</t>
  </si>
  <si>
    <t>Photovoltaik Fassade</t>
  </si>
  <si>
    <t>Photovoltaïque façade</t>
  </si>
  <si>
    <t>45.027</t>
  </si>
  <si>
    <t>1e8fb369-a0e8-478c-8ca1-dc78163d5a2e</t>
  </si>
  <si>
    <t>Photovoltaik Schrägdach Mono-Si</t>
  </si>
  <si>
    <t>Photovoltaïque toiture inclinée monocristalline</t>
  </si>
  <si>
    <t>45.028</t>
  </si>
  <si>
    <t>f480fec1-83bd-4ad0-a86a-ca7accd68ae3</t>
  </si>
  <si>
    <t>Photovoltaik Schrägdach Multi-Si</t>
  </si>
  <si>
    <t>Photovoltaïque toiture inclinée polycristalline</t>
  </si>
  <si>
    <t>45.029</t>
  </si>
  <si>
    <t>9c7a7e8d-2874-4b08-8700-bbc5459e2760</t>
  </si>
  <si>
    <t>Photovoltaik Schrägdach CdTe</t>
  </si>
  <si>
    <t>Photovoltaïque toiture inclinée tellurure de cadmium</t>
  </si>
  <si>
    <t>45.030</t>
  </si>
  <si>
    <t>7e70fc16-2414-407e-aacd-40ad589cef59</t>
  </si>
  <si>
    <t>Photovoltaik Schrägdach CIS</t>
  </si>
  <si>
    <t>Photovoltaïque toiture inclinée CIS</t>
  </si>
  <si>
    <t>45.015</t>
  </si>
  <si>
    <t>c32126d2-b7b7-4125-829b-8487add5f329</t>
  </si>
  <si>
    <t>Windkraft</t>
  </si>
  <si>
    <t>Énergie éolienne</t>
  </si>
  <si>
    <t>45.016</t>
  </si>
  <si>
    <t>ab036a5d-8e74-4184-b240-982ab6af177e</t>
  </si>
  <si>
    <t>Wasserkraft</t>
  </si>
  <si>
    <t>Énergie hydraulique</t>
  </si>
  <si>
    <t>45.017</t>
  </si>
  <si>
    <t>e1b166b6-6d08-4c94-9521-4ce41d63750f</t>
  </si>
  <si>
    <t>Pumpspeicherung</t>
  </si>
  <si>
    <t>Accumulation par pompage</t>
  </si>
  <si>
    <t>45.018</t>
  </si>
  <si>
    <t>365dfbc7-e5c3-4afa-aa69-8c3299d6df53</t>
  </si>
  <si>
    <t>45.020</t>
  </si>
  <si>
    <t>e4f13ff2-30e8-4233-88b8-d188890c9368</t>
  </si>
  <si>
    <t>CH-Verbrauchermix</t>
  </si>
  <si>
    <t>Mix consommateur CH</t>
  </si>
  <si>
    <t>45.019</t>
  </si>
  <si>
    <t>8a04a598-219a-46dd-8c73-7710995a9e8d</t>
  </si>
  <si>
    <t>CH-Produktionsmix</t>
  </si>
  <si>
    <t>Mix de production CH</t>
  </si>
  <si>
    <t>45.022</t>
  </si>
  <si>
    <t>10572f84-797c-4cd6-9b75-4b2e5c5dff0e</t>
  </si>
  <si>
    <t>Mix Stromprodukte aus erneuerbaren Energien</t>
  </si>
  <si>
    <t>Mix de produits des énergies renouvelables CH</t>
  </si>
  <si>
    <t>45.025</t>
  </si>
  <si>
    <t>11577786-f0fb-40b4-8429-10d1fed583f4</t>
  </si>
  <si>
    <t>CH-Lieferantenmix HKN</t>
  </si>
  <si>
    <t>Mix des fournisseurs CH HKN</t>
  </si>
  <si>
    <t>45.021</t>
  </si>
  <si>
    <t>9c3a1bd6-d71a-4afe-890b-a0c56eb0b49c</t>
  </si>
  <si>
    <t>ENTSO-E-Mix (ehemals UCTE-Mix)</t>
  </si>
  <si>
    <t xml:space="preserve">Mix ENTSO-E (anc. mix UCTE) </t>
  </si>
  <si>
    <t>46</t>
  </si>
  <si>
    <t>Elektrizität am Standort erzeugt, inkl. erneuerbare Energien</t>
  </si>
  <si>
    <t>Électricité produite sur place, y compris énergies renouvelables</t>
  </si>
  <si>
    <t>46.001</t>
  </si>
  <si>
    <t>7be161d6-03fa-4db1-82bc-e6be259a060b</t>
  </si>
  <si>
    <t>46.002</t>
  </si>
  <si>
    <t>ae86904a-9745-4d24-b427-a8908a7f97bd</t>
  </si>
  <si>
    <t>46.003</t>
  </si>
  <si>
    <t>8c2b3e9f-804c-4d75-850b-c609496459af</t>
  </si>
  <si>
    <t>46.004</t>
  </si>
  <si>
    <t>b9c5acff-d08c-4f15-b034-855c6540dbfb</t>
  </si>
  <si>
    <t>46.009</t>
  </si>
  <si>
    <t>20415a4b-ce1c-4e19-ac75-1e77fe55c081</t>
  </si>
  <si>
    <t>46.010</t>
  </si>
  <si>
    <t>80b93f08-816d-481b-a09d-2ebd2702d33a</t>
  </si>
  <si>
    <t>46.011</t>
  </si>
  <si>
    <t>6213e7fb-e81c-4060-8acd-c794dd8ad545</t>
  </si>
  <si>
    <t>46.012</t>
  </si>
  <si>
    <t>b5b7b671-673c-4585-a656-e03ce245f997</t>
  </si>
  <si>
    <t>46.013</t>
  </si>
  <si>
    <t>6110720a-6002-4ac3-9719-08c40a415d32</t>
  </si>
  <si>
    <t>Photovoltaik Mono-Si in Hybridkollektor</t>
  </si>
  <si>
    <t>Photovoltaïque monocristallin en collecteur hybride</t>
  </si>
  <si>
    <t>46.005</t>
  </si>
  <si>
    <t>3f6aa33a-372f-437b-a03e-d2ead135874f</t>
  </si>
  <si>
    <t>46.006</t>
  </si>
  <si>
    <t>d7868367-6236-4c47-8887-693007b13390</t>
  </si>
  <si>
    <t>46.007</t>
  </si>
  <si>
    <t>316f0045-51cf-4a99-a9cf-c1c2eac282bb</t>
  </si>
  <si>
    <t>Biogas, Landwirtschaft</t>
  </si>
  <si>
    <t>Biogaz agricole</t>
  </si>
  <si>
    <t>46.008</t>
  </si>
  <si>
    <t>7d5bd80b-2e77-4498-8c48-dfd001fb7b7f</t>
  </si>
  <si>
    <t>46.014</t>
  </si>
  <si>
    <t>31ad1ddc-f76c-4caf-b168-9c3e6e0772df</t>
  </si>
  <si>
    <t>Kleinblockheizkraftwerk, Biogas</t>
  </si>
  <si>
    <t xml:space="preserve">Strommixrechner: Mit dem Strommixrechner (https://treeze.ch/de/rechner) können Umweltkennwerte von spezifischen Strommixen berechnet werden. 
Fernwärmerechner: Mit dem Fernwärmerechner (https://treeze.ch/de/rechner) können Umweltkennwerte von spezifischen Fernwärmemixen berechnet werden. 
Wärmepumpenrechner: Mit dem Wärmepumpenrechner (https://treeze.ch/de/rechner) können Umweltkennwerte pro kWh gelieferte Wärme und pro kWh Strom, der von der Wärmepumpe verbraucht wird berechnet werden. 
Calculateur de mix énergétique: le calculateur de mix énergétique (https://treeze.ch/de/rechner) permet de calculer les données environnementales de mix énergétiques spécifiques. 
Calculateur de chauffage urbain: le calculateur de chauffage urbain (https://treeze.ch/de/rechner) permet de calculer les données environnementales de mix spécifiques de chauffage urbain. 
Calculateur de pompe à chaleur: le calculateur de pompe à chaleur (https://treeze.ch/de/rechner) permet de calculer les données environnementales par kWh de chaleur fournie et par kWh d'électricité consommée par la pompe à chaleur. </t>
  </si>
  <si>
    <t xml:space="preserve">TRANSPORTE
</t>
  </si>
  <si>
    <t>Treibhausgasemissionen
und Klimaeffekte Flugzeugemissionen, RFI=2.5</t>
  </si>
  <si>
    <t xml:space="preserve">TRANSPORTS 
</t>
  </si>
  <si>
    <t>Émissions de gaz à effet de serre et effets climatique des émissions des avions, RFI=2.5</t>
  </si>
  <si>
    <t>Betrieb</t>
  </si>
  <si>
    <t>Fahrzeug</t>
  </si>
  <si>
    <t>Infrastruktur</t>
  </si>
  <si>
    <t>Véhicule</t>
  </si>
  <si>
    <t>Infrastructure</t>
  </si>
  <si>
    <t>61</t>
  </si>
  <si>
    <t>Treibstoffe</t>
  </si>
  <si>
    <t>Carburants</t>
  </si>
  <si>
    <t>61.003</t>
  </si>
  <si>
    <t>2f501d97-9e8d-4251-ba28-42e1c8aee43e</t>
  </si>
  <si>
    <t>Benzin in Personenwagen</t>
  </si>
  <si>
    <t>Essence pour voitures</t>
  </si>
  <si>
    <t>61.009</t>
  </si>
  <si>
    <t>a24fe3ee-3bcc-49df-b744-ab49b725c085</t>
  </si>
  <si>
    <t>Benzin in Scooter</t>
  </si>
  <si>
    <t>Essence pour scooter</t>
  </si>
  <si>
    <t>61.005</t>
  </si>
  <si>
    <t>7aa3b385-146c-4c8e-862f-40c65a9d819f</t>
  </si>
  <si>
    <t>Biogas in Personenwagen</t>
  </si>
  <si>
    <t>Biogaz pour voitures</t>
  </si>
  <si>
    <t>61.001</t>
  </si>
  <si>
    <t>75668959-4010-4847-84d0-c812c912fde5</t>
  </si>
  <si>
    <t>Diesel in Baumaschine</t>
  </si>
  <si>
    <t>Gasoil pour engin de chantier, sans FAP</t>
  </si>
  <si>
    <t>61.002</t>
  </si>
  <si>
    <t>1a62ced9-c2c1-4842-9c00-da135c6369f8</t>
  </si>
  <si>
    <t>Diesel in Lastwagen</t>
  </si>
  <si>
    <t>Gasoil pour camions</t>
  </si>
  <si>
    <t>61.004</t>
  </si>
  <si>
    <t>846f23d4-0ae0-44fe-82a4-34ddb2f390ce</t>
  </si>
  <si>
    <t>Diesel in Personenwagen</t>
  </si>
  <si>
    <t>Gasoil pour voitures</t>
  </si>
  <si>
    <t>61.006</t>
  </si>
  <si>
    <t>906187f7-fe0a-4635-ad9a-93844a480be0</t>
  </si>
  <si>
    <t>Erdgas in Personenwagen</t>
  </si>
  <si>
    <t>gaz naturel pour voitures</t>
  </si>
  <si>
    <t>61.007</t>
  </si>
  <si>
    <t>bbac2696-f10c-4fcd-a473-345f95fef0e4</t>
  </si>
  <si>
    <t>Kerosin in Flugzeug</t>
  </si>
  <si>
    <t>Kérosène pour avions</t>
  </si>
  <si>
    <t>61.008</t>
  </si>
  <si>
    <t>c0a35414-64d8-4f98-9496-6f6048563dbf</t>
  </si>
  <si>
    <t>Strom CH-Verbrauchermix in Personenwagen</t>
  </si>
  <si>
    <t xml:space="preserve">Mix de consommation d'électricité CH dans les voitures </t>
  </si>
  <si>
    <t>61.010</t>
  </si>
  <si>
    <t>0648099d-a023-44a0-bf23-9a7c41cb7493</t>
  </si>
  <si>
    <t>Mix Stromprodukte aus erneuerbaren Energien in Personenwagen</t>
  </si>
  <si>
    <t xml:space="preserve">Mix de produits électriques issus d'énergies renouvelables dans les voitures </t>
  </si>
  <si>
    <t>62</t>
  </si>
  <si>
    <t>Güter-Transporte</t>
  </si>
  <si>
    <t>Transports de marchandises</t>
  </si>
  <si>
    <t>192fa484-f768-414f-9c56-b0a733701185</t>
  </si>
  <si>
    <t>Aushub maschinell, Durchschnitt</t>
  </si>
  <si>
    <t>Aushubvolumen</t>
  </si>
  <si>
    <t>Excavations mécaniques, en moyenne</t>
  </si>
  <si>
    <t>62.014</t>
  </si>
  <si>
    <t>fa78d673-221b-4299-9370-9ea7fc7b7201</t>
  </si>
  <si>
    <t>Aushub maschinell, mit PF</t>
  </si>
  <si>
    <t>Excavations mécaniques, avec FAP</t>
  </si>
  <si>
    <t>62.015</t>
  </si>
  <si>
    <t>5b8ad07a-5dfd-4268-9b59-e81727aa9e37</t>
  </si>
  <si>
    <t>Aushub maschinell, ohne PF</t>
  </si>
  <si>
    <t>Excavations mécaniques, sans FAP</t>
  </si>
  <si>
    <t>62.002</t>
  </si>
  <si>
    <t>9e6a5775-fba3-4a40-92db-c8b26d8ecb66</t>
  </si>
  <si>
    <t>Binnenschiff</t>
  </si>
  <si>
    <t>Transportleistung</t>
  </si>
  <si>
    <t>Rend.du transp.</t>
  </si>
  <si>
    <t>Cargo de marchandise, navigation intérieure</t>
  </si>
  <si>
    <t>62.011</t>
  </si>
  <si>
    <t>7e0ad8be-a4dd-4748-ba1d-afe835227239</t>
  </si>
  <si>
    <t>Flugzeug, Durchschnitt</t>
  </si>
  <si>
    <t>Transport aérien, moyenne</t>
  </si>
  <si>
    <t>62.012</t>
  </si>
  <si>
    <t>530ea19b-f85d-40bd-bd24-1befcf388c51</t>
  </si>
  <si>
    <t>Flugzeug, Kurzstrecke</t>
  </si>
  <si>
    <t>Transport aérien, courte distance</t>
  </si>
  <si>
    <t>2b03b3a7-900b-470f-8720-e5574476748d</t>
  </si>
  <si>
    <t>Flugzeug, Mittelstrecke</t>
  </si>
  <si>
    <t>Transport aérien, moyenne distance</t>
  </si>
  <si>
    <t>62.013</t>
  </si>
  <si>
    <t>e8dd7784-f3bc-469c-9bf9-305edf7c35e0</t>
  </si>
  <si>
    <t>Flugzeug, Langstrecke</t>
  </si>
  <si>
    <t>Transport aérien, longue distance</t>
  </si>
  <si>
    <t>62.003</t>
  </si>
  <si>
    <t>ce5160e7-2652-4d5c-a7d9-578739702590</t>
  </si>
  <si>
    <t>Güterzug</t>
  </si>
  <si>
    <t>Train de marchandises</t>
  </si>
  <si>
    <t>62.004</t>
  </si>
  <si>
    <t>98c0ca0e-2b4b-4f1e-927e-45bc97978d14</t>
  </si>
  <si>
    <t>Helikopter</t>
  </si>
  <si>
    <t>Einsatzzeit</t>
  </si>
  <si>
    <t>h</t>
  </si>
  <si>
    <t>Heures de vol</t>
  </si>
  <si>
    <t>Hélicoptère</t>
  </si>
  <si>
    <t>62.005</t>
  </si>
  <si>
    <t>8d21ab67-f82e-42ce-ace1-1c9cbef3e174</t>
  </si>
  <si>
    <t>Hochseeschiff</t>
  </si>
  <si>
    <t>Navire de haute mer</t>
  </si>
  <si>
    <t>62.006</t>
  </si>
  <si>
    <t>99900926-db70-45a7-9875-973f457cf694</t>
  </si>
  <si>
    <t>Hochseetanker</t>
  </si>
  <si>
    <t>Pétrolier de haute mer</t>
  </si>
  <si>
    <t>62.007</t>
  </si>
  <si>
    <t>c08efd88-421b-424e-a7ac-67970cde68a5</t>
  </si>
  <si>
    <t>Kleintransporter (&lt;3.5 t)</t>
  </si>
  <si>
    <t xml:space="preserve">Véhicule de transport, jusqu'à 3.5 t </t>
  </si>
  <si>
    <t>5fa8d2dc-1163-4b0d-914a-9c5964a00a41</t>
  </si>
  <si>
    <t>Lastwagen, Durchschnitt</t>
  </si>
  <si>
    <t>Camion</t>
  </si>
  <si>
    <t>62.017</t>
  </si>
  <si>
    <t>5d897a96-3867-4796-ba8f-d9778eefe4b0</t>
  </si>
  <si>
    <t>Lastwagen 3.5t-7.5 t</t>
  </si>
  <si>
    <t>Camion 3.5-7.5 t</t>
  </si>
  <si>
    <t>62.009</t>
  </si>
  <si>
    <t>45fc03e9-fc3a-42e3-a26f-961cdd508610</t>
  </si>
  <si>
    <t>Lastwagen 7.5-16 t</t>
  </si>
  <si>
    <t>Camion 7.5-16 t</t>
  </si>
  <si>
    <t>62.008</t>
  </si>
  <si>
    <t>03d60ff1-5760-4af4-b41f-dfdfa9e00ebd</t>
  </si>
  <si>
    <t>Lastwagen 16-32 t</t>
  </si>
  <si>
    <t>Camion 16-32 t</t>
  </si>
  <si>
    <t>62.010</t>
  </si>
  <si>
    <t>81ff247c-a05e-44ff-93b2-6f6f75c880c6</t>
  </si>
  <si>
    <t>Lastwagen 32-40 t</t>
  </si>
  <si>
    <t>Camion 32-40 t</t>
  </si>
  <si>
    <t>63</t>
  </si>
  <si>
    <t>Personen-Transporte</t>
  </si>
  <si>
    <t>Transports de personnes</t>
  </si>
  <si>
    <t>63.003</t>
  </si>
  <si>
    <t>639b80ae-0821-4f4b-8447-820736eefbf3</t>
  </si>
  <si>
    <t>Autobus</t>
  </si>
  <si>
    <t>pkm</t>
  </si>
  <si>
    <t>63.001</t>
  </si>
  <si>
    <t>936c7fc5-c2f5-47e7-98e0-d63c9dfdad2c</t>
  </si>
  <si>
    <t>Fernreisezug Schweiz</t>
  </si>
  <si>
    <t>Train de grand parcours Suisse</t>
  </si>
  <si>
    <t>63.002</t>
  </si>
  <si>
    <t>498d46c7-96b6-4eaa-888f-482b78ec8702</t>
  </si>
  <si>
    <t>Fernreisezug Deutschland, ICE</t>
  </si>
  <si>
    <t>Train de grand parcours Allemagne, ICE</t>
  </si>
  <si>
    <t>63.004</t>
  </si>
  <si>
    <t>17337744-89d8-4322-95e5-d3c01644b732</t>
  </si>
  <si>
    <t>Avion passagers, moyenne</t>
  </si>
  <si>
    <t>63.005</t>
  </si>
  <si>
    <t>e4a0cd88-9d2b-42d1-9b6c-3cd45cab602f</t>
  </si>
  <si>
    <t>63.020</t>
  </si>
  <si>
    <t>36d56077-a2c6-4262-bc1a-12f639cfbf86</t>
  </si>
  <si>
    <t>63.006</t>
  </si>
  <si>
    <t>be200c87-697e-4f6d-99f5-442746532418</t>
  </si>
  <si>
    <t>63.018</t>
  </si>
  <si>
    <t>cd905854-8cf8-4402-ab44-ec2ddd556191</t>
  </si>
  <si>
    <t>Helikopter, einmotorig</t>
  </si>
  <si>
    <t>Hélicoptère, monomoteur</t>
  </si>
  <si>
    <t>63.019</t>
  </si>
  <si>
    <t>574ce30f-1fb8-47d9-b6e5-3baa46a7b04e</t>
  </si>
  <si>
    <t>Helikopter, zweimotorig</t>
  </si>
  <si>
    <t>Hélicoptère, bimoteur</t>
  </si>
  <si>
    <t>63.007</t>
  </si>
  <si>
    <t>8ec072ee-ccde-456a-b459-44a9bcef8fda</t>
  </si>
  <si>
    <t>Personenwagen, Durchschnitt</t>
  </si>
  <si>
    <t>Voiture, moyenne</t>
  </si>
  <si>
    <t>63.008</t>
  </si>
  <si>
    <t>869dd3a6-bab4-4514-b4a0-ed9fa2016c98</t>
  </si>
  <si>
    <t>Personenwagen, Benzin</t>
  </si>
  <si>
    <t>Voiture, essence</t>
  </si>
  <si>
    <t>63.014</t>
  </si>
  <si>
    <t>18ca5284-0e6c-43b2-b7ab-269e77f63e1a</t>
  </si>
  <si>
    <t>Personenwagen, Biogas</t>
  </si>
  <si>
    <t>Voiture, biogaz</t>
  </si>
  <si>
    <t>63.009</t>
  </si>
  <si>
    <t>9cb98357-d3a0-4e16-94a9-a980715308f4</t>
  </si>
  <si>
    <t>Personenwagen, Diesel</t>
  </si>
  <si>
    <t>Voiture, gasoil</t>
  </si>
  <si>
    <t>63.016</t>
  </si>
  <si>
    <t>67d5599d-922b-4edf-8eb0-47c89d5e6e68</t>
  </si>
  <si>
    <t>Personenwagen, elektrisch, Strom CH-Verbrauchermix</t>
  </si>
  <si>
    <t>Voiture, électrique, électricité CH mix de consommation</t>
  </si>
  <si>
    <t>19859d9e-a517-424e-bfd6-745d6b25220b</t>
  </si>
  <si>
    <t>Personenwagen, elektrisch, Mix Stromprodukte aus erneuerbaren Energien</t>
  </si>
  <si>
    <t>Voiture, électrique, mix de produits électriques issus d'énergies renouvelables</t>
  </si>
  <si>
    <t>63.015</t>
  </si>
  <si>
    <t>32de6f5b-c02c-417f-87c4-5ecd27c9d3ba</t>
  </si>
  <si>
    <t>Personenwagen, Erdgas</t>
  </si>
  <si>
    <t>Voiture, gaz naturel</t>
  </si>
  <si>
    <t>63.010</t>
  </si>
  <si>
    <t>4d9335c4-23a4-4480-99f9-5fe46ddc3e2e</t>
  </si>
  <si>
    <t>Regionalzug</t>
  </si>
  <si>
    <t>Train régional</t>
  </si>
  <si>
    <t>63.011</t>
  </si>
  <si>
    <t>3d2cb5df-7a84-4d37-83bd-58f2a5e40496</t>
  </si>
  <si>
    <t>Reisebus</t>
  </si>
  <si>
    <t>Autocar</t>
  </si>
  <si>
    <t>63.017</t>
  </si>
  <si>
    <t>7821129d-8499-4714-8f26-b0719e441ccf</t>
  </si>
  <si>
    <t>Scooter, Benzin</t>
  </si>
  <si>
    <t>Scooter, essence</t>
  </si>
  <si>
    <t>63.012</t>
  </si>
  <si>
    <t>3354a876-e67d-4ca1-b01b-538ba00b056e</t>
  </si>
  <si>
    <t>Tram</t>
  </si>
  <si>
    <t>63.013</t>
  </si>
  <si>
    <t>fffdbb46-664c-4d3d-b162-b5b17f4c56fa</t>
  </si>
  <si>
    <t>Trolleybus</t>
  </si>
  <si>
    <t>64</t>
  </si>
  <si>
    <t>64.003</t>
  </si>
  <si>
    <t>c9b16d71-7646-49d1-a76a-bffddb54f015</t>
  </si>
  <si>
    <t>Fahrleistung</t>
  </si>
  <si>
    <t>km</t>
  </si>
  <si>
    <t>km parcourus</t>
  </si>
  <si>
    <t>64.001</t>
  </si>
  <si>
    <t>b98877be-44b0-4c98-b3a7-7c4d64c149df</t>
  </si>
  <si>
    <t>64.002</t>
  </si>
  <si>
    <t>4f434c3e-0a1f-473e-b630-aec87735a841</t>
  </si>
  <si>
    <t>64.004</t>
  </si>
  <si>
    <t>cdd00836-a3cf-4544-af00-c1d686b823f9</t>
  </si>
  <si>
    <t>64.005</t>
  </si>
  <si>
    <t>05c80ab2-fcb7-48e4-90b6-ffed90ea9544</t>
  </si>
  <si>
    <t>64.020</t>
  </si>
  <si>
    <t>40142491-1abe-4ed0-a06c-7ea0281320df</t>
  </si>
  <si>
    <t>64.006</t>
  </si>
  <si>
    <t>b443c65e-52c0-4483-8f00-a589e713d9b2</t>
  </si>
  <si>
    <t>64.018</t>
  </si>
  <si>
    <t>04e3dafe-9a28-42cf-af8e-85174df74a5f</t>
  </si>
  <si>
    <t>64.019</t>
  </si>
  <si>
    <t>a4c4a7c7-edba-47b4-81e8-de2fd4b23ada</t>
  </si>
  <si>
    <t>64.007</t>
  </si>
  <si>
    <t>5efca70b-ee7e-4395-a795-4866ae9ade23</t>
  </si>
  <si>
    <t>64.008</t>
  </si>
  <si>
    <t>e6ec944d-439d-4388-b161-f4837b964320</t>
  </si>
  <si>
    <t>64.014</t>
  </si>
  <si>
    <t>212f2861-b439-41a0-95e2-f95ea533e23b</t>
  </si>
  <si>
    <t>64.009</t>
  </si>
  <si>
    <t>450cb3ca-72ff-4a3d-a998-ab18f7f9de06</t>
  </si>
  <si>
    <t>64.016</t>
  </si>
  <si>
    <t>cdb7efe1-eca4-4e0a-9fc2-4ba23c7df0df</t>
  </si>
  <si>
    <t>8c876651-0dc1-418d-8122-1fe556d6de2c</t>
  </si>
  <si>
    <t>64.015</t>
  </si>
  <si>
    <t>31e905ea-d939-4025-b658-fcb95cf5100c</t>
  </si>
  <si>
    <t>64.010</t>
  </si>
  <si>
    <t>1b7e2339-c3e5-474f-b05f-e83111ec4d4c</t>
  </si>
  <si>
    <t>64.011</t>
  </si>
  <si>
    <t>e538f236-bcbe-4fc4-a7ff-5997d784d387</t>
  </si>
  <si>
    <t>64.017</t>
  </si>
  <si>
    <t>51079ea1-4dfc-4405-aff5-f104b7390cf0</t>
  </si>
  <si>
    <t>64.012</t>
  </si>
  <si>
    <t>9d0a23d2-9366-4c44-9db2-4a21a6aae5e8</t>
  </si>
  <si>
    <t>64.013</t>
  </si>
  <si>
    <t>a45a9c9c-a8ae-470c-a9c1-47ad619227c7</t>
  </si>
  <si>
    <t xml:space="preserve">Transportrechner: Mit den mobitool-Faktoren 2.1 (https://mobitool.ch) können die Umweltkennwerte pro Personenkilometer oder pro Tonnenkilometer für spezfische Auslastungen und Transportmittel berechnet werden. 
Calculateur de transport: les facteurs mobitool v.2.1 (https://mobitool.ch) permettent de calculer les données environnementales par personne-kilomètre ou par tonne-kilomètre pour des charges et des moyens de transport spécifiques.                      
</t>
  </si>
  <si>
    <t>Cet outil calcule le bilan carbone des bâtiments pour la construction de nouveau bâtiment et pour leur exploitation</t>
  </si>
  <si>
    <t>Les onglets "Outil simplifié" et "Outil détaillé" permettent le dimensionnement rapide d'un bâtiment dans des phases d'avant projet</t>
  </si>
  <si>
    <t>Ce ne sont que des indications et elles ne sont pas utilisées plus loin dans le calcul, inutile de les changer</t>
  </si>
  <si>
    <t>L'onglet "Outil détaillé" permet de préciser le projet. Les valeurs doivent être changées dans les cases blanches</t>
  </si>
  <si>
    <t>Soit en changeant une composition par une autre composition proposée</t>
  </si>
  <si>
    <t>En imprimant l'"Outil simplifié", il est ainsi possible d'avoir un aperçu des entrées et des résultats.</t>
  </si>
  <si>
    <t>Il est aussi possible d'imprimer l' "Outil détaillé" pour avoir les choix constructifs avec leurs impacts et un peu plus de détails</t>
  </si>
  <si>
    <t>L'onglet fait référence à la décomposition e-CCC du CRB, elle est indiquée, soit en colonne B dans l "Outil détaillé" ou en colonne X dans la "Décomposition</t>
  </si>
  <si>
    <t>Pour les afficher, il faut faire un clic droite sur le nom d'un autre onglet, et cliquer sur "Afficher..." et choisir lequel afficher en plus.</t>
  </si>
  <si>
    <t>De la même façon, il est possible de masquer les onglets non désirables</t>
  </si>
  <si>
    <t xml:space="preserve">SIA 2032 - 2020 : </t>
  </si>
  <si>
    <t>Budget remplacements (20 ans) [kgCO2eq/m2]</t>
  </si>
  <si>
    <t>Budget remplacements (40 ans) [kgCO2eq/m2]</t>
  </si>
  <si>
    <t>Budget remplacements (30 ans) [kgCO2eq/m2]</t>
  </si>
  <si>
    <t>Impact</t>
  </si>
  <si>
    <t>Sia 2032</t>
  </si>
  <si>
    <t>Structure bois avec pilliers bois</t>
  </si>
  <si>
    <t>Gardecorps? Structure  bois + bardage bois</t>
  </si>
  <si>
    <t>Balcons bois y c. dispositifs antichute</t>
  </si>
  <si>
    <t>Fouilles B06 / B07.02</t>
  </si>
  <si>
    <t>Fondations, radiers [C01]</t>
  </si>
  <si>
    <t>Revetements de facades</t>
  </si>
  <si>
    <t>Parois intérieures, revetements de parois</t>
  </si>
  <si>
    <t>Revetements de sols et de plafonds</t>
  </si>
  <si>
    <t>Cage d'escalier</t>
  </si>
  <si>
    <t>Cage ascenseur et escalier</t>
  </si>
  <si>
    <t>Triple vitrage isolant, cadre bois-métal, y c. protection solaire</t>
  </si>
  <si>
    <t>Triple vitrage isolant, cadre bois y c. protection solaire</t>
  </si>
  <si>
    <t>Triple vitrage isolant, cadre PVC, y c. protection solaire</t>
  </si>
  <si>
    <t xml:space="preserve">Le but est de comparer avec les valeurs extraites de l'outil Budget carbone </t>
  </si>
  <si>
    <t>Comme l'outil SimpliBat n'inclut pas de calcul carbone dynamique, il est nécessaire d'utiliser les valeurs du budget statique équivalent pour permettre une comparaison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</si>
</sst>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2">
    <numFmt numFmtId="43" formatCode="_-* #,##0.00_-;\-* #,##0.00_-;_-* &quot;-&quot;??_-;_-@_-"/>
    <numFmt numFmtId="164" formatCode="_ * #,##0.00_ ;_ * \-#,##0.00_ ;_ * &quot;-&quot;??_ ;_ @_ "/>
    <numFmt numFmtId="165" formatCode="0.0"/>
    <numFmt numFmtId="166" formatCode="0.000"/>
    <numFmt numFmtId="167" formatCode="#,##0.0"/>
    <numFmt numFmtId="168" formatCode="00"/>
    <numFmt numFmtId="169" formatCode="00.000"/>
    <numFmt numFmtId="170" formatCode="0.0000"/>
    <numFmt numFmtId="171" formatCode="0.00000"/>
    <numFmt numFmtId="172" formatCode="_(* #,##0_);_(* \(#,##0\);_(* &quot;-&quot;_);_(@_)"/>
    <numFmt numFmtId="173" formatCode="_(* #,##0.00_);_(* \(#,##0.00\);_(* &quot;-&quot;??_);_(@_)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#,##0.0&quot; dt&quot;;[Red]#,##0.0&quot; dt&quot;"/>
    <numFmt numFmtId="177" formatCode="0.00E+0;[=0]&quot;-&quot;;0.00E+0"/>
    <numFmt numFmtId="178" formatCode="_ [$€-2]\ * #,##0.00_ ;_ [$€-2]\ * \-#,##0.00_ ;_ [$€-2]\ * &quot;-&quot;??_ "/>
    <numFmt numFmtId="179" formatCode="&quot;$&quot;#,##0"/>
    <numFmt numFmtId="180" formatCode="#,##0&quot; kg&quot;;[Red]#,##0&quot; kg&quot;"/>
    <numFmt numFmtId="181" formatCode="#,##0&quot; Liter&quot;;[Red]#,##0&quot; Liter&quot;"/>
    <numFmt numFmtId="182" formatCode="#,##0&quot; m2&quot;;[Red]#,##0&quot; m2&quot;"/>
    <numFmt numFmtId="183" formatCode="#,##0&quot; m2a&quot;;[Red]#,##0&quot; m2a&quot;"/>
    <numFmt numFmtId="184" formatCode="#,##0.0&quot; m3&quot;;[Red]#,##0.0&quot; m3&quot;"/>
    <numFmt numFmtId="185" formatCode="0.00E+0;[=0]&quot;0&quot;;General"/>
    <numFmt numFmtId="186" formatCode="0.00%;[=0]&quot;0&quot;;General"/>
    <numFmt numFmtId="187" formatCode="0.0%;[=0]&quot;0%&quot;;0.0%"/>
    <numFmt numFmtId="188" formatCode="0.0%"/>
    <numFmt numFmtId="189" formatCode="[=0]&quot;&quot;;General"/>
    <numFmt numFmtId="190" formatCode="0.0E+0;[=0]&quot;-&quot;;0.0E+0"/>
    <numFmt numFmtId="191" formatCode="#,##0.0&quot; ZKh&quot;;[Red]#,##0.0&quot; ZKh&quot;"/>
    <numFmt numFmtId="192" formatCode="#,##0.00\ _C_H_F"/>
    <numFmt numFmtId="193" formatCode="#,##0&quot;m&quot;"/>
    <numFmt numFmtId="194" formatCode="#,##0.0&quot;m²/SRE&quot;"/>
    <numFmt numFmtId="195" formatCode="0&quot;m2&quot;"/>
    <numFmt numFmtId="196" formatCode="#,##0.00000_ ;\-#,##0.00000\ "/>
    <numFmt numFmtId="197" formatCode="_ * #,##0.00000_ ;_ * \-#,##0.00000_ ;_ * &quot;-&quot;??_ ;_ @_ "/>
    <numFmt numFmtId="198" formatCode="0.000000000000E+00"/>
    <numFmt numFmtId="199" formatCode="0&quot;m&quot;"/>
    <numFmt numFmtId="200" formatCode="0.000000000"/>
    <numFmt numFmtId="201" formatCode="_-* #,##0.0_-;\-* #,##0.0_-;_-* &quot;-&quot;??_-;_-@_-"/>
    <numFmt numFmtId="202" formatCode="_-* #,##0_-;\-* #,##0_-;_-* &quot;-&quot;??_-;_-@_-"/>
    <numFmt numFmtId="203" formatCode="0;\-0;;@"/>
    <numFmt numFmtId="204" formatCode="0.0;\-0.0;;@"/>
  </numFmts>
  <fonts count="98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  <family val="2"/>
    </font>
    <font>
      <sz val="16"/>
      <color theme="0"/>
      <name val="Arial"/>
      <family val="2"/>
    </font>
    <font>
      <b/>
      <sz val="16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9"/>
      <color rgb="FFFF0000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vertAlign val="subscript"/>
      <sz val="8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sz val="10"/>
      <color rgb="FFFF0000"/>
      <name val="Arial"/>
      <family val="2"/>
    </font>
    <font>
      <b/>
      <vertAlign val="superscript"/>
      <sz val="10"/>
      <name val="Arial"/>
      <family val="2"/>
    </font>
    <font>
      <b/>
      <i/>
      <sz val="10"/>
      <name val="Arial"/>
      <family val="2"/>
    </font>
    <font>
      <sz val="9"/>
      <name val="Times New Roman"/>
      <family val="1"/>
    </font>
    <font>
      <sz val="9"/>
      <name val="Helvetica"/>
      <family val="2"/>
    </font>
    <font>
      <sz val="8"/>
      <name val="Verdana"/>
      <family val="2"/>
    </font>
    <font>
      <b/>
      <sz val="9"/>
      <name val="Times New Roman"/>
      <family val="1"/>
    </font>
    <font>
      <sz val="10"/>
      <color indexed="8"/>
      <name val="MS Sans Serif"/>
      <family val="2"/>
    </font>
    <font>
      <sz val="7"/>
      <name val="Helvetica"/>
      <family val="2"/>
    </font>
    <font>
      <sz val="9"/>
      <name val="Helv"/>
    </font>
    <font>
      <sz val="11"/>
      <color rgb="FF3F3F76"/>
      <name val="Arial"/>
      <family val="2"/>
    </font>
    <font>
      <sz val="9"/>
      <name val="Arial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sz val="12"/>
      <name val="Times New Roman"/>
      <family val="1"/>
    </font>
    <font>
      <sz val="10"/>
      <name val="Helv"/>
    </font>
    <font>
      <sz val="10"/>
      <name val="Geneva"/>
      <family val="2"/>
    </font>
    <font>
      <sz val="10"/>
      <color indexed="8"/>
      <name val="Arial"/>
      <family val="2"/>
    </font>
    <font>
      <sz val="10"/>
      <name val="Trebuchet MS"/>
      <family val="2"/>
    </font>
    <font>
      <b/>
      <sz val="16"/>
      <color indexed="9"/>
      <name val="Tahoma"/>
      <family val="2"/>
    </font>
    <font>
      <sz val="8"/>
      <name val="Helvetica"/>
      <family val="2"/>
    </font>
    <font>
      <sz val="12"/>
      <name val="Arial"/>
      <family val="2"/>
    </font>
    <font>
      <b/>
      <vertAlign val="superscript"/>
      <sz val="11"/>
      <color theme="1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2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vertAlign val="superscript"/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vertAlign val="superscript"/>
      <sz val="10"/>
      <name val="Arial"/>
      <family val="2"/>
    </font>
    <font>
      <vertAlign val="superscript"/>
      <sz val="10"/>
      <color rgb="FFFF0000"/>
      <name val="Arial"/>
      <family val="2"/>
    </font>
    <font>
      <vertAlign val="superscript"/>
      <sz val="9"/>
      <name val="Arial"/>
      <family val="2"/>
    </font>
    <font>
      <sz val="9"/>
      <color rgb="FFFF0000"/>
      <name val="Arial"/>
      <family val="2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b/>
      <sz val="16"/>
      <color rgb="FFFFFFFF"/>
      <name val="Calibri"/>
      <family val="2"/>
      <scheme val="minor"/>
    </font>
    <font>
      <sz val="8"/>
      <color theme="1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2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vertAlign val="superscript"/>
      <sz val="9"/>
      <color rgb="FFFF0000"/>
      <name val="Arial"/>
      <family val="2"/>
    </font>
    <font>
      <b/>
      <sz val="20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sz val="10"/>
      <color theme="1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  <scheme val="minor"/>
    </font>
    <font>
      <sz val="7"/>
      <color theme="1"/>
      <name val="Times New Roman"/>
      <family val="1"/>
    </font>
    <font>
      <sz val="11"/>
      <color theme="1"/>
      <name val="Courier New"/>
      <family val="3"/>
    </font>
    <font>
      <sz val="11"/>
      <color rgb="FFFFFFFF"/>
      <name val="Courier New"/>
      <family val="3"/>
    </font>
  </fonts>
  <fills count="4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indexed="2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rgb="FFCC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8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indexed="8"/>
      </patternFill>
    </fill>
    <fill>
      <patternFill patternType="solid">
        <fgColor theme="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1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/>
      <diagonal/>
    </border>
    <border>
      <left style="thin">
        <color indexed="55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indexed="55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55"/>
      </right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indexed="55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55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55"/>
      </top>
      <bottom/>
      <diagonal/>
    </border>
    <border>
      <left style="thin">
        <color theme="0" tint="-0.499984740745262"/>
      </left>
      <right/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/>
      <top style="thin">
        <color indexed="55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55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55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indexed="55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indexed="55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55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theme="2"/>
      </top>
      <bottom style="thin">
        <color theme="2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</borders>
  <cellStyleXfs count="155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9" fillId="0" borderId="0"/>
    <xf numFmtId="164" fontId="15" fillId="0" borderId="0" applyFont="0" applyFill="0" applyBorder="0" applyAlignment="0" applyProtection="0"/>
    <xf numFmtId="49" fontId="29" fillId="0" borderId="1" applyNumberFormat="0" applyFont="0" applyFill="0" applyBorder="0" applyProtection="0">
      <alignment horizontal="left" vertical="center" indent="2"/>
    </xf>
    <xf numFmtId="49" fontId="29" fillId="0" borderId="25" applyNumberFormat="0" applyFont="0" applyFill="0" applyBorder="0" applyProtection="0">
      <alignment horizontal="left" vertical="center" indent="5"/>
    </xf>
    <xf numFmtId="0" fontId="30" fillId="13" borderId="0">
      <alignment horizontal="left" vertical="center"/>
    </xf>
    <xf numFmtId="0" fontId="31" fillId="14" borderId="0" applyBorder="0">
      <alignment horizontal="left" vertical="center" indent="1"/>
    </xf>
    <xf numFmtId="4" fontId="32" fillId="0" borderId="26" applyFill="0" applyBorder="0" applyProtection="0">
      <alignment horizontal="right" vertical="center"/>
    </xf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4" fillId="0" borderId="0">
      <alignment vertical="center"/>
    </xf>
    <xf numFmtId="174" fontId="33" fillId="0" borderId="0" applyFont="0" applyFill="0" applyBorder="0" applyAlignment="0" applyProtection="0"/>
    <xf numFmtId="175" fontId="33" fillId="0" borderId="0" applyFont="0" applyFill="0" applyBorder="0" applyAlignment="0" applyProtection="0"/>
    <xf numFmtId="176" fontId="35" fillId="0" borderId="0"/>
    <xf numFmtId="0" fontId="30" fillId="15" borderId="0">
      <alignment horizontal="center" vertical="center" wrapText="1"/>
    </xf>
    <xf numFmtId="177" fontId="35" fillId="16" borderId="0">
      <alignment horizontal="center" vertical="center"/>
    </xf>
    <xf numFmtId="0" fontId="36" fillId="2" borderId="2" applyNumberFormat="0" applyAlignment="0" applyProtection="0"/>
    <xf numFmtId="178" fontId="37" fillId="0" borderId="0" applyFont="0" applyFill="0" applyBorder="0" applyAlignment="0" applyProtection="0">
      <alignment vertical="center"/>
    </xf>
    <xf numFmtId="179" fontId="38" fillId="17" borderId="27" applyBorder="0" applyAlignment="0">
      <alignment horizontal="left" vertical="center" indent="1"/>
    </xf>
    <xf numFmtId="179" fontId="39" fillId="18" borderId="28" applyBorder="0">
      <alignment horizontal="left" vertical="center" indent="1"/>
    </xf>
    <xf numFmtId="0" fontId="40" fillId="0" borderId="0" applyNumberFormat="0" applyFill="0" applyBorder="0" applyAlignment="0" applyProtection="0"/>
    <xf numFmtId="180" fontId="35" fillId="0" borderId="0"/>
    <xf numFmtId="164" fontId="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1" fontId="41" fillId="0" borderId="0"/>
    <xf numFmtId="0" fontId="30" fillId="16" borderId="0">
      <alignment horizontal="left" vertical="center"/>
    </xf>
    <xf numFmtId="182" fontId="41" fillId="0" borderId="0"/>
    <xf numFmtId="183" fontId="35" fillId="0" borderId="0"/>
    <xf numFmtId="184" fontId="41" fillId="0" borderId="0"/>
    <xf numFmtId="185" fontId="35" fillId="0" borderId="0" applyAlignment="0">
      <alignment wrapText="1"/>
    </xf>
    <xf numFmtId="186" fontId="35" fillId="0" borderId="0"/>
    <xf numFmtId="185" fontId="35" fillId="0" borderId="0"/>
    <xf numFmtId="4" fontId="29" fillId="0" borderId="1" applyFill="0" applyBorder="0" applyProtection="0">
      <alignment horizontal="right" vertical="center"/>
    </xf>
    <xf numFmtId="49" fontId="32" fillId="0" borderId="1" applyNumberFormat="0" applyFill="0" applyBorder="0" applyProtection="0">
      <alignment horizontal="left" vertical="center"/>
    </xf>
    <xf numFmtId="0" fontId="29" fillId="0" borderId="1" applyNumberFormat="0" applyFill="0" applyAlignment="0" applyProtection="0"/>
    <xf numFmtId="0" fontId="42" fillId="0" borderId="29" applyFont="0" applyFill="0" applyBorder="0" applyProtection="0">
      <alignment horizontal="center"/>
    </xf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7" fontId="9" fillId="0" borderId="0"/>
    <xf numFmtId="188" fontId="9" fillId="6" borderId="0">
      <alignment horizontal="center" vertical="center"/>
    </xf>
    <xf numFmtId="11" fontId="42" fillId="0" borderId="0" applyFont="0" applyFill="0" applyBorder="0" applyAlignment="0" applyProtection="0"/>
    <xf numFmtId="0" fontId="9" fillId="0" borderId="0"/>
    <xf numFmtId="0" fontId="30" fillId="0" borderId="0">
      <alignment vertical="center"/>
    </xf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189" fontId="35" fillId="0" borderId="0">
      <alignment horizontal="center" vertical="center"/>
    </xf>
    <xf numFmtId="0" fontId="44" fillId="19" borderId="0">
      <alignment vertical="center" wrapText="1"/>
    </xf>
    <xf numFmtId="0" fontId="45" fillId="3" borderId="0" applyBorder="0">
      <alignment horizontal="left" vertical="center" indent="1"/>
    </xf>
    <xf numFmtId="189" fontId="46" fillId="0" borderId="0">
      <alignment horizontal="center" vertical="center"/>
    </xf>
    <xf numFmtId="0" fontId="30" fillId="20" borderId="0">
      <alignment horizontal="left" vertical="center"/>
    </xf>
    <xf numFmtId="0" fontId="30" fillId="20" borderId="0">
      <alignment horizontal="left" vertical="center"/>
    </xf>
    <xf numFmtId="11" fontId="35" fillId="0" borderId="0"/>
    <xf numFmtId="11" fontId="37" fillId="0" borderId="0">
      <alignment horizontal="center" vertical="center" wrapText="1"/>
    </xf>
    <xf numFmtId="177" fontId="9" fillId="0" borderId="0">
      <alignment horizontal="center" vertical="center"/>
    </xf>
    <xf numFmtId="177" fontId="9" fillId="0" borderId="0">
      <alignment horizontal="center" vertical="center"/>
    </xf>
    <xf numFmtId="190" fontId="41" fillId="0" borderId="0">
      <alignment horizontal="center" vertical="center"/>
    </xf>
    <xf numFmtId="191" fontId="41" fillId="0" borderId="0"/>
    <xf numFmtId="164" fontId="9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56" fillId="0" borderId="0" applyFont="0" applyFill="0" applyBorder="0" applyAlignment="0" applyProtection="0"/>
    <xf numFmtId="164" fontId="4" fillId="0" borderId="0" applyFont="0" applyFill="0" applyBorder="0" applyAlignment="0" applyProtection="0"/>
    <xf numFmtId="49" fontId="29" fillId="0" borderId="33" applyNumberFormat="0" applyFont="0" applyFill="0" applyBorder="0" applyProtection="0">
      <alignment horizontal="left" vertical="center" indent="2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29" fillId="0" borderId="33" applyFill="0" applyBorder="0" applyProtection="0">
      <alignment horizontal="right" vertical="center"/>
    </xf>
    <xf numFmtId="49" fontId="32" fillId="0" borderId="33" applyNumberFormat="0" applyFill="0" applyBorder="0" applyProtection="0">
      <alignment horizontal="left" vertical="center"/>
    </xf>
    <xf numFmtId="0" fontId="29" fillId="0" borderId="33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 applyNumberFormat="0" applyFill="0" applyBorder="0" applyAlignment="0" applyProtection="0"/>
    <xf numFmtId="43" fontId="56" fillId="0" borderId="0" applyFont="0" applyFill="0" applyBorder="0" applyAlignment="0" applyProtection="0"/>
    <xf numFmtId="0" fontId="9" fillId="0" borderId="0"/>
    <xf numFmtId="0" fontId="3" fillId="0" borderId="0"/>
  </cellStyleXfs>
  <cellXfs count="1728">
    <xf numFmtId="0" fontId="0" fillId="0" borderId="0" xfId="0"/>
    <xf numFmtId="0" fontId="6" fillId="0" borderId="0" xfId="0" applyFont="1"/>
    <xf numFmtId="0" fontId="5" fillId="0" borderId="0" xfId="0" applyFont="1" applyAlignment="1">
      <alignment wrapText="1"/>
    </xf>
    <xf numFmtId="0" fontId="5" fillId="0" borderId="0" xfId="0" applyFont="1"/>
    <xf numFmtId="0" fontId="10" fillId="3" borderId="3" xfId="65" applyFont="1" applyFill="1" applyBorder="1" applyAlignment="1">
      <alignment horizontal="left" vertical="center"/>
    </xf>
    <xf numFmtId="0" fontId="11" fillId="3" borderId="4" xfId="65" applyFont="1" applyFill="1" applyBorder="1" applyAlignment="1">
      <alignment horizontal="left" vertical="center"/>
    </xf>
    <xf numFmtId="0" fontId="10" fillId="3" borderId="5" xfId="65" applyFont="1" applyFill="1" applyBorder="1" applyAlignment="1">
      <alignment horizontal="left" vertical="center"/>
    </xf>
    <xf numFmtId="0" fontId="11" fillId="3" borderId="5" xfId="65" applyFont="1" applyFill="1" applyBorder="1" applyAlignment="1">
      <alignment horizontal="left" vertical="center"/>
    </xf>
    <xf numFmtId="0" fontId="11" fillId="4" borderId="5" xfId="65" applyFont="1" applyFill="1" applyBorder="1" applyAlignment="1">
      <alignment horizontal="left" vertical="center"/>
    </xf>
    <xf numFmtId="0" fontId="11" fillId="4" borderId="5" xfId="65" applyFont="1" applyFill="1" applyBorder="1" applyAlignment="1">
      <alignment horizontal="center" vertical="center"/>
    </xf>
    <xf numFmtId="0" fontId="11" fillId="3" borderId="5" xfId="65" applyFont="1" applyFill="1" applyBorder="1" applyAlignment="1">
      <alignment horizontal="center" vertical="center"/>
    </xf>
    <xf numFmtId="0" fontId="10" fillId="5" borderId="0" xfId="65" applyFont="1" applyFill="1" applyAlignment="1">
      <alignment vertical="center"/>
    </xf>
    <xf numFmtId="0" fontId="9" fillId="5" borderId="11" xfId="65" applyFill="1" applyBorder="1" applyAlignment="1">
      <alignment vertical="center"/>
    </xf>
    <xf numFmtId="0" fontId="14" fillId="5" borderId="12" xfId="65" applyFont="1" applyFill="1" applyBorder="1" applyAlignment="1">
      <alignment vertical="center"/>
    </xf>
    <xf numFmtId="0" fontId="9" fillId="5" borderId="0" xfId="65" applyFill="1" applyAlignment="1">
      <alignment vertical="center"/>
    </xf>
    <xf numFmtId="164" fontId="9" fillId="5" borderId="0" xfId="67" applyFont="1" applyFill="1" applyBorder="1" applyAlignment="1">
      <alignment vertical="center"/>
    </xf>
    <xf numFmtId="166" fontId="9" fillId="5" borderId="0" xfId="65" applyNumberFormat="1" applyFill="1" applyAlignment="1">
      <alignment vertical="center"/>
    </xf>
    <xf numFmtId="0" fontId="14" fillId="5" borderId="14" xfId="65" applyFont="1" applyFill="1" applyBorder="1" applyAlignment="1">
      <alignment vertical="center" wrapText="1"/>
    </xf>
    <xf numFmtId="0" fontId="9" fillId="5" borderId="18" xfId="65" applyFill="1" applyBorder="1" applyAlignment="1">
      <alignment vertical="center"/>
    </xf>
    <xf numFmtId="0" fontId="21" fillId="6" borderId="14" xfId="65" applyFont="1" applyFill="1" applyBorder="1" applyAlignment="1">
      <alignment horizontal="center" vertical="center" wrapText="1"/>
    </xf>
    <xf numFmtId="0" fontId="18" fillId="6" borderId="14" xfId="65" applyFont="1" applyFill="1" applyBorder="1" applyAlignment="1">
      <alignment horizontal="center" vertical="center" wrapText="1"/>
    </xf>
    <xf numFmtId="0" fontId="21" fillId="5" borderId="14" xfId="65" applyFont="1" applyFill="1" applyBorder="1" applyAlignment="1">
      <alignment horizontal="center" vertical="center" wrapText="1"/>
    </xf>
    <xf numFmtId="0" fontId="18" fillId="5" borderId="14" xfId="65" applyFont="1" applyFill="1" applyBorder="1" applyAlignment="1">
      <alignment horizontal="center" vertical="center" wrapText="1"/>
    </xf>
    <xf numFmtId="0" fontId="18" fillId="5" borderId="18" xfId="65" applyFont="1" applyFill="1" applyBorder="1" applyAlignment="1">
      <alignment vertical="center"/>
    </xf>
    <xf numFmtId="0" fontId="18" fillId="6" borderId="18" xfId="65" applyFont="1" applyFill="1" applyBorder="1" applyAlignment="1">
      <alignment horizontal="center" vertical="center" wrapText="1"/>
    </xf>
    <xf numFmtId="0" fontId="18" fillId="5" borderId="0" xfId="65" applyFont="1" applyFill="1" applyAlignment="1">
      <alignment vertical="center"/>
    </xf>
    <xf numFmtId="0" fontId="18" fillId="5" borderId="20" xfId="65" applyFont="1" applyFill="1" applyBorder="1" applyAlignment="1">
      <alignment vertical="center"/>
    </xf>
    <xf numFmtId="0" fontId="20" fillId="5" borderId="20" xfId="65" applyFont="1" applyFill="1" applyBorder="1" applyAlignment="1">
      <alignment vertical="center" wrapText="1"/>
    </xf>
    <xf numFmtId="0" fontId="18" fillId="6" borderId="20" xfId="65" applyFont="1" applyFill="1" applyBorder="1" applyAlignment="1">
      <alignment horizontal="center" vertical="center" wrapText="1"/>
    </xf>
    <xf numFmtId="0" fontId="24" fillId="7" borderId="24" xfId="65" applyFont="1" applyFill="1" applyBorder="1" applyAlignment="1">
      <alignment vertical="center" wrapText="1"/>
    </xf>
    <xf numFmtId="0" fontId="26" fillId="5" borderId="24" xfId="65" applyFont="1" applyFill="1" applyBorder="1" applyAlignment="1">
      <alignment vertical="center" wrapText="1"/>
    </xf>
    <xf numFmtId="166" fontId="26" fillId="5" borderId="24" xfId="65" applyNumberFormat="1" applyFont="1" applyFill="1" applyBorder="1" applyAlignment="1">
      <alignment horizontal="center" vertical="center" wrapText="1"/>
    </xf>
    <xf numFmtId="0" fontId="26" fillId="5" borderId="24" xfId="65" applyFont="1" applyFill="1" applyBorder="1" applyAlignment="1">
      <alignment horizontal="center" vertical="center" wrapText="1"/>
    </xf>
    <xf numFmtId="3" fontId="24" fillId="9" borderId="24" xfId="65" applyNumberFormat="1" applyFont="1" applyFill="1" applyBorder="1" applyAlignment="1">
      <alignment horizontal="center" vertical="center" wrapText="1"/>
    </xf>
    <xf numFmtId="3" fontId="26" fillId="9" borderId="24" xfId="65" applyNumberFormat="1" applyFont="1" applyFill="1" applyBorder="1" applyAlignment="1">
      <alignment horizontal="center" vertical="center" wrapText="1"/>
    </xf>
    <xf numFmtId="1" fontId="24" fillId="0" borderId="24" xfId="65" applyNumberFormat="1" applyFont="1" applyBorder="1" applyAlignment="1">
      <alignment horizontal="center" vertical="center" wrapText="1"/>
    </xf>
    <xf numFmtId="1" fontId="26" fillId="0" borderId="24" xfId="65" applyNumberFormat="1" applyFont="1" applyBorder="1" applyAlignment="1">
      <alignment horizontal="center" vertical="center" wrapText="1"/>
    </xf>
    <xf numFmtId="0" fontId="26" fillId="5" borderId="0" xfId="65" applyFont="1" applyFill="1" applyAlignment="1">
      <alignment vertical="center"/>
    </xf>
    <xf numFmtId="1" fontId="24" fillId="5" borderId="24" xfId="65" applyNumberFormat="1" applyFont="1" applyFill="1" applyBorder="1" applyAlignment="1">
      <alignment horizontal="center" vertical="center" wrapText="1"/>
    </xf>
    <xf numFmtId="1" fontId="26" fillId="5" borderId="24" xfId="65" applyNumberFormat="1" applyFont="1" applyFill="1" applyBorder="1" applyAlignment="1">
      <alignment horizontal="center" vertical="center" wrapText="1"/>
    </xf>
    <xf numFmtId="168" fontId="14" fillId="7" borderId="24" xfId="65" applyNumberFormat="1" applyFont="1" applyFill="1" applyBorder="1" applyAlignment="1">
      <alignment vertical="center" wrapText="1"/>
    </xf>
    <xf numFmtId="0" fontId="14" fillId="7" borderId="24" xfId="65" applyFont="1" applyFill="1" applyBorder="1" applyAlignment="1">
      <alignment vertical="center" wrapText="1"/>
    </xf>
    <xf numFmtId="0" fontId="14" fillId="8" borderId="24" xfId="65" applyFont="1" applyFill="1" applyBorder="1" applyAlignment="1">
      <alignment horizontal="center" vertical="center" wrapText="1"/>
    </xf>
    <xf numFmtId="0" fontId="28" fillId="7" borderId="24" xfId="65" applyFont="1" applyFill="1" applyBorder="1" applyAlignment="1">
      <alignment vertical="center" wrapText="1"/>
    </xf>
    <xf numFmtId="169" fontId="9" fillId="5" borderId="24" xfId="65" applyNumberFormat="1" applyFill="1" applyBorder="1" applyAlignment="1">
      <alignment vertical="center"/>
    </xf>
    <xf numFmtId="0" fontId="9" fillId="5" borderId="24" xfId="65" applyFill="1" applyBorder="1" applyAlignment="1">
      <alignment vertical="center" wrapText="1"/>
    </xf>
    <xf numFmtId="3" fontId="26" fillId="5" borderId="24" xfId="65" applyNumberFormat="1" applyFont="1" applyFill="1" applyBorder="1" applyAlignment="1">
      <alignment horizontal="center" vertical="center" wrapText="1"/>
    </xf>
    <xf numFmtId="0" fontId="9" fillId="5" borderId="24" xfId="65" applyFill="1" applyBorder="1" applyAlignment="1">
      <alignment horizontal="center" vertical="center" wrapText="1"/>
    </xf>
    <xf numFmtId="165" fontId="24" fillId="9" borderId="24" xfId="65" applyNumberFormat="1" applyFont="1" applyFill="1" applyBorder="1" applyAlignment="1">
      <alignment horizontal="center" vertical="center" wrapText="1"/>
    </xf>
    <xf numFmtId="165" fontId="26" fillId="9" borderId="24" xfId="65" applyNumberFormat="1" applyFont="1" applyFill="1" applyBorder="1" applyAlignment="1">
      <alignment horizontal="center" vertical="center" wrapText="1"/>
    </xf>
    <xf numFmtId="166" fontId="24" fillId="5" borderId="24" xfId="65" applyNumberFormat="1" applyFont="1" applyFill="1" applyBorder="1" applyAlignment="1">
      <alignment horizontal="center" vertical="center" wrapText="1"/>
    </xf>
    <xf numFmtId="170" fontId="24" fillId="5" borderId="24" xfId="65" applyNumberFormat="1" applyFont="1" applyFill="1" applyBorder="1" applyAlignment="1">
      <alignment horizontal="center" vertical="center" wrapText="1"/>
    </xf>
    <xf numFmtId="170" fontId="26" fillId="5" borderId="24" xfId="65" applyNumberFormat="1" applyFont="1" applyFill="1" applyBorder="1" applyAlignment="1">
      <alignment horizontal="center" vertical="center" wrapText="1"/>
    </xf>
    <xf numFmtId="171" fontId="26" fillId="5" borderId="24" xfId="65" applyNumberFormat="1" applyFont="1" applyFill="1" applyBorder="1" applyAlignment="1">
      <alignment horizontal="center" vertical="center" wrapText="1"/>
    </xf>
    <xf numFmtId="169" fontId="9" fillId="5" borderId="24" xfId="65" applyNumberFormat="1" applyFill="1" applyBorder="1" applyAlignment="1">
      <alignment horizontal="left" vertical="center"/>
    </xf>
    <xf numFmtId="1" fontId="24" fillId="9" borderId="24" xfId="65" applyNumberFormat="1" applyFont="1" applyFill="1" applyBorder="1" applyAlignment="1">
      <alignment horizontal="center" vertical="center" wrapText="1"/>
    </xf>
    <xf numFmtId="1" fontId="26" fillId="9" borderId="24" xfId="65" applyNumberFormat="1" applyFont="1" applyFill="1" applyBorder="1" applyAlignment="1">
      <alignment horizontal="center" vertical="center" wrapText="1"/>
    </xf>
    <xf numFmtId="169" fontId="26" fillId="5" borderId="24" xfId="65" applyNumberFormat="1" applyFont="1" applyFill="1" applyBorder="1" applyAlignment="1">
      <alignment horizontal="left" vertical="center"/>
    </xf>
    <xf numFmtId="165" fontId="24" fillId="10" borderId="24" xfId="65" applyNumberFormat="1" applyFont="1" applyFill="1" applyBorder="1" applyAlignment="1">
      <alignment horizontal="center" vertical="center" wrapText="1"/>
    </xf>
    <xf numFmtId="165" fontId="26" fillId="10" borderId="24" xfId="65" applyNumberFormat="1" applyFont="1" applyFill="1" applyBorder="1" applyAlignment="1">
      <alignment horizontal="center" vertical="center" wrapText="1"/>
    </xf>
    <xf numFmtId="169" fontId="26" fillId="5" borderId="24" xfId="65" quotePrefix="1" applyNumberFormat="1" applyFont="1" applyFill="1" applyBorder="1" applyAlignment="1">
      <alignment horizontal="left" vertical="center"/>
    </xf>
    <xf numFmtId="0" fontId="26" fillId="11" borderId="24" xfId="65" applyFont="1" applyFill="1" applyBorder="1" applyAlignment="1">
      <alignment vertical="center" wrapText="1"/>
    </xf>
    <xf numFmtId="169" fontId="26" fillId="11" borderId="24" xfId="65" applyNumberFormat="1" applyFont="1" applyFill="1" applyBorder="1" applyAlignment="1">
      <alignment vertical="center"/>
    </xf>
    <xf numFmtId="3" fontId="26" fillId="11" borderId="24" xfId="65" applyNumberFormat="1" applyFont="1" applyFill="1" applyBorder="1" applyAlignment="1">
      <alignment horizontal="center" vertical="center" wrapText="1"/>
    </xf>
    <xf numFmtId="0" fontId="26" fillId="11" borderId="24" xfId="65" applyFont="1" applyFill="1" applyBorder="1" applyAlignment="1">
      <alignment horizontal="center" vertical="center" wrapText="1"/>
    </xf>
    <xf numFmtId="3" fontId="24" fillId="12" borderId="24" xfId="65" applyNumberFormat="1" applyFont="1" applyFill="1" applyBorder="1" applyAlignment="1">
      <alignment horizontal="center" vertical="center" wrapText="1"/>
    </xf>
    <xf numFmtId="3" fontId="26" fillId="12" borderId="24" xfId="65" applyNumberFormat="1" applyFont="1" applyFill="1" applyBorder="1" applyAlignment="1">
      <alignment horizontal="center" vertical="center" wrapText="1"/>
    </xf>
    <xf numFmtId="165" fontId="24" fillId="11" borderId="24" xfId="65" applyNumberFormat="1" applyFont="1" applyFill="1" applyBorder="1" applyAlignment="1">
      <alignment horizontal="center" vertical="center" wrapText="1"/>
    </xf>
    <xf numFmtId="165" fontId="26" fillId="11" borderId="24" xfId="65" applyNumberFormat="1" applyFont="1" applyFill="1" applyBorder="1" applyAlignment="1">
      <alignment horizontal="center" vertical="center" wrapText="1"/>
    </xf>
    <xf numFmtId="166" fontId="26" fillId="11" borderId="24" xfId="65" applyNumberFormat="1" applyFont="1" applyFill="1" applyBorder="1" applyAlignment="1">
      <alignment horizontal="center" vertical="center" wrapText="1"/>
    </xf>
    <xf numFmtId="2" fontId="24" fillId="11" borderId="24" xfId="65" applyNumberFormat="1" applyFont="1" applyFill="1" applyBorder="1" applyAlignment="1">
      <alignment horizontal="center" vertical="center" wrapText="1"/>
    </xf>
    <xf numFmtId="2" fontId="26" fillId="11" borderId="24" xfId="65" applyNumberFormat="1" applyFont="1" applyFill="1" applyBorder="1" applyAlignment="1">
      <alignment horizontal="center" vertical="center" wrapText="1"/>
    </xf>
    <xf numFmtId="3" fontId="9" fillId="5" borderId="24" xfId="65" applyNumberFormat="1" applyFill="1" applyBorder="1" applyAlignment="1">
      <alignment horizontal="center" vertical="center" wrapText="1"/>
    </xf>
    <xf numFmtId="2" fontId="24" fillId="5" borderId="24" xfId="65" applyNumberFormat="1" applyFont="1" applyFill="1" applyBorder="1" applyAlignment="1">
      <alignment horizontal="center" vertical="center" wrapText="1"/>
    </xf>
    <xf numFmtId="2" fontId="26" fillId="5" borderId="24" xfId="65" applyNumberFormat="1" applyFont="1" applyFill="1" applyBorder="1" applyAlignment="1">
      <alignment horizontal="center" vertical="center" wrapText="1"/>
    </xf>
    <xf numFmtId="1" fontId="9" fillId="9" borderId="24" xfId="65" applyNumberFormat="1" applyFill="1" applyBorder="1" applyAlignment="1">
      <alignment horizontal="center" vertical="center" wrapText="1"/>
    </xf>
    <xf numFmtId="165" fontId="9" fillId="9" borderId="24" xfId="65" applyNumberFormat="1" applyFill="1" applyBorder="1" applyAlignment="1">
      <alignment horizontal="center" vertical="center" wrapText="1"/>
    </xf>
    <xf numFmtId="2" fontId="14" fillId="5" borderId="24" xfId="65" applyNumberFormat="1" applyFont="1" applyFill="1" applyBorder="1" applyAlignment="1">
      <alignment horizontal="center" vertical="center" wrapText="1"/>
    </xf>
    <xf numFmtId="2" fontId="9" fillId="5" borderId="24" xfId="65" applyNumberFormat="1" applyFill="1" applyBorder="1" applyAlignment="1">
      <alignment horizontal="center" vertical="center" wrapText="1"/>
    </xf>
    <xf numFmtId="166" fontId="9" fillId="5" borderId="24" xfId="65" applyNumberFormat="1" applyFill="1" applyBorder="1" applyAlignment="1">
      <alignment horizontal="center" vertical="center" wrapText="1"/>
    </xf>
    <xf numFmtId="166" fontId="14" fillId="5" borderId="24" xfId="65" applyNumberFormat="1" applyFont="1" applyFill="1" applyBorder="1" applyAlignment="1">
      <alignment horizontal="center" vertical="center" wrapText="1"/>
    </xf>
    <xf numFmtId="171" fontId="9" fillId="5" borderId="24" xfId="65" applyNumberFormat="1" applyFill="1" applyBorder="1" applyAlignment="1">
      <alignment horizontal="center" vertical="center" wrapText="1"/>
    </xf>
    <xf numFmtId="165" fontId="14" fillId="5" borderId="24" xfId="65" applyNumberFormat="1" applyFont="1" applyFill="1" applyBorder="1" applyAlignment="1">
      <alignment horizontal="center" vertical="center" wrapText="1"/>
    </xf>
    <xf numFmtId="165" fontId="9" fillId="5" borderId="24" xfId="65" applyNumberFormat="1" applyFill="1" applyBorder="1" applyAlignment="1">
      <alignment horizontal="center" vertical="center" wrapText="1"/>
    </xf>
    <xf numFmtId="170" fontId="9" fillId="5" borderId="24" xfId="65" applyNumberFormat="1" applyFill="1" applyBorder="1" applyAlignment="1">
      <alignment horizontal="center" vertical="center" wrapText="1"/>
    </xf>
    <xf numFmtId="3" fontId="14" fillId="9" borderId="24" xfId="65" applyNumberFormat="1" applyFont="1" applyFill="1" applyBorder="1" applyAlignment="1">
      <alignment horizontal="center" vertical="center" wrapText="1"/>
    </xf>
    <xf numFmtId="3" fontId="9" fillId="9" borderId="24" xfId="65" applyNumberFormat="1" applyFill="1" applyBorder="1" applyAlignment="1">
      <alignment horizontal="center" vertical="center" wrapText="1"/>
    </xf>
    <xf numFmtId="165" fontId="24" fillId="5" borderId="24" xfId="65" applyNumberFormat="1" applyFont="1" applyFill="1" applyBorder="1" applyAlignment="1">
      <alignment horizontal="center" vertical="center" wrapText="1"/>
    </xf>
    <xf numFmtId="165" fontId="26" fillId="5" borderId="24" xfId="65" applyNumberFormat="1" applyFont="1" applyFill="1" applyBorder="1" applyAlignment="1">
      <alignment horizontal="center" vertical="center" wrapText="1"/>
    </xf>
    <xf numFmtId="169" fontId="26" fillId="5" borderId="24" xfId="65" applyNumberFormat="1" applyFont="1" applyFill="1" applyBorder="1" applyAlignment="1">
      <alignment vertical="center"/>
    </xf>
    <xf numFmtId="1" fontId="9" fillId="5" borderId="24" xfId="65" applyNumberFormat="1" applyFill="1" applyBorder="1" applyAlignment="1">
      <alignment horizontal="center" vertical="center" wrapText="1"/>
    </xf>
    <xf numFmtId="1" fontId="14" fillId="5" borderId="24" xfId="65" applyNumberFormat="1" applyFont="1" applyFill="1" applyBorder="1" applyAlignment="1">
      <alignment horizontal="center" vertical="center" wrapText="1"/>
    </xf>
    <xf numFmtId="3" fontId="24" fillId="5" borderId="24" xfId="65" applyNumberFormat="1" applyFont="1" applyFill="1" applyBorder="1" applyAlignment="1">
      <alignment horizontal="center" vertical="center" wrapText="1"/>
    </xf>
    <xf numFmtId="167" fontId="26" fillId="5" borderId="24" xfId="65" applyNumberFormat="1" applyFont="1" applyFill="1" applyBorder="1" applyAlignment="1">
      <alignment horizontal="center" vertical="center" wrapText="1"/>
    </xf>
    <xf numFmtId="0" fontId="26" fillId="9" borderId="24" xfId="65" applyFont="1" applyFill="1" applyBorder="1" applyAlignment="1">
      <alignment horizontal="center" vertical="center" wrapText="1"/>
    </xf>
    <xf numFmtId="0" fontId="9" fillId="11" borderId="24" xfId="65" applyFill="1" applyBorder="1" applyAlignment="1">
      <alignment vertical="center" wrapText="1"/>
    </xf>
    <xf numFmtId="169" fontId="9" fillId="11" borderId="24" xfId="65" applyNumberFormat="1" applyFill="1" applyBorder="1" applyAlignment="1">
      <alignment vertical="center"/>
    </xf>
    <xf numFmtId="3" fontId="9" fillId="11" borderId="24" xfId="65" applyNumberFormat="1" applyFill="1" applyBorder="1" applyAlignment="1">
      <alignment horizontal="center" vertical="center" wrapText="1"/>
    </xf>
    <xf numFmtId="0" fontId="9" fillId="11" borderId="24" xfId="65" applyFill="1" applyBorder="1" applyAlignment="1">
      <alignment horizontal="center" vertical="center" wrapText="1"/>
    </xf>
    <xf numFmtId="3" fontId="14" fillId="12" borderId="24" xfId="65" applyNumberFormat="1" applyFont="1" applyFill="1" applyBorder="1" applyAlignment="1">
      <alignment horizontal="center" vertical="center" wrapText="1"/>
    </xf>
    <xf numFmtId="3" fontId="9" fillId="12" borderId="24" xfId="65" applyNumberFormat="1" applyFill="1" applyBorder="1" applyAlignment="1">
      <alignment horizontal="center" vertical="center" wrapText="1"/>
    </xf>
    <xf numFmtId="165" fontId="14" fillId="11" borderId="24" xfId="65" applyNumberFormat="1" applyFont="1" applyFill="1" applyBorder="1" applyAlignment="1">
      <alignment horizontal="center" vertical="center" wrapText="1"/>
    </xf>
    <xf numFmtId="165" fontId="9" fillId="11" borderId="24" xfId="65" applyNumberFormat="1" applyFill="1" applyBorder="1" applyAlignment="1">
      <alignment horizontal="center" vertical="center" wrapText="1"/>
    </xf>
    <xf numFmtId="166" fontId="9" fillId="11" borderId="24" xfId="65" applyNumberFormat="1" applyFill="1" applyBorder="1" applyAlignment="1">
      <alignment horizontal="center" vertical="center" wrapText="1"/>
    </xf>
    <xf numFmtId="2" fontId="14" fillId="11" borderId="24" xfId="65" applyNumberFormat="1" applyFont="1" applyFill="1" applyBorder="1" applyAlignment="1">
      <alignment horizontal="center" vertical="center" wrapText="1"/>
    </xf>
    <xf numFmtId="2" fontId="9" fillId="11" borderId="24" xfId="65" applyNumberFormat="1" applyFill="1" applyBorder="1" applyAlignment="1">
      <alignment horizontal="center" vertical="center" wrapText="1"/>
    </xf>
    <xf numFmtId="165" fontId="26" fillId="12" borderId="24" xfId="65" applyNumberFormat="1" applyFont="1" applyFill="1" applyBorder="1" applyAlignment="1">
      <alignment horizontal="center" vertical="center" wrapText="1"/>
    </xf>
    <xf numFmtId="170" fontId="26" fillId="11" borderId="24" xfId="65" applyNumberFormat="1" applyFont="1" applyFill="1" applyBorder="1" applyAlignment="1">
      <alignment horizontal="center" vertical="center" wrapText="1"/>
    </xf>
    <xf numFmtId="1" fontId="26" fillId="11" borderId="24" xfId="65" applyNumberFormat="1" applyFont="1" applyFill="1" applyBorder="1" applyAlignment="1">
      <alignment horizontal="center" vertical="center" wrapText="1"/>
    </xf>
    <xf numFmtId="1" fontId="9" fillId="12" borderId="24" xfId="65" applyNumberFormat="1" applyFill="1" applyBorder="1" applyAlignment="1">
      <alignment horizontal="center" vertical="center" wrapText="1"/>
    </xf>
    <xf numFmtId="0" fontId="9" fillId="5" borderId="24" xfId="65" applyFill="1" applyBorder="1" applyAlignment="1">
      <alignment horizontal="left" vertical="center" wrapText="1"/>
    </xf>
    <xf numFmtId="1" fontId="24" fillId="12" borderId="24" xfId="65" applyNumberFormat="1" applyFont="1" applyFill="1" applyBorder="1" applyAlignment="1">
      <alignment horizontal="center" vertical="center" wrapText="1"/>
    </xf>
    <xf numFmtId="166" fontId="24" fillId="11" borderId="24" xfId="65" applyNumberFormat="1" applyFont="1" applyFill="1" applyBorder="1" applyAlignment="1">
      <alignment horizontal="center" vertical="center" wrapText="1"/>
    </xf>
    <xf numFmtId="0" fontId="9" fillId="5" borderId="0" xfId="65" applyFill="1"/>
    <xf numFmtId="0" fontId="14" fillId="5" borderId="0" xfId="65" applyFont="1" applyFill="1"/>
    <xf numFmtId="0" fontId="14" fillId="5" borderId="0" xfId="65" applyFont="1" applyFill="1" applyAlignment="1">
      <alignment horizontal="center"/>
    </xf>
    <xf numFmtId="0" fontId="10" fillId="5" borderId="0" xfId="66" applyFont="1" applyFill="1"/>
    <xf numFmtId="0" fontId="12" fillId="5" borderId="0" xfId="66" applyFont="1" applyFill="1"/>
    <xf numFmtId="0" fontId="14" fillId="5" borderId="14" xfId="65" applyFont="1" applyFill="1" applyBorder="1" applyAlignment="1">
      <alignment wrapText="1"/>
    </xf>
    <xf numFmtId="0" fontId="9" fillId="5" borderId="0" xfId="66" applyFill="1"/>
    <xf numFmtId="0" fontId="20" fillId="5" borderId="18" xfId="65" applyFont="1" applyFill="1" applyBorder="1" applyAlignment="1">
      <alignment vertical="center" wrapText="1"/>
    </xf>
    <xf numFmtId="0" fontId="9" fillId="5" borderId="0" xfId="66" applyFill="1" applyAlignment="1">
      <alignment vertical="center"/>
    </xf>
    <xf numFmtId="0" fontId="18" fillId="5" borderId="0" xfId="66" applyFont="1" applyFill="1" applyAlignment="1">
      <alignment vertical="center"/>
    </xf>
    <xf numFmtId="0" fontId="20" fillId="5" borderId="20" xfId="65" applyFont="1" applyFill="1" applyBorder="1" applyAlignment="1">
      <alignment vertical="top" wrapText="1"/>
    </xf>
    <xf numFmtId="168" fontId="14" fillId="7" borderId="24" xfId="111" quotePrefix="1" applyNumberFormat="1" applyFont="1" applyFill="1" applyBorder="1" applyAlignment="1">
      <alignment vertical="center" wrapText="1"/>
    </xf>
    <xf numFmtId="168" fontId="14" fillId="7" borderId="24" xfId="111" applyNumberFormat="1" applyFont="1" applyFill="1" applyBorder="1" applyAlignment="1">
      <alignment vertical="center" wrapText="1"/>
    </xf>
    <xf numFmtId="0" fontId="14" fillId="7" borderId="24" xfId="111" applyFont="1" applyFill="1" applyBorder="1" applyAlignment="1">
      <alignment vertical="center" wrapText="1"/>
    </xf>
    <xf numFmtId="169" fontId="9" fillId="5" borderId="24" xfId="111" applyNumberFormat="1" applyFill="1" applyBorder="1" applyAlignment="1">
      <alignment vertical="center"/>
    </xf>
    <xf numFmtId="0" fontId="9" fillId="5" borderId="24" xfId="111" applyFill="1" applyBorder="1" applyAlignment="1">
      <alignment vertical="center" wrapText="1"/>
    </xf>
    <xf numFmtId="0" fontId="9" fillId="5" borderId="24" xfId="111" applyFill="1" applyBorder="1" applyAlignment="1">
      <alignment horizontal="center" vertical="center" wrapText="1"/>
    </xf>
    <xf numFmtId="169" fontId="9" fillId="5" borderId="24" xfId="111" quotePrefix="1" applyNumberFormat="1" applyFill="1" applyBorder="1" applyAlignment="1">
      <alignment vertical="center"/>
    </xf>
    <xf numFmtId="0" fontId="6" fillId="0" borderId="0" xfId="0" applyFont="1" applyAlignment="1">
      <alignment wrapText="1"/>
    </xf>
    <xf numFmtId="2" fontId="5" fillId="0" borderId="0" xfId="0" applyNumberFormat="1" applyFont="1"/>
    <xf numFmtId="0" fontId="10" fillId="3" borderId="3" xfId="65" applyFont="1" applyFill="1" applyBorder="1" applyAlignment="1">
      <alignment horizontal="left"/>
    </xf>
    <xf numFmtId="0" fontId="12" fillId="3" borderId="21" xfId="65" applyFont="1" applyFill="1" applyBorder="1"/>
    <xf numFmtId="0" fontId="13" fillId="5" borderId="0" xfId="66" applyFont="1" applyFill="1" applyAlignment="1">
      <alignment horizontal="left"/>
    </xf>
    <xf numFmtId="0" fontId="9" fillId="5" borderId="0" xfId="66" applyFill="1" applyAlignment="1">
      <alignment wrapText="1"/>
    </xf>
    <xf numFmtId="11" fontId="9" fillId="5" borderId="0" xfId="66" applyNumberFormat="1" applyFill="1" applyAlignment="1">
      <alignment wrapText="1"/>
    </xf>
    <xf numFmtId="0" fontId="9" fillId="5" borderId="0" xfId="66" applyFill="1" applyAlignment="1">
      <alignment vertical="center" wrapText="1"/>
    </xf>
    <xf numFmtId="0" fontId="9" fillId="5" borderId="18" xfId="65" applyFill="1" applyBorder="1"/>
    <xf numFmtId="0" fontId="9" fillId="5" borderId="19" xfId="66" applyFill="1" applyBorder="1"/>
    <xf numFmtId="0" fontId="14" fillId="7" borderId="24" xfId="111" quotePrefix="1" applyFont="1" applyFill="1" applyBorder="1" applyAlignment="1">
      <alignment vertical="center" wrapText="1"/>
    </xf>
    <xf numFmtId="169" fontId="26" fillId="5" borderId="24" xfId="111" quotePrefix="1" applyNumberFormat="1" applyFont="1" applyFill="1" applyBorder="1" applyAlignment="1">
      <alignment vertical="center"/>
    </xf>
    <xf numFmtId="0" fontId="6" fillId="21" borderId="0" xfId="0" applyFont="1" applyFill="1"/>
    <xf numFmtId="0" fontId="6" fillId="21" borderId="0" xfId="0" applyFont="1" applyFill="1" applyAlignment="1">
      <alignment wrapText="1"/>
    </xf>
    <xf numFmtId="0" fontId="5" fillId="21" borderId="0" xfId="0" applyFont="1" applyFill="1"/>
    <xf numFmtId="169" fontId="9" fillId="5" borderId="0" xfId="111" applyNumberFormat="1" applyFill="1" applyAlignment="1">
      <alignment vertical="center"/>
    </xf>
    <xf numFmtId="169" fontId="52" fillId="5" borderId="0" xfId="111" applyNumberFormat="1" applyFont="1" applyFill="1" applyAlignment="1">
      <alignment vertical="center"/>
    </xf>
    <xf numFmtId="0" fontId="5" fillId="0" borderId="35" xfId="0" applyFont="1" applyBorder="1"/>
    <xf numFmtId="0" fontId="51" fillId="0" borderId="0" xfId="0" applyFont="1"/>
    <xf numFmtId="3" fontId="24" fillId="9" borderId="24" xfId="111" applyNumberFormat="1" applyFont="1" applyFill="1" applyBorder="1" applyAlignment="1">
      <alignment horizontal="center" vertical="center" wrapText="1"/>
    </xf>
    <xf numFmtId="3" fontId="26" fillId="9" borderId="24" xfId="111" applyNumberFormat="1" applyFont="1" applyFill="1" applyBorder="1" applyAlignment="1">
      <alignment horizontal="center" vertical="center" wrapText="1"/>
    </xf>
    <xf numFmtId="0" fontId="22" fillId="5" borderId="14" xfId="65" applyFont="1" applyFill="1" applyBorder="1" applyAlignment="1">
      <alignment horizontal="center" vertical="center" wrapText="1"/>
    </xf>
    <xf numFmtId="0" fontId="18" fillId="5" borderId="18" xfId="65" applyFont="1" applyFill="1" applyBorder="1" applyAlignment="1">
      <alignment horizontal="center" vertical="center" wrapText="1"/>
    </xf>
    <xf numFmtId="3" fontId="22" fillId="5" borderId="20" xfId="0" applyNumberFormat="1" applyFont="1" applyFill="1" applyBorder="1" applyAlignment="1">
      <alignment horizontal="center" vertical="center" wrapText="1"/>
    </xf>
    <xf numFmtId="0" fontId="22" fillId="5" borderId="18" xfId="65" applyFont="1" applyFill="1" applyBorder="1" applyAlignment="1">
      <alignment horizontal="center" vertical="center" wrapText="1"/>
    </xf>
    <xf numFmtId="0" fontId="19" fillId="5" borderId="6" xfId="65" applyFont="1" applyFill="1" applyBorder="1" applyAlignment="1">
      <alignment horizontal="center" vertical="center" wrapText="1"/>
    </xf>
    <xf numFmtId="0" fontId="26" fillId="5" borderId="12" xfId="65" applyFont="1" applyFill="1" applyBorder="1" applyAlignment="1">
      <alignment horizontal="center" vertical="center" wrapText="1"/>
    </xf>
    <xf numFmtId="0" fontId="19" fillId="5" borderId="12" xfId="65" applyFont="1" applyFill="1" applyBorder="1" applyAlignment="1">
      <alignment horizontal="center" vertical="center" wrapText="1"/>
    </xf>
    <xf numFmtId="167" fontId="22" fillId="5" borderId="20" xfId="0" applyNumberFormat="1" applyFont="1" applyFill="1" applyBorder="1" applyAlignment="1">
      <alignment horizontal="center" vertical="center" wrapText="1"/>
    </xf>
    <xf numFmtId="0" fontId="5" fillId="0" borderId="39" xfId="0" applyFont="1" applyBorder="1"/>
    <xf numFmtId="0" fontId="10" fillId="5" borderId="43" xfId="66" applyFont="1" applyFill="1" applyBorder="1"/>
    <xf numFmtId="165" fontId="5" fillId="0" borderId="0" xfId="0" applyNumberFormat="1" applyFont="1"/>
    <xf numFmtId="0" fontId="0" fillId="25" borderId="0" xfId="0" applyFill="1"/>
    <xf numFmtId="0" fontId="0" fillId="25" borderId="50" xfId="0" applyFill="1" applyBorder="1"/>
    <xf numFmtId="0" fontId="0" fillId="25" borderId="51" xfId="0" applyFill="1" applyBorder="1"/>
    <xf numFmtId="0" fontId="0" fillId="25" borderId="52" xfId="0" applyFill="1" applyBorder="1"/>
    <xf numFmtId="0" fontId="57" fillId="25" borderId="51" xfId="0" applyFont="1" applyFill="1" applyBorder="1"/>
    <xf numFmtId="0" fontId="0" fillId="25" borderId="55" xfId="0" applyFill="1" applyBorder="1"/>
    <xf numFmtId="0" fontId="0" fillId="0" borderId="52" xfId="0" applyBorder="1"/>
    <xf numFmtId="0" fontId="58" fillId="25" borderId="51" xfId="0" applyFont="1" applyFill="1" applyBorder="1"/>
    <xf numFmtId="1" fontId="0" fillId="0" borderId="0" xfId="0" applyNumberFormat="1"/>
    <xf numFmtId="0" fontId="5" fillId="5" borderId="0" xfId="0" applyFont="1" applyFill="1"/>
    <xf numFmtId="0" fontId="5" fillId="25" borderId="34" xfId="0" applyFont="1" applyFill="1" applyBorder="1"/>
    <xf numFmtId="0" fontId="52" fillId="25" borderId="34" xfId="0" applyFont="1" applyFill="1" applyBorder="1"/>
    <xf numFmtId="0" fontId="5" fillId="24" borderId="34" xfId="0" applyFont="1" applyFill="1" applyBorder="1"/>
    <xf numFmtId="0" fontId="5" fillId="24" borderId="67" xfId="0" applyFont="1" applyFill="1" applyBorder="1" applyAlignment="1">
      <alignment wrapText="1"/>
    </xf>
    <xf numFmtId="0" fontId="5" fillId="24" borderId="67" xfId="0" applyFont="1" applyFill="1" applyBorder="1"/>
    <xf numFmtId="0" fontId="5" fillId="5" borderId="67" xfId="0" applyFont="1" applyFill="1" applyBorder="1"/>
    <xf numFmtId="0" fontId="5" fillId="25" borderId="67" xfId="0" applyFont="1" applyFill="1" applyBorder="1"/>
    <xf numFmtId="0" fontId="5" fillId="0" borderId="67" xfId="0" applyFont="1" applyBorder="1" applyAlignment="1">
      <alignment wrapText="1"/>
    </xf>
    <xf numFmtId="0" fontId="5" fillId="0" borderId="67" xfId="0" applyFont="1" applyBorder="1"/>
    <xf numFmtId="2" fontId="5" fillId="0" borderId="67" xfId="0" applyNumberFormat="1" applyFont="1" applyBorder="1"/>
    <xf numFmtId="0" fontId="61" fillId="25" borderId="51" xfId="0" applyFont="1" applyFill="1" applyBorder="1"/>
    <xf numFmtId="0" fontId="58" fillId="25" borderId="53" xfId="0" applyFont="1" applyFill="1" applyBorder="1"/>
    <xf numFmtId="0" fontId="58" fillId="25" borderId="71" xfId="0" applyFont="1" applyFill="1" applyBorder="1"/>
    <xf numFmtId="0" fontId="58" fillId="25" borderId="73" xfId="0" applyFont="1" applyFill="1" applyBorder="1"/>
    <xf numFmtId="0" fontId="0" fillId="0" borderId="54" xfId="0" applyBorder="1"/>
    <xf numFmtId="0" fontId="0" fillId="0" borderId="55" xfId="0" applyBorder="1"/>
    <xf numFmtId="0" fontId="59" fillId="0" borderId="0" xfId="0" applyFont="1"/>
    <xf numFmtId="0" fontId="0" fillId="0" borderId="49" xfId="0" applyBorder="1"/>
    <xf numFmtId="0" fontId="0" fillId="0" borderId="50" xfId="0" applyBorder="1"/>
    <xf numFmtId="0" fontId="0" fillId="0" borderId="52" xfId="0" applyBorder="1" applyAlignment="1">
      <alignment horizontal="left"/>
    </xf>
    <xf numFmtId="0" fontId="0" fillId="0" borderId="67" xfId="0" applyBorder="1"/>
    <xf numFmtId="2" fontId="0" fillId="0" borderId="67" xfId="0" applyNumberFormat="1" applyBorder="1"/>
    <xf numFmtId="0" fontId="10" fillId="3" borderId="17" xfId="0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left" vertical="center"/>
    </xf>
    <xf numFmtId="0" fontId="11" fillId="3" borderId="4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center" vertical="center"/>
    </xf>
    <xf numFmtId="3" fontId="11" fillId="3" borderId="5" xfId="0" applyNumberFormat="1" applyFont="1" applyFill="1" applyBorder="1" applyAlignment="1">
      <alignment horizontal="center" vertical="center"/>
    </xf>
    <xf numFmtId="0" fontId="11" fillId="3" borderId="75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right" vertical="center"/>
    </xf>
    <xf numFmtId="0" fontId="10" fillId="5" borderId="0" xfId="0" applyFont="1" applyFill="1" applyAlignment="1">
      <alignment vertical="center"/>
    </xf>
    <xf numFmtId="0" fontId="12" fillId="3" borderId="76" xfId="0" applyFont="1" applyFill="1" applyBorder="1" applyAlignment="1">
      <alignment vertical="center"/>
    </xf>
    <xf numFmtId="0" fontId="12" fillId="3" borderId="77" xfId="0" applyFont="1" applyFill="1" applyBorder="1" applyAlignment="1">
      <alignment vertical="center"/>
    </xf>
    <xf numFmtId="0" fontId="12" fillId="3" borderId="79" xfId="0" applyFont="1" applyFill="1" applyBorder="1" applyAlignment="1">
      <alignment vertical="center"/>
    </xf>
    <xf numFmtId="0" fontId="13" fillId="3" borderId="80" xfId="0" applyFont="1" applyFill="1" applyBorder="1" applyAlignment="1">
      <alignment horizontal="right" vertical="center"/>
    </xf>
    <xf numFmtId="0" fontId="12" fillId="5" borderId="0" xfId="0" applyFont="1" applyFill="1" applyAlignment="1">
      <alignment vertical="center"/>
    </xf>
    <xf numFmtId="0" fontId="9" fillId="5" borderId="0" xfId="0" applyFont="1" applyFill="1" applyAlignment="1">
      <alignment vertical="center"/>
    </xf>
    <xf numFmtId="0" fontId="37" fillId="5" borderId="0" xfId="0" applyFont="1" applyFill="1" applyAlignment="1">
      <alignment vertical="center" wrapText="1"/>
    </xf>
    <xf numFmtId="0" fontId="37" fillId="5" borderId="0" xfId="0" applyFont="1" applyFill="1" applyAlignment="1">
      <alignment horizontal="center" vertical="center" wrapText="1"/>
    </xf>
    <xf numFmtId="0" fontId="17" fillId="10" borderId="14" xfId="0" applyFont="1" applyFill="1" applyBorder="1" applyAlignment="1">
      <alignment horizontal="center" vertical="center" wrapText="1"/>
    </xf>
    <xf numFmtId="0" fontId="17" fillId="5" borderId="14" xfId="0" applyFont="1" applyFill="1" applyBorder="1" applyAlignment="1">
      <alignment horizontal="center" vertical="center" wrapText="1"/>
    </xf>
    <xf numFmtId="0" fontId="17" fillId="5" borderId="24" xfId="0" applyFont="1" applyFill="1" applyBorder="1" applyAlignment="1">
      <alignment horizontal="center" vertical="center" wrapText="1"/>
    </xf>
    <xf numFmtId="0" fontId="9" fillId="5" borderId="14" xfId="0" applyFont="1" applyFill="1" applyBorder="1" applyAlignment="1">
      <alignment vertical="center"/>
    </xf>
    <xf numFmtId="0" fontId="17" fillId="10" borderId="18" xfId="0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vertical="center" wrapText="1"/>
    </xf>
    <xf numFmtId="0" fontId="9" fillId="5" borderId="20" xfId="65" applyFill="1" applyBorder="1" applyAlignment="1">
      <alignment vertical="center"/>
    </xf>
    <xf numFmtId="0" fontId="20" fillId="5" borderId="20" xfId="0" applyFont="1" applyFill="1" applyBorder="1" applyAlignment="1">
      <alignment vertical="center" wrapText="1"/>
    </xf>
    <xf numFmtId="0" fontId="20" fillId="5" borderId="20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167" fontId="18" fillId="10" borderId="20" xfId="0" applyNumberFormat="1" applyFont="1" applyFill="1" applyBorder="1" applyAlignment="1">
      <alignment horizontal="center" vertical="center" wrapText="1"/>
    </xf>
    <xf numFmtId="3" fontId="18" fillId="5" borderId="20" xfId="0" applyNumberFormat="1" applyFont="1" applyFill="1" applyBorder="1" applyAlignment="1">
      <alignment horizontal="center" vertical="center" wrapText="1"/>
    </xf>
    <xf numFmtId="167" fontId="18" fillId="5" borderId="20" xfId="0" applyNumberFormat="1" applyFont="1" applyFill="1" applyBorder="1" applyAlignment="1">
      <alignment horizontal="center" vertical="center" wrapText="1"/>
    </xf>
    <xf numFmtId="0" fontId="18" fillId="5" borderId="20" xfId="0" applyFont="1" applyFill="1" applyBorder="1" applyAlignment="1">
      <alignment vertical="center"/>
    </xf>
    <xf numFmtId="0" fontId="16" fillId="5" borderId="20" xfId="0" applyFont="1" applyFill="1" applyBorder="1" applyAlignment="1">
      <alignment horizontal="left" vertical="center" wrapText="1"/>
    </xf>
    <xf numFmtId="0" fontId="18" fillId="5" borderId="0" xfId="0" applyFont="1" applyFill="1" applyAlignment="1">
      <alignment vertical="center"/>
    </xf>
    <xf numFmtId="0" fontId="14" fillId="18" borderId="24" xfId="0" applyFont="1" applyFill="1" applyBorder="1" applyAlignment="1">
      <alignment vertical="center"/>
    </xf>
    <xf numFmtId="0" fontId="14" fillId="18" borderId="24" xfId="0" applyFont="1" applyFill="1" applyBorder="1" applyAlignment="1">
      <alignment horizontal="center" vertical="center"/>
    </xf>
    <xf numFmtId="0" fontId="28" fillId="18" borderId="24" xfId="0" applyFont="1" applyFill="1" applyBorder="1" applyAlignment="1">
      <alignment vertical="center"/>
    </xf>
    <xf numFmtId="0" fontId="28" fillId="18" borderId="24" xfId="0" applyFont="1" applyFill="1" applyBorder="1" applyAlignment="1">
      <alignment horizontal="center" vertical="center"/>
    </xf>
    <xf numFmtId="0" fontId="14" fillId="18" borderId="24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right" vertical="center"/>
    </xf>
    <xf numFmtId="0" fontId="26" fillId="5" borderId="24" xfId="111" quotePrefix="1" applyFont="1" applyFill="1" applyBorder="1" applyAlignment="1">
      <alignment horizontal="left" vertical="center" wrapText="1"/>
    </xf>
    <xf numFmtId="0" fontId="9" fillId="5" borderId="24" xfId="0" applyFont="1" applyFill="1" applyBorder="1" applyAlignment="1">
      <alignment vertical="center"/>
    </xf>
    <xf numFmtId="0" fontId="9" fillId="5" borderId="24" xfId="0" applyFont="1" applyFill="1" applyBorder="1" applyAlignment="1">
      <alignment horizontal="center" vertical="center"/>
    </xf>
    <xf numFmtId="166" fontId="14" fillId="6" borderId="24" xfId="0" applyNumberFormat="1" applyFont="1" applyFill="1" applyBorder="1" applyAlignment="1">
      <alignment horizontal="center" vertical="center"/>
    </xf>
    <xf numFmtId="2" fontId="14" fillId="5" borderId="24" xfId="0" applyNumberFormat="1" applyFont="1" applyFill="1" applyBorder="1" applyAlignment="1">
      <alignment horizontal="center" vertical="center"/>
    </xf>
    <xf numFmtId="0" fontId="9" fillId="5" borderId="24" xfId="0" applyFont="1" applyFill="1" applyBorder="1" applyAlignment="1">
      <alignment horizontal="center" vertical="center" shrinkToFit="1"/>
    </xf>
    <xf numFmtId="0" fontId="9" fillId="5" borderId="24" xfId="0" applyFont="1" applyFill="1" applyBorder="1" applyAlignment="1">
      <alignment horizontal="left" vertical="center"/>
    </xf>
    <xf numFmtId="166" fontId="24" fillId="6" borderId="24" xfId="0" applyNumberFormat="1" applyFont="1" applyFill="1" applyBorder="1" applyAlignment="1">
      <alignment horizontal="center" vertical="center"/>
    </xf>
    <xf numFmtId="2" fontId="24" fillId="5" borderId="24" xfId="0" applyNumberFormat="1" applyFont="1" applyFill="1" applyBorder="1" applyAlignment="1">
      <alignment horizontal="center" vertical="center"/>
    </xf>
    <xf numFmtId="169" fontId="26" fillId="5" borderId="24" xfId="111" applyNumberFormat="1" applyFont="1" applyFill="1" applyBorder="1" applyAlignment="1">
      <alignment vertical="center"/>
    </xf>
    <xf numFmtId="0" fontId="9" fillId="18" borderId="24" xfId="0" applyFont="1" applyFill="1" applyBorder="1" applyAlignment="1">
      <alignment horizontal="center" vertical="center"/>
    </xf>
    <xf numFmtId="2" fontId="14" fillId="8" borderId="24" xfId="0" applyNumberFormat="1" applyFont="1" applyFill="1" applyBorder="1" applyAlignment="1">
      <alignment horizontal="center" vertical="center"/>
    </xf>
    <xf numFmtId="0" fontId="14" fillId="18" borderId="24" xfId="0" applyFont="1" applyFill="1" applyBorder="1" applyAlignment="1">
      <alignment horizontal="center" vertical="center" shrinkToFit="1"/>
    </xf>
    <xf numFmtId="0" fontId="26" fillId="5" borderId="24" xfId="0" applyFont="1" applyFill="1" applyBorder="1" applyAlignment="1">
      <alignment vertical="center"/>
    </xf>
    <xf numFmtId="0" fontId="26" fillId="5" borderId="24" xfId="0" applyFont="1" applyFill="1" applyBorder="1" applyAlignment="1">
      <alignment horizontal="center" vertical="center"/>
    </xf>
    <xf numFmtId="0" fontId="26" fillId="5" borderId="24" xfId="0" applyFont="1" applyFill="1" applyBorder="1" applyAlignment="1">
      <alignment horizontal="center" vertical="center" shrinkToFit="1"/>
    </xf>
    <xf numFmtId="0" fontId="26" fillId="5" borderId="24" xfId="0" applyFont="1" applyFill="1" applyBorder="1" applyAlignment="1">
      <alignment horizontal="left" vertical="center"/>
    </xf>
    <xf numFmtId="0" fontId="22" fillId="5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9" fillId="0" borderId="24" xfId="0" applyFont="1" applyBorder="1" applyAlignment="1">
      <alignment vertical="center"/>
    </xf>
    <xf numFmtId="0" fontId="64" fillId="18" borderId="24" xfId="0" applyFont="1" applyFill="1" applyBorder="1" applyAlignment="1">
      <alignment horizontal="center" vertical="center"/>
    </xf>
    <xf numFmtId="0" fontId="64" fillId="18" borderId="24" xfId="0" applyFont="1" applyFill="1" applyBorder="1" applyAlignment="1">
      <alignment horizontal="center" vertical="center" shrinkToFit="1"/>
    </xf>
    <xf numFmtId="0" fontId="26" fillId="5" borderId="24" xfId="0" applyFont="1" applyFill="1" applyBorder="1" applyAlignment="1">
      <alignment vertical="center" wrapText="1"/>
    </xf>
    <xf numFmtId="0" fontId="9" fillId="5" borderId="24" xfId="0" applyFont="1" applyFill="1" applyBorder="1" applyAlignment="1">
      <alignment horizontal="left" vertical="center" shrinkToFit="1"/>
    </xf>
    <xf numFmtId="0" fontId="66" fillId="5" borderId="24" xfId="0" applyFont="1" applyFill="1" applyBorder="1" applyAlignment="1">
      <alignment vertical="center" wrapText="1"/>
    </xf>
    <xf numFmtId="49" fontId="9" fillId="5" borderId="24" xfId="111" applyNumberFormat="1" applyFill="1" applyBorder="1" applyAlignment="1">
      <alignment vertical="center"/>
    </xf>
    <xf numFmtId="169" fontId="26" fillId="5" borderId="14" xfId="111" applyNumberFormat="1" applyFont="1" applyFill="1" applyBorder="1" applyAlignment="1">
      <alignment vertical="center"/>
    </xf>
    <xf numFmtId="0" fontId="26" fillId="5" borderId="14" xfId="0" applyFont="1" applyFill="1" applyBorder="1" applyAlignment="1">
      <alignment vertical="center"/>
    </xf>
    <xf numFmtId="0" fontId="26" fillId="5" borderId="14" xfId="0" applyFont="1" applyFill="1" applyBorder="1" applyAlignment="1">
      <alignment horizontal="center" vertical="center"/>
    </xf>
    <xf numFmtId="0" fontId="26" fillId="5" borderId="14" xfId="0" applyFont="1" applyFill="1" applyBorder="1" applyAlignment="1">
      <alignment horizontal="left" vertical="center"/>
    </xf>
    <xf numFmtId="0" fontId="17" fillId="5" borderId="0" xfId="0" applyFont="1" applyFill="1" applyAlignment="1">
      <alignment horizontal="center" vertical="center" wrapText="1"/>
    </xf>
    <xf numFmtId="0" fontId="9" fillId="5" borderId="0" xfId="0" applyFont="1" applyFill="1"/>
    <xf numFmtId="0" fontId="14" fillId="5" borderId="0" xfId="0" applyFont="1" applyFill="1"/>
    <xf numFmtId="0" fontId="14" fillId="5" borderId="0" xfId="0" applyFont="1" applyFill="1" applyAlignment="1">
      <alignment horizontal="center"/>
    </xf>
    <xf numFmtId="0" fontId="9" fillId="5" borderId="13" xfId="0" applyFont="1" applyFill="1" applyBorder="1" applyAlignment="1">
      <alignment horizontal="left"/>
    </xf>
    <xf numFmtId="4" fontId="0" fillId="0" borderId="67" xfId="0" applyNumberFormat="1" applyBorder="1" applyAlignment="1">
      <alignment horizontal="right" vertical="center"/>
    </xf>
    <xf numFmtId="2" fontId="0" fillId="0" borderId="0" xfId="0" applyNumberFormat="1"/>
    <xf numFmtId="0" fontId="0" fillId="0" borderId="48" xfId="0" applyBorder="1"/>
    <xf numFmtId="0" fontId="0" fillId="0" borderId="51" xfId="0" applyBorder="1"/>
    <xf numFmtId="0" fontId="0" fillId="0" borderId="53" xfId="0" applyBorder="1"/>
    <xf numFmtId="165" fontId="0" fillId="0" borderId="0" xfId="0" applyNumberFormat="1"/>
    <xf numFmtId="0" fontId="5" fillId="24" borderId="70" xfId="0" applyFont="1" applyFill="1" applyBorder="1"/>
    <xf numFmtId="0" fontId="5" fillId="25" borderId="70" xfId="0" applyFont="1" applyFill="1" applyBorder="1"/>
    <xf numFmtId="0" fontId="5" fillId="25" borderId="60" xfId="0" applyFont="1" applyFill="1" applyBorder="1"/>
    <xf numFmtId="0" fontId="0" fillId="5" borderId="0" xfId="0" applyFill="1"/>
    <xf numFmtId="0" fontId="6" fillId="5" borderId="34" xfId="0" applyFont="1" applyFill="1" applyBorder="1" applyAlignment="1">
      <alignment wrapText="1"/>
    </xf>
    <xf numFmtId="2" fontId="5" fillId="5" borderId="67" xfId="0" applyNumberFormat="1" applyFont="1" applyFill="1" applyBorder="1"/>
    <xf numFmtId="0" fontId="6" fillId="5" borderId="67" xfId="0" applyFont="1" applyFill="1" applyBorder="1" applyAlignment="1">
      <alignment wrapText="1"/>
    </xf>
    <xf numFmtId="1" fontId="5" fillId="5" borderId="0" xfId="0" applyNumberFormat="1" applyFont="1" applyFill="1"/>
    <xf numFmtId="0" fontId="58" fillId="5" borderId="67" xfId="0" applyFont="1" applyFill="1" applyBorder="1" applyAlignment="1">
      <alignment wrapText="1"/>
    </xf>
    <xf numFmtId="0" fontId="0" fillId="5" borderId="67" xfId="0" applyFill="1" applyBorder="1"/>
    <xf numFmtId="1" fontId="5" fillId="5" borderId="67" xfId="0" applyNumberFormat="1" applyFont="1" applyFill="1" applyBorder="1"/>
    <xf numFmtId="0" fontId="5" fillId="5" borderId="69" xfId="0" applyFont="1" applyFill="1" applyBorder="1"/>
    <xf numFmtId="0" fontId="0" fillId="24" borderId="67" xfId="0" applyFill="1" applyBorder="1"/>
    <xf numFmtId="1" fontId="5" fillId="24" borderId="67" xfId="0" applyNumberFormat="1" applyFont="1" applyFill="1" applyBorder="1"/>
    <xf numFmtId="0" fontId="57" fillId="5" borderId="0" xfId="0" applyFont="1" applyFill="1"/>
    <xf numFmtId="0" fontId="5" fillId="5" borderId="35" xfId="0" applyFont="1" applyFill="1" applyBorder="1"/>
    <xf numFmtId="0" fontId="5" fillId="24" borderId="26" xfId="0" applyFont="1" applyFill="1" applyBorder="1"/>
    <xf numFmtId="0" fontId="5" fillId="5" borderId="26" xfId="0" applyFont="1" applyFill="1" applyBorder="1"/>
    <xf numFmtId="1" fontId="5" fillId="25" borderId="67" xfId="0" applyNumberFormat="1" applyFont="1" applyFill="1" applyBorder="1"/>
    <xf numFmtId="0" fontId="0" fillId="25" borderId="67" xfId="0" applyFill="1" applyBorder="1"/>
    <xf numFmtId="9" fontId="0" fillId="0" borderId="0" xfId="0" applyNumberFormat="1"/>
    <xf numFmtId="9" fontId="0" fillId="23" borderId="0" xfId="134" applyFont="1" applyFill="1"/>
    <xf numFmtId="166" fontId="0" fillId="0" borderId="0" xfId="0" applyNumberFormat="1"/>
    <xf numFmtId="3" fontId="0" fillId="0" borderId="0" xfId="0" applyNumberFormat="1"/>
    <xf numFmtId="0" fontId="0" fillId="23" borderId="0" xfId="0" applyFill="1"/>
    <xf numFmtId="2" fontId="0" fillId="23" borderId="0" xfId="0" applyNumberFormat="1" applyFill="1"/>
    <xf numFmtId="165" fontId="0" fillId="0" borderId="52" xfId="0" applyNumberFormat="1" applyBorder="1"/>
    <xf numFmtId="2" fontId="0" fillId="0" borderId="54" xfId="0" applyNumberFormat="1" applyBorder="1"/>
    <xf numFmtId="2" fontId="0" fillId="0" borderId="52" xfId="0" applyNumberFormat="1" applyBorder="1"/>
    <xf numFmtId="9" fontId="0" fillId="0" borderId="0" xfId="134" applyFont="1" applyFill="1"/>
    <xf numFmtId="0" fontId="0" fillId="23" borderId="54" xfId="0" applyFill="1" applyBorder="1"/>
    <xf numFmtId="0" fontId="0" fillId="0" borderId="56" xfId="0" applyBorder="1"/>
    <xf numFmtId="0" fontId="0" fillId="0" borderId="57" xfId="0" applyBorder="1"/>
    <xf numFmtId="0" fontId="57" fillId="0" borderId="57" xfId="0" applyFont="1" applyBorder="1"/>
    <xf numFmtId="0" fontId="0" fillId="23" borderId="58" xfId="0" applyFill="1" applyBorder="1"/>
    <xf numFmtId="9" fontId="0" fillId="5" borderId="0" xfId="134" applyFont="1" applyFill="1"/>
    <xf numFmtId="165" fontId="0" fillId="23" borderId="49" xfId="0" applyNumberFormat="1" applyFill="1" applyBorder="1"/>
    <xf numFmtId="165" fontId="0" fillId="23" borderId="54" xfId="0" applyNumberFormat="1" applyFill="1" applyBorder="1"/>
    <xf numFmtId="49" fontId="5" fillId="0" borderId="67" xfId="0" applyNumberFormat="1" applyFont="1" applyBorder="1"/>
    <xf numFmtId="2" fontId="0" fillId="5" borderId="0" xfId="0" applyNumberFormat="1" applyFill="1"/>
    <xf numFmtId="49" fontId="5" fillId="5" borderId="67" xfId="0" applyNumberFormat="1" applyFont="1" applyFill="1" applyBorder="1"/>
    <xf numFmtId="9" fontId="5" fillId="5" borderId="67" xfId="0" applyNumberFormat="1" applyFont="1" applyFill="1" applyBorder="1"/>
    <xf numFmtId="0" fontId="0" fillId="5" borderId="67" xfId="0" applyFill="1" applyBorder="1" applyAlignment="1">
      <alignment wrapText="1"/>
    </xf>
    <xf numFmtId="1" fontId="0" fillId="5" borderId="67" xfId="0" applyNumberFormat="1" applyFill="1" applyBorder="1"/>
    <xf numFmtId="167" fontId="71" fillId="0" borderId="20" xfId="0" applyNumberFormat="1" applyFont="1" applyBorder="1" applyAlignment="1">
      <alignment horizontal="center" vertical="center" wrapText="1"/>
    </xf>
    <xf numFmtId="0" fontId="73" fillId="0" borderId="14" xfId="65" applyFont="1" applyBorder="1" applyAlignment="1">
      <alignment horizontal="center" vertical="center" wrapText="1"/>
    </xf>
    <xf numFmtId="0" fontId="71" fillId="0" borderId="14" xfId="65" applyFont="1" applyBorder="1" applyAlignment="1">
      <alignment horizontal="center" vertical="center" wrapText="1"/>
    </xf>
    <xf numFmtId="0" fontId="73" fillId="0" borderId="18" xfId="65" applyFont="1" applyBorder="1" applyAlignment="1">
      <alignment horizontal="center" vertical="center" wrapText="1"/>
    </xf>
    <xf numFmtId="0" fontId="71" fillId="0" borderId="18" xfId="65" applyFont="1" applyBorder="1" applyAlignment="1">
      <alignment horizontal="center" vertical="center" wrapText="1"/>
    </xf>
    <xf numFmtId="170" fontId="74" fillId="27" borderId="24" xfId="65" applyNumberFormat="1" applyFont="1" applyFill="1" applyBorder="1" applyAlignment="1">
      <alignment horizontal="center" vertical="center" wrapText="1"/>
    </xf>
    <xf numFmtId="170" fontId="62" fillId="27" borderId="24" xfId="65" applyNumberFormat="1" applyFont="1" applyFill="1" applyBorder="1" applyAlignment="1">
      <alignment horizontal="center" vertical="center" wrapText="1"/>
    </xf>
    <xf numFmtId="171" fontId="62" fillId="27" borderId="24" xfId="65" applyNumberFormat="1" applyFont="1" applyFill="1" applyBorder="1" applyAlignment="1">
      <alignment horizontal="center" vertical="center" wrapText="1"/>
    </xf>
    <xf numFmtId="166" fontId="74" fillId="27" borderId="24" xfId="65" applyNumberFormat="1" applyFont="1" applyFill="1" applyBorder="1" applyAlignment="1">
      <alignment horizontal="center" vertical="center" wrapText="1"/>
    </xf>
    <xf numFmtId="166" fontId="62" fillId="27" borderId="24" xfId="65" applyNumberFormat="1" applyFont="1" applyFill="1" applyBorder="1" applyAlignment="1">
      <alignment horizontal="center" vertical="center" wrapText="1"/>
    </xf>
    <xf numFmtId="9" fontId="26" fillId="5" borderId="0" xfId="134" applyFont="1" applyFill="1" applyAlignment="1">
      <alignment vertical="center"/>
    </xf>
    <xf numFmtId="165" fontId="0" fillId="0" borderId="54" xfId="0" applyNumberFormat="1" applyBorder="1"/>
    <xf numFmtId="2" fontId="0" fillId="0" borderId="48" xfId="0" applyNumberFormat="1" applyBorder="1"/>
    <xf numFmtId="0" fontId="0" fillId="0" borderId="58" xfId="0" applyBorder="1"/>
    <xf numFmtId="0" fontId="78" fillId="0" borderId="57" xfId="0" applyFont="1" applyBorder="1"/>
    <xf numFmtId="0" fontId="0" fillId="0" borderId="25" xfId="0" applyBorder="1"/>
    <xf numFmtId="2" fontId="0" fillId="0" borderId="85" xfId="0" applyNumberFormat="1" applyBorder="1"/>
    <xf numFmtId="9" fontId="0" fillId="0" borderId="66" xfId="0" applyNumberFormat="1" applyBorder="1"/>
    <xf numFmtId="0" fontId="61" fillId="0" borderId="0" xfId="0" applyFont="1"/>
    <xf numFmtId="0" fontId="58" fillId="0" borderId="48" xfId="0" applyFont="1" applyBorder="1"/>
    <xf numFmtId="0" fontId="0" fillId="0" borderId="88" xfId="0" applyBorder="1"/>
    <xf numFmtId="0" fontId="0" fillId="0" borderId="89" xfId="0" applyBorder="1"/>
    <xf numFmtId="0" fontId="0" fillId="0" borderId="90" xfId="0" applyBorder="1"/>
    <xf numFmtId="0" fontId="78" fillId="0" borderId="0" xfId="0" applyFont="1"/>
    <xf numFmtId="0" fontId="57" fillId="0" borderId="0" xfId="0" applyFont="1"/>
    <xf numFmtId="0" fontId="58" fillId="0" borderId="49" xfId="0" applyFont="1" applyBorder="1"/>
    <xf numFmtId="0" fontId="80" fillId="0" borderId="48" xfId="0" applyFont="1" applyBorder="1"/>
    <xf numFmtId="0" fontId="0" fillId="0" borderId="25" xfId="0" applyBorder="1" applyAlignment="1">
      <alignment vertical="center"/>
    </xf>
    <xf numFmtId="0" fontId="0" fillId="0" borderId="85" xfId="0" applyBorder="1"/>
    <xf numFmtId="0" fontId="0" fillId="23" borderId="52" xfId="0" applyFill="1" applyBorder="1"/>
    <xf numFmtId="0" fontId="0" fillId="23" borderId="55" xfId="0" applyFill="1" applyBorder="1"/>
    <xf numFmtId="0" fontId="57" fillId="0" borderId="56" xfId="0" applyFont="1" applyBorder="1"/>
    <xf numFmtId="0" fontId="57" fillId="0" borderId="58" xfId="0" applyFont="1" applyBorder="1"/>
    <xf numFmtId="0" fontId="58" fillId="0" borderId="51" xfId="0" applyFont="1" applyBorder="1"/>
    <xf numFmtId="0" fontId="5" fillId="25" borderId="67" xfId="0" applyFont="1" applyFill="1" applyBorder="1" applyAlignment="1">
      <alignment wrapText="1"/>
    </xf>
    <xf numFmtId="0" fontId="0" fillId="23" borderId="51" xfId="0" applyFill="1" applyBorder="1"/>
    <xf numFmtId="0" fontId="0" fillId="23" borderId="53" xfId="0" applyFill="1" applyBorder="1"/>
    <xf numFmtId="168" fontId="14" fillId="7" borderId="24" xfId="111" quotePrefix="1" applyNumberFormat="1" applyFont="1" applyFill="1" applyBorder="1" applyAlignment="1">
      <alignment horizontal="left" vertical="center" wrapText="1"/>
    </xf>
    <xf numFmtId="0" fontId="28" fillId="7" borderId="24" xfId="111" applyFont="1" applyFill="1" applyBorder="1" applyAlignment="1">
      <alignment vertical="center" wrapText="1"/>
    </xf>
    <xf numFmtId="165" fontId="14" fillId="7" borderId="24" xfId="111" applyNumberFormat="1" applyFont="1" applyFill="1" applyBorder="1" applyAlignment="1">
      <alignment horizontal="center" vertical="center" wrapText="1"/>
    </xf>
    <xf numFmtId="0" fontId="9" fillId="7" borderId="24" xfId="111" applyFill="1" applyBorder="1" applyAlignment="1">
      <alignment horizontal="center" vertical="center" wrapText="1"/>
    </xf>
    <xf numFmtId="166" fontId="9" fillId="7" borderId="24" xfId="111" applyNumberFormat="1" applyFill="1" applyBorder="1" applyAlignment="1">
      <alignment horizontal="center" vertical="center" wrapText="1"/>
    </xf>
    <xf numFmtId="0" fontId="14" fillId="7" borderId="24" xfId="111" applyFont="1" applyFill="1" applyBorder="1" applyAlignment="1">
      <alignment horizontal="center" vertical="center" wrapText="1"/>
    </xf>
    <xf numFmtId="0" fontId="14" fillId="7" borderId="24" xfId="65" applyFont="1" applyFill="1" applyBorder="1" applyAlignment="1">
      <alignment horizontal="left" vertical="center" wrapText="1"/>
    </xf>
    <xf numFmtId="0" fontId="9" fillId="5" borderId="0" xfId="111" applyFill="1" applyAlignment="1">
      <alignment vertical="center"/>
    </xf>
    <xf numFmtId="0" fontId="9" fillId="5" borderId="24" xfId="111" quotePrefix="1" applyFill="1" applyBorder="1" applyAlignment="1">
      <alignment horizontal="left" vertical="center" wrapText="1"/>
    </xf>
    <xf numFmtId="1" fontId="9" fillId="0" borderId="24" xfId="65" applyNumberFormat="1" applyBorder="1" applyAlignment="1">
      <alignment horizontal="center" vertical="center" wrapText="1"/>
    </xf>
    <xf numFmtId="1" fontId="26" fillId="0" borderId="24" xfId="111" applyNumberFormat="1" applyFont="1" applyBorder="1" applyAlignment="1">
      <alignment horizontal="center" vertical="center" wrapText="1"/>
    </xf>
    <xf numFmtId="0" fontId="9" fillId="0" borderId="24" xfId="65" applyBorder="1" applyAlignment="1">
      <alignment horizontal="left" vertical="center" wrapText="1"/>
    </xf>
    <xf numFmtId="1" fontId="74" fillId="0" borderId="24" xfId="65" applyNumberFormat="1" applyFont="1" applyBorder="1" applyAlignment="1">
      <alignment horizontal="center" vertical="center" wrapText="1"/>
    </xf>
    <xf numFmtId="1" fontId="62" fillId="0" borderId="24" xfId="65" applyNumberFormat="1" applyFont="1" applyBorder="1" applyAlignment="1">
      <alignment horizontal="center" vertical="center" wrapText="1"/>
    </xf>
    <xf numFmtId="11" fontId="9" fillId="5" borderId="24" xfId="0" applyNumberFormat="1" applyFont="1" applyFill="1" applyBorder="1" applyAlignment="1">
      <alignment horizontal="center" vertical="center" wrapText="1"/>
    </xf>
    <xf numFmtId="0" fontId="14" fillId="28" borderId="24" xfId="65" applyFont="1" applyFill="1" applyBorder="1" applyAlignment="1">
      <alignment vertical="center" wrapText="1"/>
    </xf>
    <xf numFmtId="1" fontId="26" fillId="8" borderId="24" xfId="111" applyNumberFormat="1" applyFont="1" applyFill="1" applyBorder="1" applyAlignment="1">
      <alignment horizontal="center" vertical="center" wrapText="1"/>
    </xf>
    <xf numFmtId="0" fontId="18" fillId="5" borderId="0" xfId="111" applyFont="1" applyFill="1" applyAlignment="1">
      <alignment vertical="center"/>
    </xf>
    <xf numFmtId="165" fontId="9" fillId="10" borderId="24" xfId="65" applyNumberFormat="1" applyFill="1" applyBorder="1" applyAlignment="1">
      <alignment horizontal="center" vertical="center" wrapText="1"/>
    </xf>
    <xf numFmtId="169" fontId="9" fillId="5" borderId="24" xfId="65" quotePrefix="1" applyNumberFormat="1" applyFill="1" applyBorder="1" applyAlignment="1">
      <alignment vertical="center"/>
    </xf>
    <xf numFmtId="165" fontId="14" fillId="10" borderId="24" xfId="65" applyNumberFormat="1" applyFont="1" applyFill="1" applyBorder="1" applyAlignment="1">
      <alignment horizontal="center" vertical="center" wrapText="1"/>
    </xf>
    <xf numFmtId="196" fontId="26" fillId="0" borderId="24" xfId="152" applyNumberFormat="1" applyFont="1" applyFill="1" applyBorder="1" applyAlignment="1">
      <alignment horizontal="center" vertical="center" wrapText="1"/>
    </xf>
    <xf numFmtId="166" fontId="74" fillId="0" borderId="24" xfId="65" applyNumberFormat="1" applyFont="1" applyBorder="1" applyAlignment="1">
      <alignment horizontal="center" vertical="center" wrapText="1"/>
    </xf>
    <xf numFmtId="170" fontId="62" fillId="0" borderId="24" xfId="65" applyNumberFormat="1" applyFont="1" applyBorder="1" applyAlignment="1">
      <alignment horizontal="center" vertical="center" wrapText="1"/>
    </xf>
    <xf numFmtId="171" fontId="62" fillId="0" borderId="24" xfId="65" applyNumberFormat="1" applyFont="1" applyBorder="1" applyAlignment="1">
      <alignment horizontal="center" vertical="center" wrapText="1"/>
    </xf>
    <xf numFmtId="169" fontId="9" fillId="11" borderId="24" xfId="111" quotePrefix="1" applyNumberFormat="1" applyFill="1" applyBorder="1" applyAlignment="1">
      <alignment horizontal="left" vertical="center"/>
    </xf>
    <xf numFmtId="1" fontId="9" fillId="11" borderId="24" xfId="65" applyNumberFormat="1" applyFill="1" applyBorder="1" applyAlignment="1">
      <alignment horizontal="center" vertical="center" wrapText="1"/>
    </xf>
    <xf numFmtId="197" fontId="26" fillId="11" borderId="24" xfId="152" applyNumberFormat="1" applyFont="1" applyFill="1" applyBorder="1" applyAlignment="1">
      <alignment horizontal="center" vertical="center" wrapText="1"/>
    </xf>
    <xf numFmtId="2" fontId="26" fillId="11" borderId="24" xfId="111" applyNumberFormat="1" applyFont="1" applyFill="1" applyBorder="1" applyAlignment="1">
      <alignment horizontal="center" vertical="center" wrapText="1"/>
    </xf>
    <xf numFmtId="166" fontId="14" fillId="7" borderId="24" xfId="111" applyNumberFormat="1" applyFont="1" applyFill="1" applyBorder="1" applyAlignment="1">
      <alignment horizontal="center" vertical="center" wrapText="1"/>
    </xf>
    <xf numFmtId="169" fontId="9" fillId="5" borderId="24" xfId="111" applyNumberFormat="1" applyFill="1" applyBorder="1" applyAlignment="1">
      <alignment horizontal="left" vertical="center"/>
    </xf>
    <xf numFmtId="169" fontId="26" fillId="11" borderId="24" xfId="111" quotePrefix="1" applyNumberFormat="1" applyFont="1" applyFill="1" applyBorder="1" applyAlignment="1">
      <alignment horizontal="left" vertical="center"/>
    </xf>
    <xf numFmtId="0" fontId="26" fillId="5" borderId="0" xfId="111" applyFont="1" applyFill="1" applyAlignment="1">
      <alignment vertical="center"/>
    </xf>
    <xf numFmtId="166" fontId="62" fillId="0" borderId="24" xfId="65" applyNumberFormat="1" applyFont="1" applyBorder="1" applyAlignment="1">
      <alignment horizontal="center" vertical="center" wrapText="1"/>
    </xf>
    <xf numFmtId="0" fontId="26" fillId="0" borderId="0" xfId="111" applyFont="1" applyAlignment="1">
      <alignment vertical="center"/>
    </xf>
    <xf numFmtId="0" fontId="25" fillId="7" borderId="24" xfId="111" applyFont="1" applyFill="1" applyBorder="1" applyAlignment="1">
      <alignment vertical="center" wrapText="1"/>
    </xf>
    <xf numFmtId="166" fontId="24" fillId="7" borderId="24" xfId="111" applyNumberFormat="1" applyFont="1" applyFill="1" applyBorder="1" applyAlignment="1">
      <alignment horizontal="center" vertical="center" wrapText="1"/>
    </xf>
    <xf numFmtId="166" fontId="14" fillId="28" borderId="24" xfId="111" applyNumberFormat="1" applyFont="1" applyFill="1" applyBorder="1" applyAlignment="1">
      <alignment horizontal="center" vertical="center" wrapText="1"/>
    </xf>
    <xf numFmtId="166" fontId="24" fillId="28" borderId="24" xfId="111" applyNumberFormat="1" applyFont="1" applyFill="1" applyBorder="1" applyAlignment="1">
      <alignment horizontal="center" vertical="center" wrapText="1"/>
    </xf>
    <xf numFmtId="169" fontId="26" fillId="5" borderId="24" xfId="111" quotePrefix="1" applyNumberFormat="1" applyFont="1" applyFill="1" applyBorder="1" applyAlignment="1">
      <alignment horizontal="left" vertical="center"/>
    </xf>
    <xf numFmtId="0" fontId="26" fillId="5" borderId="24" xfId="65" applyFont="1" applyFill="1" applyBorder="1" applyAlignment="1">
      <alignment horizontal="left" vertical="center" wrapText="1"/>
    </xf>
    <xf numFmtId="2" fontId="74" fillId="0" borderId="24" xfId="65" applyNumberFormat="1" applyFont="1" applyBorder="1" applyAlignment="1">
      <alignment horizontal="center" vertical="center" wrapText="1"/>
    </xf>
    <xf numFmtId="2" fontId="62" fillId="0" borderId="24" xfId="65" applyNumberFormat="1" applyFont="1" applyBorder="1" applyAlignment="1">
      <alignment horizontal="center" vertical="center" wrapText="1"/>
    </xf>
    <xf numFmtId="2" fontId="26" fillId="0" borderId="24" xfId="65" applyNumberFormat="1" applyFont="1" applyBorder="1" applyAlignment="1">
      <alignment horizontal="center" vertical="center" wrapText="1"/>
    </xf>
    <xf numFmtId="1" fontId="24" fillId="9" borderId="24" xfId="111" applyNumberFormat="1" applyFont="1" applyFill="1" applyBorder="1" applyAlignment="1">
      <alignment horizontal="center" vertical="center" wrapText="1"/>
    </xf>
    <xf numFmtId="1" fontId="26" fillId="9" borderId="24" xfId="111" applyNumberFormat="1" applyFont="1" applyFill="1" applyBorder="1" applyAlignment="1">
      <alignment horizontal="center" vertical="center" wrapText="1"/>
    </xf>
    <xf numFmtId="165" fontId="26" fillId="9" borderId="24" xfId="111" applyNumberFormat="1" applyFont="1" applyFill="1" applyBorder="1" applyAlignment="1">
      <alignment horizontal="center" vertical="center" wrapText="1"/>
    </xf>
    <xf numFmtId="2" fontId="24" fillId="5" borderId="24" xfId="111" applyNumberFormat="1" applyFont="1" applyFill="1" applyBorder="1" applyAlignment="1">
      <alignment horizontal="center" vertical="center" wrapText="1"/>
    </xf>
    <xf numFmtId="1" fontId="26" fillId="5" borderId="24" xfId="111" applyNumberFormat="1" applyFont="1" applyFill="1" applyBorder="1" applyAlignment="1">
      <alignment horizontal="center" vertical="center" wrapText="1"/>
    </xf>
    <xf numFmtId="166" fontId="24" fillId="5" borderId="24" xfId="111" applyNumberFormat="1" applyFont="1" applyFill="1" applyBorder="1" applyAlignment="1">
      <alignment horizontal="center" vertical="center" wrapText="1"/>
    </xf>
    <xf numFmtId="166" fontId="26" fillId="5" borderId="24" xfId="111" applyNumberFormat="1" applyFont="1" applyFill="1" applyBorder="1" applyAlignment="1">
      <alignment horizontal="center" vertical="center" wrapText="1"/>
    </xf>
    <xf numFmtId="170" fontId="26" fillId="5" borderId="24" xfId="111" applyNumberFormat="1" applyFont="1" applyFill="1" applyBorder="1" applyAlignment="1">
      <alignment horizontal="center" vertical="center" wrapText="1"/>
    </xf>
    <xf numFmtId="4" fontId="26" fillId="0" borderId="91" xfId="0" applyNumberFormat="1" applyFont="1" applyBorder="1"/>
    <xf numFmtId="1" fontId="24" fillId="12" borderId="24" xfId="111" applyNumberFormat="1" applyFont="1" applyFill="1" applyBorder="1" applyAlignment="1">
      <alignment horizontal="center" vertical="center" wrapText="1"/>
    </xf>
    <xf numFmtId="1" fontId="26" fillId="12" borderId="24" xfId="111" applyNumberFormat="1" applyFont="1" applyFill="1" applyBorder="1" applyAlignment="1">
      <alignment horizontal="center" vertical="center" wrapText="1"/>
    </xf>
    <xf numFmtId="165" fontId="26" fillId="12" borderId="24" xfId="111" applyNumberFormat="1" applyFont="1" applyFill="1" applyBorder="1" applyAlignment="1">
      <alignment horizontal="center" vertical="center" wrapText="1"/>
    </xf>
    <xf numFmtId="2" fontId="24" fillId="11" borderId="24" xfId="111" applyNumberFormat="1" applyFont="1" applyFill="1" applyBorder="1" applyAlignment="1">
      <alignment horizontal="center" vertical="center" wrapText="1"/>
    </xf>
    <xf numFmtId="1" fontId="26" fillId="11" borderId="24" xfId="111" applyNumberFormat="1" applyFont="1" applyFill="1" applyBorder="1" applyAlignment="1">
      <alignment horizontal="center" vertical="center" wrapText="1"/>
    </xf>
    <xf numFmtId="166" fontId="24" fillId="11" borderId="24" xfId="111" applyNumberFormat="1" applyFont="1" applyFill="1" applyBorder="1" applyAlignment="1">
      <alignment horizontal="center" vertical="center" wrapText="1"/>
    </xf>
    <xf numFmtId="166" fontId="26" fillId="11" borderId="24" xfId="111" applyNumberFormat="1" applyFont="1" applyFill="1" applyBorder="1" applyAlignment="1">
      <alignment horizontal="center" vertical="center" wrapText="1"/>
    </xf>
    <xf numFmtId="170" fontId="26" fillId="11" borderId="24" xfId="111" applyNumberFormat="1" applyFont="1" applyFill="1" applyBorder="1" applyAlignment="1">
      <alignment horizontal="center" vertical="center" wrapText="1"/>
    </xf>
    <xf numFmtId="0" fontId="26" fillId="11" borderId="24" xfId="65" applyFont="1" applyFill="1" applyBorder="1" applyAlignment="1">
      <alignment horizontal="left" vertical="center" wrapText="1"/>
    </xf>
    <xf numFmtId="170" fontId="74" fillId="0" borderId="24" xfId="65" applyNumberFormat="1" applyFont="1" applyBorder="1" applyAlignment="1">
      <alignment horizontal="center" vertical="center" wrapText="1"/>
    </xf>
    <xf numFmtId="49" fontId="26" fillId="5" borderId="24" xfId="111" applyNumberFormat="1" applyFont="1" applyFill="1" applyBorder="1" applyAlignment="1">
      <alignment horizontal="left" vertical="center"/>
    </xf>
    <xf numFmtId="169" fontId="26" fillId="0" borderId="24" xfId="65" applyNumberFormat="1" applyFont="1" applyBorder="1" applyAlignment="1">
      <alignment vertical="center"/>
    </xf>
    <xf numFmtId="0" fontId="26" fillId="0" borderId="24" xfId="65" applyFont="1" applyBorder="1" applyAlignment="1">
      <alignment vertical="center" wrapText="1"/>
    </xf>
    <xf numFmtId="0" fontId="28" fillId="28" borderId="24" xfId="111" applyFont="1" applyFill="1" applyBorder="1" applyAlignment="1">
      <alignment vertical="center" wrapText="1"/>
    </xf>
    <xf numFmtId="0" fontId="25" fillId="28" borderId="24" xfId="111" applyFont="1" applyFill="1" applyBorder="1" applyAlignment="1">
      <alignment vertical="center" wrapText="1"/>
    </xf>
    <xf numFmtId="169" fontId="9" fillId="0" borderId="24" xfId="111" quotePrefix="1" applyNumberFormat="1" applyBorder="1" applyAlignment="1">
      <alignment horizontal="left" vertical="center"/>
    </xf>
    <xf numFmtId="0" fontId="14" fillId="28" borderId="24" xfId="111" applyFont="1" applyFill="1" applyBorder="1" applyAlignment="1">
      <alignment horizontal="center" vertical="center" wrapText="1"/>
    </xf>
    <xf numFmtId="3" fontId="24" fillId="5" borderId="24" xfId="111" applyNumberFormat="1" applyFont="1" applyFill="1" applyBorder="1" applyAlignment="1">
      <alignment horizontal="center" vertical="center" wrapText="1"/>
    </xf>
    <xf numFmtId="1" fontId="24" fillId="5" borderId="24" xfId="111" applyNumberFormat="1" applyFont="1" applyFill="1" applyBorder="1" applyAlignment="1">
      <alignment horizontal="center" vertical="center" wrapText="1"/>
    </xf>
    <xf numFmtId="3" fontId="24" fillId="12" borderId="24" xfId="111" applyNumberFormat="1" applyFont="1" applyFill="1" applyBorder="1" applyAlignment="1">
      <alignment horizontal="center" vertical="center" wrapText="1"/>
    </xf>
    <xf numFmtId="3" fontId="26" fillId="12" borderId="24" xfId="111" applyNumberFormat="1" applyFont="1" applyFill="1" applyBorder="1" applyAlignment="1">
      <alignment horizontal="center" vertical="center" wrapText="1"/>
    </xf>
    <xf numFmtId="3" fontId="24" fillId="11" borderId="24" xfId="111" applyNumberFormat="1" applyFont="1" applyFill="1" applyBorder="1" applyAlignment="1">
      <alignment horizontal="center" vertical="center" wrapText="1"/>
    </xf>
    <xf numFmtId="1" fontId="24" fillId="11" borderId="24" xfId="111" applyNumberFormat="1" applyFont="1" applyFill="1" applyBorder="1" applyAlignment="1">
      <alignment horizontal="center" vertical="center" wrapText="1"/>
    </xf>
    <xf numFmtId="165" fontId="62" fillId="0" borderId="24" xfId="65" applyNumberFormat="1" applyFont="1" applyBorder="1" applyAlignment="1">
      <alignment horizontal="center" vertical="center" wrapText="1"/>
    </xf>
    <xf numFmtId="169" fontId="26" fillId="11" borderId="24" xfId="111" applyNumberFormat="1" applyFont="1" applyFill="1" applyBorder="1" applyAlignment="1">
      <alignment horizontal="left" vertical="center"/>
    </xf>
    <xf numFmtId="3" fontId="24" fillId="11" borderId="24" xfId="65" applyNumberFormat="1" applyFont="1" applyFill="1" applyBorder="1" applyAlignment="1">
      <alignment horizontal="center" vertical="center" wrapText="1"/>
    </xf>
    <xf numFmtId="1" fontId="24" fillId="11" borderId="24" xfId="65" applyNumberFormat="1" applyFont="1" applyFill="1" applyBorder="1" applyAlignment="1">
      <alignment horizontal="center" vertical="center" wrapText="1"/>
    </xf>
    <xf numFmtId="0" fontId="26" fillId="0" borderId="24" xfId="65" applyFont="1" applyBorder="1" applyAlignment="1">
      <alignment horizontal="left" vertical="center" wrapText="1"/>
    </xf>
    <xf numFmtId="165" fontId="74" fillId="0" borderId="24" xfId="65" applyNumberFormat="1" applyFont="1" applyBorder="1" applyAlignment="1">
      <alignment horizontal="center" vertical="center" wrapText="1"/>
    </xf>
    <xf numFmtId="167" fontId="9" fillId="5" borderId="24" xfId="65" applyNumberFormat="1" applyFill="1" applyBorder="1" applyAlignment="1">
      <alignment horizontal="center" vertical="center" wrapText="1"/>
    </xf>
    <xf numFmtId="166" fontId="28" fillId="7" borderId="24" xfId="111" applyNumberFormat="1" applyFont="1" applyFill="1" applyBorder="1" applyAlignment="1">
      <alignment vertical="center" wrapText="1"/>
    </xf>
    <xf numFmtId="2" fontId="28" fillId="7" borderId="24" xfId="111" applyNumberFormat="1" applyFont="1" applyFill="1" applyBorder="1" applyAlignment="1">
      <alignment vertical="center" wrapText="1"/>
    </xf>
    <xf numFmtId="0" fontId="62" fillId="27" borderId="24" xfId="65" applyFont="1" applyFill="1" applyBorder="1" applyAlignment="1">
      <alignment horizontal="center" vertical="center" wrapText="1"/>
    </xf>
    <xf numFmtId="0" fontId="62" fillId="0" borderId="24" xfId="65" applyFont="1" applyBorder="1" applyAlignment="1">
      <alignment horizontal="center" vertical="center" wrapText="1"/>
    </xf>
    <xf numFmtId="0" fontId="26" fillId="7" borderId="24" xfId="111" applyFont="1" applyFill="1" applyBorder="1" applyAlignment="1">
      <alignment horizontal="center" vertical="center" wrapText="1"/>
    </xf>
    <xf numFmtId="0" fontId="14" fillId="7" borderId="24" xfId="65" applyFont="1" applyFill="1" applyBorder="1" applyAlignment="1">
      <alignment horizontal="left" vertical="center"/>
    </xf>
    <xf numFmtId="169" fontId="26" fillId="5" borderId="24" xfId="111" applyNumberFormat="1" applyFont="1" applyFill="1" applyBorder="1" applyAlignment="1">
      <alignment horizontal="left" vertical="center"/>
    </xf>
    <xf numFmtId="0" fontId="9" fillId="11" borderId="24" xfId="65" applyFill="1" applyBorder="1" applyAlignment="1">
      <alignment horizontal="left" vertical="center" wrapText="1"/>
    </xf>
    <xf numFmtId="2" fontId="74" fillId="27" borderId="24" xfId="65" applyNumberFormat="1" applyFont="1" applyFill="1" applyBorder="1" applyAlignment="1">
      <alignment horizontal="center" vertical="center" wrapText="1"/>
    </xf>
    <xf numFmtId="2" fontId="62" fillId="27" borderId="24" xfId="65" applyNumberFormat="1" applyFont="1" applyFill="1" applyBorder="1" applyAlignment="1">
      <alignment horizontal="center" vertical="center" wrapText="1"/>
    </xf>
    <xf numFmtId="0" fontId="26" fillId="0" borderId="24" xfId="65" applyFont="1" applyBorder="1" applyAlignment="1">
      <alignment horizontal="center" vertical="center" wrapText="1"/>
    </xf>
    <xf numFmtId="0" fontId="26" fillId="29" borderId="0" xfId="111" applyFont="1" applyFill="1" applyAlignment="1">
      <alignment vertical="center"/>
    </xf>
    <xf numFmtId="0" fontId="24" fillId="28" borderId="24" xfId="111" applyFont="1" applyFill="1" applyBorder="1" applyAlignment="1">
      <alignment horizontal="center" vertical="center" wrapText="1"/>
    </xf>
    <xf numFmtId="0" fontId="9" fillId="28" borderId="24" xfId="111" applyFill="1" applyBorder="1" applyAlignment="1">
      <alignment horizontal="center" vertical="center" wrapText="1"/>
    </xf>
    <xf numFmtId="0" fontId="26" fillId="28" borderId="24" xfId="111" applyFont="1" applyFill="1" applyBorder="1" applyAlignment="1">
      <alignment horizontal="center" vertical="center" wrapText="1"/>
    </xf>
    <xf numFmtId="167" fontId="26" fillId="11" borderId="24" xfId="65" applyNumberFormat="1" applyFont="1" applyFill="1" applyBorder="1" applyAlignment="1">
      <alignment horizontal="center" vertical="center" wrapText="1"/>
    </xf>
    <xf numFmtId="0" fontId="26" fillId="0" borderId="0" xfId="0" applyFont="1"/>
    <xf numFmtId="167" fontId="26" fillId="9" borderId="24" xfId="65" applyNumberFormat="1" applyFont="1" applyFill="1" applyBorder="1" applyAlignment="1">
      <alignment horizontal="center" vertical="center" wrapText="1"/>
    </xf>
    <xf numFmtId="0" fontId="24" fillId="7" borderId="24" xfId="111" applyFont="1" applyFill="1" applyBorder="1" applyAlignment="1">
      <alignment horizontal="center" vertical="center" wrapText="1"/>
    </xf>
    <xf numFmtId="169" fontId="9" fillId="29" borderId="24" xfId="111" applyNumberFormat="1" applyFill="1" applyBorder="1" applyAlignment="1">
      <alignment horizontal="left" vertical="center"/>
    </xf>
    <xf numFmtId="0" fontId="9" fillId="29" borderId="24" xfId="65" applyFill="1" applyBorder="1" applyAlignment="1">
      <alignment vertical="center" wrapText="1"/>
    </xf>
    <xf numFmtId="169" fontId="26" fillId="29" borderId="24" xfId="65" applyNumberFormat="1" applyFont="1" applyFill="1" applyBorder="1" applyAlignment="1">
      <alignment vertical="center"/>
    </xf>
    <xf numFmtId="0" fontId="26" fillId="29" borderId="24" xfId="65" applyFont="1" applyFill="1" applyBorder="1" applyAlignment="1">
      <alignment vertical="center" wrapText="1"/>
    </xf>
    <xf numFmtId="0" fontId="9" fillId="29" borderId="24" xfId="65" applyFill="1" applyBorder="1" applyAlignment="1">
      <alignment horizontal="center" vertical="center" wrapText="1"/>
    </xf>
    <xf numFmtId="3" fontId="24" fillId="30" borderId="24" xfId="65" applyNumberFormat="1" applyFont="1" applyFill="1" applyBorder="1" applyAlignment="1">
      <alignment horizontal="center" vertical="center" wrapText="1"/>
    </xf>
    <xf numFmtId="3" fontId="9" fillId="30" borderId="24" xfId="65" applyNumberFormat="1" applyFill="1" applyBorder="1" applyAlignment="1">
      <alignment horizontal="center" vertical="center" wrapText="1"/>
    </xf>
    <xf numFmtId="165" fontId="26" fillId="30" borderId="24" xfId="65" applyNumberFormat="1" applyFont="1" applyFill="1" applyBorder="1" applyAlignment="1">
      <alignment horizontal="center" vertical="center" wrapText="1"/>
    </xf>
    <xf numFmtId="165" fontId="24" fillId="29" borderId="24" xfId="65" applyNumberFormat="1" applyFont="1" applyFill="1" applyBorder="1" applyAlignment="1">
      <alignment horizontal="center" vertical="center" wrapText="1"/>
    </xf>
    <xf numFmtId="1" fontId="9" fillId="29" borderId="24" xfId="65" applyNumberFormat="1" applyFill="1" applyBorder="1" applyAlignment="1">
      <alignment horizontal="center" vertical="center" wrapText="1"/>
    </xf>
    <xf numFmtId="1" fontId="26" fillId="29" borderId="24" xfId="65" applyNumberFormat="1" applyFont="1" applyFill="1" applyBorder="1" applyAlignment="1">
      <alignment horizontal="center" vertical="center" wrapText="1"/>
    </xf>
    <xf numFmtId="2" fontId="24" fillId="29" borderId="24" xfId="65" applyNumberFormat="1" applyFont="1" applyFill="1" applyBorder="1" applyAlignment="1">
      <alignment horizontal="center" vertical="center" wrapText="1"/>
    </xf>
    <xf numFmtId="2" fontId="9" fillId="29" borderId="24" xfId="65" applyNumberFormat="1" applyFill="1" applyBorder="1" applyAlignment="1">
      <alignment horizontal="center" vertical="center" wrapText="1"/>
    </xf>
    <xf numFmtId="170" fontId="26" fillId="29" borderId="24" xfId="65" applyNumberFormat="1" applyFont="1" applyFill="1" applyBorder="1" applyAlignment="1">
      <alignment horizontal="center" vertical="center" wrapText="1"/>
    </xf>
    <xf numFmtId="170" fontId="26" fillId="29" borderId="24" xfId="111" applyNumberFormat="1" applyFont="1" applyFill="1" applyBorder="1" applyAlignment="1">
      <alignment horizontal="center" vertical="center" wrapText="1"/>
    </xf>
    <xf numFmtId="0" fontId="9" fillId="29" borderId="24" xfId="65" applyFill="1" applyBorder="1" applyAlignment="1">
      <alignment horizontal="left" vertical="center" wrapText="1"/>
    </xf>
    <xf numFmtId="0" fontId="9" fillId="29" borderId="0" xfId="111" applyFill="1" applyAlignment="1">
      <alignment vertical="center"/>
    </xf>
    <xf numFmtId="169" fontId="9" fillId="11" borderId="24" xfId="111" applyNumberFormat="1" applyFill="1" applyBorder="1" applyAlignment="1">
      <alignment horizontal="left" vertical="center"/>
    </xf>
    <xf numFmtId="2" fontId="26" fillId="5" borderId="24" xfId="111" applyNumberFormat="1" applyFont="1" applyFill="1" applyBorder="1" applyAlignment="1">
      <alignment horizontal="center" vertical="center" wrapText="1"/>
    </xf>
    <xf numFmtId="0" fontId="26" fillId="11" borderId="24" xfId="65" applyFont="1" applyFill="1" applyBorder="1" applyAlignment="1">
      <alignment vertical="center"/>
    </xf>
    <xf numFmtId="165" fontId="74" fillId="27" borderId="24" xfId="65" applyNumberFormat="1" applyFont="1" applyFill="1" applyBorder="1" applyAlignment="1">
      <alignment horizontal="center" vertical="center" wrapText="1"/>
    </xf>
    <xf numFmtId="165" fontId="62" fillId="27" borderId="24" xfId="65" applyNumberFormat="1" applyFont="1" applyFill="1" applyBorder="1" applyAlignment="1">
      <alignment horizontal="center" vertical="center" wrapText="1"/>
    </xf>
    <xf numFmtId="0" fontId="9" fillId="5" borderId="24" xfId="111" applyFill="1" applyBorder="1" applyAlignment="1">
      <alignment horizontal="left" vertical="center" wrapText="1"/>
    </xf>
    <xf numFmtId="49" fontId="9" fillId="5" borderId="24" xfId="65" applyNumberFormat="1" applyFill="1" applyBorder="1" applyAlignment="1">
      <alignment vertical="center" wrapText="1"/>
    </xf>
    <xf numFmtId="2" fontId="9" fillId="7" borderId="24" xfId="111" applyNumberFormat="1" applyFill="1" applyBorder="1" applyAlignment="1">
      <alignment horizontal="center" vertical="center" wrapText="1"/>
    </xf>
    <xf numFmtId="0" fontId="26" fillId="5" borderId="24" xfId="111" applyFont="1" applyFill="1" applyBorder="1" applyAlignment="1">
      <alignment horizontal="left" vertical="center" wrapText="1"/>
    </xf>
    <xf numFmtId="1" fontId="9" fillId="8" borderId="24" xfId="111" applyNumberFormat="1" applyFill="1" applyBorder="1" applyAlignment="1">
      <alignment horizontal="center" vertical="center" wrapText="1"/>
    </xf>
    <xf numFmtId="165" fontId="24" fillId="7" borderId="24" xfId="111" applyNumberFormat="1" applyFont="1" applyFill="1" applyBorder="1" applyAlignment="1">
      <alignment horizontal="center" vertical="center" wrapText="1"/>
    </xf>
    <xf numFmtId="165" fontId="14" fillId="28" borderId="24" xfId="111" applyNumberFormat="1" applyFont="1" applyFill="1" applyBorder="1" applyAlignment="1">
      <alignment horizontal="center" vertical="center" wrapText="1"/>
    </xf>
    <xf numFmtId="165" fontId="24" fillId="28" borderId="24" xfId="111" applyNumberFormat="1" applyFont="1" applyFill="1" applyBorder="1" applyAlignment="1">
      <alignment horizontal="center" vertical="center" wrapText="1"/>
    </xf>
    <xf numFmtId="0" fontId="9" fillId="5" borderId="0" xfId="111" applyFill="1"/>
    <xf numFmtId="0" fontId="14" fillId="18" borderId="24" xfId="0" applyFont="1" applyFill="1" applyBorder="1" applyAlignment="1">
      <alignment vertical="center" wrapText="1"/>
    </xf>
    <xf numFmtId="0" fontId="14" fillId="18" borderId="24" xfId="0" applyFont="1" applyFill="1" applyBorder="1" applyAlignment="1">
      <alignment horizontal="center" vertical="center" wrapText="1"/>
    </xf>
    <xf numFmtId="3" fontId="14" fillId="18" borderId="24" xfId="0" applyNumberFormat="1" applyFont="1" applyFill="1" applyBorder="1" applyAlignment="1">
      <alignment horizontal="center" vertical="center" wrapText="1"/>
    </xf>
    <xf numFmtId="167" fontId="28" fillId="18" borderId="24" xfId="0" applyNumberFormat="1" applyFont="1" applyFill="1" applyBorder="1" applyAlignment="1">
      <alignment horizontal="center" vertical="center" wrapText="1"/>
    </xf>
    <xf numFmtId="0" fontId="9" fillId="5" borderId="24" xfId="0" applyFont="1" applyFill="1" applyBorder="1" applyAlignment="1">
      <alignment vertical="center" wrapText="1"/>
    </xf>
    <xf numFmtId="3" fontId="14" fillId="6" borderId="24" xfId="0" applyNumberFormat="1" applyFont="1" applyFill="1" applyBorder="1" applyAlignment="1">
      <alignment horizontal="center" vertical="center" wrapText="1"/>
    </xf>
    <xf numFmtId="3" fontId="9" fillId="6" borderId="24" xfId="0" applyNumberFormat="1" applyFont="1" applyFill="1" applyBorder="1" applyAlignment="1">
      <alignment horizontal="center" vertical="center" wrapText="1"/>
    </xf>
    <xf numFmtId="4" fontId="14" fillId="0" borderId="24" xfId="0" applyNumberFormat="1" applyFont="1" applyBorder="1" applyAlignment="1">
      <alignment horizontal="center" vertical="center" wrapText="1"/>
    </xf>
    <xf numFmtId="4" fontId="9" fillId="0" borderId="24" xfId="0" applyNumberFormat="1" applyFont="1" applyBorder="1" applyAlignment="1">
      <alignment horizontal="center" vertical="center" wrapText="1"/>
    </xf>
    <xf numFmtId="0" fontId="9" fillId="5" borderId="24" xfId="0" applyFont="1" applyFill="1" applyBorder="1" applyAlignment="1">
      <alignment horizontal="center" vertical="center" wrapText="1"/>
    </xf>
    <xf numFmtId="0" fontId="26" fillId="5" borderId="24" xfId="0" applyFont="1" applyFill="1" applyBorder="1" applyAlignment="1">
      <alignment horizontal="left" vertical="center" shrinkToFit="1"/>
    </xf>
    <xf numFmtId="0" fontId="26" fillId="5" borderId="24" xfId="111" applyFont="1" applyFill="1" applyBorder="1" applyAlignment="1">
      <alignment vertical="center" wrapText="1"/>
    </xf>
    <xf numFmtId="0" fontId="26" fillId="5" borderId="24" xfId="111" applyFont="1" applyFill="1" applyBorder="1" applyAlignment="1">
      <alignment horizontal="center" vertical="center" wrapText="1"/>
    </xf>
    <xf numFmtId="3" fontId="24" fillId="6" borderId="24" xfId="0" applyNumberFormat="1" applyFont="1" applyFill="1" applyBorder="1" applyAlignment="1">
      <alignment horizontal="center" vertical="center" wrapText="1"/>
    </xf>
    <xf numFmtId="3" fontId="26" fillId="6" borderId="24" xfId="0" applyNumberFormat="1" applyFont="1" applyFill="1" applyBorder="1" applyAlignment="1">
      <alignment horizontal="center" vertical="center" wrapText="1"/>
    </xf>
    <xf numFmtId="4" fontId="24" fillId="0" borderId="24" xfId="0" applyNumberFormat="1" applyFont="1" applyBorder="1" applyAlignment="1">
      <alignment horizontal="center" vertical="center" wrapText="1"/>
    </xf>
    <xf numFmtId="4" fontId="26" fillId="0" borderId="24" xfId="0" applyNumberFormat="1" applyFont="1" applyBorder="1" applyAlignment="1">
      <alignment horizontal="center" vertical="center" wrapText="1"/>
    </xf>
    <xf numFmtId="0" fontId="26" fillId="5" borderId="0" xfId="0" applyFont="1" applyFill="1"/>
    <xf numFmtId="169" fontId="9" fillId="0" borderId="24" xfId="111" quotePrefix="1" applyNumberFormat="1" applyBorder="1" applyAlignment="1">
      <alignment vertical="center"/>
    </xf>
    <xf numFmtId="0" fontId="9" fillId="0" borderId="24" xfId="111" applyBorder="1" applyAlignment="1">
      <alignment vertical="center" wrapText="1"/>
    </xf>
    <xf numFmtId="3" fontId="9" fillId="6" borderId="24" xfId="0" applyNumberFormat="1" applyFont="1" applyFill="1" applyBorder="1" applyAlignment="1">
      <alignment horizontal="center" vertical="center" shrinkToFit="1"/>
    </xf>
    <xf numFmtId="0" fontId="9" fillId="0" borderId="24" xfId="65" applyBorder="1" applyAlignment="1">
      <alignment vertical="center" wrapText="1"/>
    </xf>
    <xf numFmtId="3" fontId="26" fillId="6" borderId="24" xfId="0" applyNumberFormat="1" applyFont="1" applyFill="1" applyBorder="1" applyAlignment="1">
      <alignment horizontal="center" vertical="center" shrinkToFit="1"/>
    </xf>
    <xf numFmtId="0" fontId="14" fillId="18" borderId="24" xfId="0" applyFont="1" applyFill="1" applyBorder="1" applyAlignment="1">
      <alignment horizontal="left" vertical="center" shrinkToFit="1"/>
    </xf>
    <xf numFmtId="3" fontId="14" fillId="18" borderId="24" xfId="0" applyNumberFormat="1" applyFont="1" applyFill="1" applyBorder="1" applyAlignment="1">
      <alignment horizontal="center" vertical="center" shrinkToFit="1"/>
    </xf>
    <xf numFmtId="3" fontId="28" fillId="18" borderId="24" xfId="0" applyNumberFormat="1" applyFont="1" applyFill="1" applyBorder="1" applyAlignment="1">
      <alignment horizontal="center" vertical="center" shrinkToFit="1"/>
    </xf>
    <xf numFmtId="0" fontId="9" fillId="0" borderId="24" xfId="0" applyFont="1" applyBorder="1" applyAlignment="1">
      <alignment horizontal="left" vertical="center" shrinkToFit="1"/>
    </xf>
    <xf numFmtId="0" fontId="9" fillId="0" borderId="24" xfId="111" quotePrefix="1" applyBorder="1" applyAlignment="1">
      <alignment vertical="center" wrapText="1"/>
    </xf>
    <xf numFmtId="169" fontId="26" fillId="11" borderId="24" xfId="111" applyNumberFormat="1" applyFont="1" applyFill="1" applyBorder="1" applyAlignment="1">
      <alignment vertical="center"/>
    </xf>
    <xf numFmtId="0" fontId="26" fillId="11" borderId="24" xfId="0" applyFont="1" applyFill="1" applyBorder="1" applyAlignment="1">
      <alignment horizontal="left" vertical="center" shrinkToFit="1"/>
    </xf>
    <xf numFmtId="0" fontId="26" fillId="11" borderId="24" xfId="111" applyFont="1" applyFill="1" applyBorder="1" applyAlignment="1">
      <alignment vertical="center" wrapText="1"/>
    </xf>
    <xf numFmtId="0" fontId="26" fillId="11" borderId="24" xfId="0" applyFont="1" applyFill="1" applyBorder="1" applyAlignment="1">
      <alignment horizontal="center" vertical="center" shrinkToFit="1"/>
    </xf>
    <xf numFmtId="0" fontId="26" fillId="11" borderId="24" xfId="111" applyFont="1" applyFill="1" applyBorder="1" applyAlignment="1">
      <alignment horizontal="center" vertical="center" wrapText="1"/>
    </xf>
    <xf numFmtId="3" fontId="24" fillId="11" borderId="24" xfId="0" applyNumberFormat="1" applyFont="1" applyFill="1" applyBorder="1" applyAlignment="1">
      <alignment horizontal="center" vertical="center" wrapText="1"/>
    </xf>
    <xf numFmtId="3" fontId="26" fillId="11" borderId="24" xfId="0" applyNumberFormat="1" applyFont="1" applyFill="1" applyBorder="1" applyAlignment="1">
      <alignment horizontal="center" vertical="center" wrapText="1"/>
    </xf>
    <xf numFmtId="4" fontId="24" fillId="11" borderId="24" xfId="0" applyNumberFormat="1" applyFont="1" applyFill="1" applyBorder="1" applyAlignment="1">
      <alignment horizontal="center" vertical="center" wrapText="1"/>
    </xf>
    <xf numFmtId="4" fontId="26" fillId="11" borderId="24" xfId="0" applyNumberFormat="1" applyFont="1" applyFill="1" applyBorder="1" applyAlignment="1">
      <alignment horizontal="center" vertical="center" wrapText="1"/>
    </xf>
    <xf numFmtId="169" fontId="26" fillId="11" borderId="24" xfId="111" quotePrefix="1" applyNumberFormat="1" applyFont="1" applyFill="1" applyBorder="1" applyAlignment="1">
      <alignment vertical="center"/>
    </xf>
    <xf numFmtId="0" fontId="26" fillId="11" borderId="14" xfId="111" applyFont="1" applyFill="1" applyBorder="1" applyAlignment="1">
      <alignment vertical="center" wrapText="1"/>
    </xf>
    <xf numFmtId="0" fontId="26" fillId="11" borderId="14" xfId="65" applyFont="1" applyFill="1" applyBorder="1" applyAlignment="1">
      <alignment vertical="center" wrapText="1"/>
    </xf>
    <xf numFmtId="0" fontId="26" fillId="5" borderId="14" xfId="0" applyFont="1" applyFill="1" applyBorder="1" applyAlignment="1">
      <alignment horizontal="left" vertical="center" shrinkToFit="1"/>
    </xf>
    <xf numFmtId="0" fontId="26" fillId="5" borderId="14" xfId="0" applyFont="1" applyFill="1" applyBorder="1" applyAlignment="1">
      <alignment horizontal="center" vertical="center" shrinkToFit="1"/>
    </xf>
    <xf numFmtId="0" fontId="26" fillId="5" borderId="14" xfId="111" applyFont="1" applyFill="1" applyBorder="1" applyAlignment="1">
      <alignment horizontal="center" vertical="center" wrapText="1"/>
    </xf>
    <xf numFmtId="0" fontId="26" fillId="5" borderId="14" xfId="65" applyFont="1" applyFill="1" applyBorder="1" applyAlignment="1">
      <alignment horizontal="center" vertical="center" wrapText="1"/>
    </xf>
    <xf numFmtId="49" fontId="26" fillId="5" borderId="24" xfId="111" applyNumberFormat="1" applyFont="1" applyFill="1" applyBorder="1" applyAlignment="1">
      <alignment vertical="center"/>
    </xf>
    <xf numFmtId="0" fontId="26" fillId="0" borderId="24" xfId="0" applyFont="1" applyBorder="1" applyAlignment="1">
      <alignment horizontal="left" vertical="center" shrinkToFit="1"/>
    </xf>
    <xf numFmtId="0" fontId="9" fillId="5" borderId="67" xfId="0" applyFont="1" applyFill="1" applyBorder="1" applyAlignment="1">
      <alignment vertical="center"/>
    </xf>
    <xf numFmtId="0" fontId="67" fillId="5" borderId="67" xfId="0" applyFont="1" applyFill="1" applyBorder="1" applyAlignment="1">
      <alignment vertical="center" wrapText="1"/>
    </xf>
    <xf numFmtId="0" fontId="37" fillId="5" borderId="67" xfId="0" applyFont="1" applyFill="1" applyBorder="1" applyAlignment="1">
      <alignment vertical="center" wrapText="1"/>
    </xf>
    <xf numFmtId="0" fontId="37" fillId="5" borderId="67" xfId="0" applyFont="1" applyFill="1" applyBorder="1" applyAlignment="1">
      <alignment horizontal="center" vertical="center" wrapText="1"/>
    </xf>
    <xf numFmtId="3" fontId="37" fillId="5" borderId="67" xfId="0" applyNumberFormat="1" applyFont="1" applyFill="1" applyBorder="1" applyAlignment="1">
      <alignment horizontal="center" vertical="center" wrapText="1"/>
    </xf>
    <xf numFmtId="3" fontId="17" fillId="5" borderId="67" xfId="0" applyNumberFormat="1" applyFont="1" applyFill="1" applyBorder="1" applyAlignment="1">
      <alignment horizontal="center" vertical="center" wrapText="1"/>
    </xf>
    <xf numFmtId="167" fontId="37" fillId="5" borderId="67" xfId="0" applyNumberFormat="1" applyFont="1" applyFill="1" applyBorder="1" applyAlignment="1">
      <alignment horizontal="center" vertical="center" wrapText="1"/>
    </xf>
    <xf numFmtId="11" fontId="14" fillId="18" borderId="24" xfId="0" applyNumberFormat="1" applyFont="1" applyFill="1" applyBorder="1" applyAlignment="1">
      <alignment vertical="center" wrapText="1"/>
    </xf>
    <xf numFmtId="11" fontId="14" fillId="18" borderId="20" xfId="0" applyNumberFormat="1" applyFont="1" applyFill="1" applyBorder="1" applyAlignment="1">
      <alignment horizontal="center" vertical="center" wrapText="1"/>
    </xf>
    <xf numFmtId="11" fontId="28" fillId="18" borderId="20" xfId="0" applyNumberFormat="1" applyFont="1" applyFill="1" applyBorder="1" applyAlignment="1">
      <alignment vertical="center" wrapText="1"/>
    </xf>
    <xf numFmtId="11" fontId="28" fillId="18" borderId="24" xfId="0" applyNumberFormat="1" applyFont="1" applyFill="1" applyBorder="1" applyAlignment="1">
      <alignment vertical="center" wrapText="1"/>
    </xf>
    <xf numFmtId="11" fontId="28" fillId="18" borderId="24" xfId="0" applyNumberFormat="1" applyFont="1" applyFill="1" applyBorder="1" applyAlignment="1">
      <alignment horizontal="center" vertical="center"/>
    </xf>
    <xf numFmtId="11" fontId="14" fillId="18" borderId="24" xfId="0" applyNumberFormat="1" applyFont="1" applyFill="1" applyBorder="1" applyAlignment="1">
      <alignment horizontal="center" vertical="center" wrapText="1"/>
    </xf>
    <xf numFmtId="11" fontId="14" fillId="18" borderId="24" xfId="0" applyNumberFormat="1" applyFont="1" applyFill="1" applyBorder="1" applyAlignment="1">
      <alignment horizontal="left" vertical="center" wrapText="1"/>
    </xf>
    <xf numFmtId="0" fontId="9" fillId="5" borderId="19" xfId="0" applyFont="1" applyFill="1" applyBorder="1"/>
    <xf numFmtId="11" fontId="9" fillId="5" borderId="24" xfId="0" applyNumberFormat="1" applyFont="1" applyFill="1" applyBorder="1" applyAlignment="1">
      <alignment vertical="center" wrapText="1"/>
    </xf>
    <xf numFmtId="11" fontId="9" fillId="5" borderId="24" xfId="0" applyNumberFormat="1" applyFont="1" applyFill="1" applyBorder="1" applyAlignment="1">
      <alignment horizontal="center" vertical="center" shrinkToFit="1"/>
    </xf>
    <xf numFmtId="166" fontId="9" fillId="6" borderId="24" xfId="0" applyNumberFormat="1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 wrapText="1"/>
    </xf>
    <xf numFmtId="2" fontId="14" fillId="5" borderId="24" xfId="0" applyNumberFormat="1" applyFont="1" applyFill="1" applyBorder="1" applyAlignment="1">
      <alignment horizontal="center" vertical="center" wrapText="1"/>
    </xf>
    <xf numFmtId="2" fontId="9" fillId="5" borderId="24" xfId="0" applyNumberFormat="1" applyFont="1" applyFill="1" applyBorder="1" applyAlignment="1">
      <alignment horizontal="center" vertical="center" wrapText="1"/>
    </xf>
    <xf numFmtId="11" fontId="9" fillId="5" borderId="24" xfId="0" applyNumberFormat="1" applyFont="1" applyFill="1" applyBorder="1" applyAlignment="1">
      <alignment horizontal="left" vertical="center" wrapText="1"/>
    </xf>
    <xf numFmtId="169" fontId="9" fillId="29" borderId="24" xfId="111" applyNumberFormat="1" applyFill="1" applyBorder="1" applyAlignment="1">
      <alignment vertical="center"/>
    </xf>
    <xf numFmtId="11" fontId="26" fillId="29" borderId="24" xfId="0" applyNumberFormat="1" applyFont="1" applyFill="1" applyBorder="1" applyAlignment="1">
      <alignment vertical="center" wrapText="1"/>
    </xf>
    <xf numFmtId="166" fontId="26" fillId="6" borderId="24" xfId="0" applyNumberFormat="1" applyFont="1" applyFill="1" applyBorder="1" applyAlignment="1">
      <alignment horizontal="center" vertical="center"/>
    </xf>
    <xf numFmtId="0" fontId="26" fillId="6" borderId="24" xfId="0" applyFont="1" applyFill="1" applyBorder="1" applyAlignment="1">
      <alignment horizontal="center" vertical="center" wrapText="1"/>
    </xf>
    <xf numFmtId="2" fontId="24" fillId="5" borderId="24" xfId="0" applyNumberFormat="1" applyFont="1" applyFill="1" applyBorder="1" applyAlignment="1">
      <alignment horizontal="center" vertical="center" wrapText="1"/>
    </xf>
    <xf numFmtId="2" fontId="26" fillId="5" borderId="24" xfId="0" applyNumberFormat="1" applyFont="1" applyFill="1" applyBorder="1" applyAlignment="1">
      <alignment horizontal="center" vertical="center" wrapText="1"/>
    </xf>
    <xf numFmtId="0" fontId="26" fillId="5" borderId="24" xfId="0" applyFont="1" applyFill="1" applyBorder="1" applyAlignment="1">
      <alignment horizontal="center" vertical="center" wrapText="1"/>
    </xf>
    <xf numFmtId="11" fontId="26" fillId="5" borderId="24" xfId="0" applyNumberFormat="1" applyFont="1" applyFill="1" applyBorder="1" applyAlignment="1">
      <alignment horizontal="left" vertical="center" wrapText="1"/>
    </xf>
    <xf numFmtId="11" fontId="26" fillId="5" borderId="24" xfId="0" applyNumberFormat="1" applyFont="1" applyFill="1" applyBorder="1" applyAlignment="1">
      <alignment horizontal="center" vertical="center" shrinkToFit="1"/>
    </xf>
    <xf numFmtId="11" fontId="14" fillId="18" borderId="24" xfId="0" applyNumberFormat="1" applyFont="1" applyFill="1" applyBorder="1" applyAlignment="1">
      <alignment horizontal="center" vertical="center" shrinkToFit="1"/>
    </xf>
    <xf numFmtId="11" fontId="9" fillId="18" borderId="24" xfId="0" applyNumberFormat="1" applyFont="1" applyFill="1" applyBorder="1" applyAlignment="1">
      <alignment horizontal="center" vertical="center" wrapText="1"/>
    </xf>
    <xf numFmtId="166" fontId="9" fillId="5" borderId="24" xfId="152" applyNumberFormat="1" applyFont="1" applyFill="1" applyBorder="1" applyAlignment="1">
      <alignment horizontal="center" vertical="center"/>
    </xf>
    <xf numFmtId="166" fontId="14" fillId="5" borderId="24" xfId="152" applyNumberFormat="1" applyFont="1" applyFill="1" applyBorder="1" applyAlignment="1">
      <alignment horizontal="center" vertical="center"/>
    </xf>
    <xf numFmtId="11" fontId="9" fillId="5" borderId="0" xfId="0" applyNumberFormat="1" applyFont="1" applyFill="1"/>
    <xf numFmtId="166" fontId="24" fillId="5" borderId="24" xfId="152" applyNumberFormat="1" applyFont="1" applyFill="1" applyBorder="1" applyAlignment="1">
      <alignment horizontal="center" vertical="center"/>
    </xf>
    <xf numFmtId="166" fontId="26" fillId="5" borderId="24" xfId="152" applyNumberFormat="1" applyFont="1" applyFill="1" applyBorder="1" applyAlignment="1">
      <alignment horizontal="center" vertical="center"/>
    </xf>
    <xf numFmtId="11" fontId="26" fillId="5" borderId="24" xfId="0" applyNumberFormat="1" applyFont="1" applyFill="1" applyBorder="1" applyAlignment="1">
      <alignment vertical="center" wrapText="1"/>
    </xf>
    <xf numFmtId="49" fontId="26" fillId="29" borderId="24" xfId="111" applyNumberFormat="1" applyFont="1" applyFill="1" applyBorder="1" applyAlignment="1">
      <alignment vertical="center"/>
    </xf>
    <xf numFmtId="11" fontId="26" fillId="5" borderId="24" xfId="0" applyNumberFormat="1" applyFont="1" applyFill="1" applyBorder="1" applyAlignment="1">
      <alignment horizontal="center" vertical="center" wrapText="1"/>
    </xf>
    <xf numFmtId="11" fontId="26" fillId="5" borderId="0" xfId="0" applyNumberFormat="1" applyFont="1" applyFill="1"/>
    <xf numFmtId="198" fontId="9" fillId="5" borderId="0" xfId="0" applyNumberFormat="1" applyFont="1" applyFill="1"/>
    <xf numFmtId="2" fontId="14" fillId="5" borderId="24" xfId="152" applyNumberFormat="1" applyFont="1" applyFill="1" applyBorder="1" applyAlignment="1">
      <alignment horizontal="center" vertical="center" wrapText="1"/>
    </xf>
    <xf numFmtId="169" fontId="9" fillId="29" borderId="24" xfId="111" quotePrefix="1" applyNumberFormat="1" applyFill="1" applyBorder="1" applyAlignment="1">
      <alignment vertical="center"/>
    </xf>
    <xf numFmtId="169" fontId="9" fillId="5" borderId="14" xfId="111" applyNumberFormat="1" applyFill="1" applyBorder="1" applyAlignment="1">
      <alignment vertical="center"/>
    </xf>
    <xf numFmtId="11" fontId="9" fillId="5" borderId="14" xfId="0" applyNumberFormat="1" applyFont="1" applyFill="1" applyBorder="1" applyAlignment="1">
      <alignment vertical="center" wrapText="1"/>
    </xf>
    <xf numFmtId="11" fontId="9" fillId="5" borderId="14" xfId="0" applyNumberFormat="1" applyFont="1" applyFill="1" applyBorder="1" applyAlignment="1">
      <alignment horizontal="center" vertical="center" shrinkToFit="1"/>
    </xf>
    <xf numFmtId="11" fontId="9" fillId="5" borderId="14" xfId="0" applyNumberFormat="1" applyFont="1" applyFill="1" applyBorder="1" applyAlignment="1">
      <alignment horizontal="center" vertical="center" wrapText="1"/>
    </xf>
    <xf numFmtId="11" fontId="9" fillId="5" borderId="14" xfId="0" applyNumberFormat="1" applyFont="1" applyFill="1" applyBorder="1" applyAlignment="1">
      <alignment horizontal="left" vertical="center" wrapText="1"/>
    </xf>
    <xf numFmtId="49" fontId="6" fillId="0" borderId="0" xfId="0" applyNumberFormat="1" applyFont="1"/>
    <xf numFmtId="49" fontId="6" fillId="21" borderId="0" xfId="0" applyNumberFormat="1" applyFont="1" applyFill="1"/>
    <xf numFmtId="49" fontId="5" fillId="0" borderId="0" xfId="0" applyNumberFormat="1" applyFont="1"/>
    <xf numFmtId="49" fontId="52" fillId="5" borderId="24" xfId="65" applyNumberFormat="1" applyFont="1" applyFill="1" applyBorder="1" applyAlignment="1">
      <alignment horizontal="left" vertical="center"/>
    </xf>
    <xf numFmtId="49" fontId="5" fillId="5" borderId="67" xfId="65" quotePrefix="1" applyNumberFormat="1" applyFont="1" applyFill="1" applyBorder="1" applyAlignment="1">
      <alignment horizontal="left" vertical="center"/>
    </xf>
    <xf numFmtId="49" fontId="52" fillId="5" borderId="67" xfId="65" applyNumberFormat="1" applyFont="1" applyFill="1" applyBorder="1" applyAlignment="1">
      <alignment horizontal="left" vertical="center"/>
    </xf>
    <xf numFmtId="49" fontId="52" fillId="5" borderId="67" xfId="65" applyNumberFormat="1" applyFont="1" applyFill="1" applyBorder="1" applyAlignment="1">
      <alignment horizontal="left" vertical="center" wrapText="1"/>
    </xf>
    <xf numFmtId="49" fontId="52" fillId="5" borderId="35" xfId="65" applyNumberFormat="1" applyFont="1" applyFill="1" applyBorder="1" applyAlignment="1">
      <alignment horizontal="left" vertical="center" wrapText="1"/>
    </xf>
    <xf numFmtId="49" fontId="52" fillId="0" borderId="0" xfId="0" applyNumberFormat="1" applyFont="1"/>
    <xf numFmtId="0" fontId="52" fillId="25" borderId="67" xfId="0" applyFont="1" applyFill="1" applyBorder="1"/>
    <xf numFmtId="0" fontId="52" fillId="25" borderId="67" xfId="0" applyFont="1" applyFill="1" applyBorder="1" applyAlignment="1">
      <alignment wrapText="1"/>
    </xf>
    <xf numFmtId="1" fontId="5" fillId="0" borderId="67" xfId="0" applyNumberFormat="1" applyFont="1" applyBorder="1"/>
    <xf numFmtId="0" fontId="5" fillId="5" borderId="67" xfId="65" quotePrefix="1" applyFont="1" applyFill="1" applyBorder="1" applyAlignment="1">
      <alignment horizontal="left" vertical="center" wrapText="1"/>
    </xf>
    <xf numFmtId="0" fontId="6" fillId="0" borderId="67" xfId="0" applyFont="1" applyBorder="1"/>
    <xf numFmtId="0" fontId="5" fillId="0" borderId="69" xfId="0" applyFont="1" applyBorder="1"/>
    <xf numFmtId="49" fontId="5" fillId="0" borderId="67" xfId="0" applyNumberFormat="1" applyFont="1" applyBorder="1" applyAlignment="1">
      <alignment horizontal="left"/>
    </xf>
    <xf numFmtId="0" fontId="5" fillId="0" borderId="67" xfId="0" applyFont="1" applyBorder="1" applyAlignment="1">
      <alignment horizontal="left"/>
    </xf>
    <xf numFmtId="49" fontId="52" fillId="5" borderId="67" xfId="65" quotePrefix="1" applyNumberFormat="1" applyFont="1" applyFill="1" applyBorder="1" applyAlignment="1">
      <alignment horizontal="left" vertical="center"/>
    </xf>
    <xf numFmtId="0" fontId="51" fillId="0" borderId="67" xfId="0" applyFont="1" applyBorder="1"/>
    <xf numFmtId="49" fontId="52" fillId="0" borderId="67" xfId="65" applyNumberFormat="1" applyFont="1" applyBorder="1" applyAlignment="1">
      <alignment horizontal="left" vertical="center" wrapText="1"/>
    </xf>
    <xf numFmtId="49" fontId="5" fillId="5" borderId="67" xfId="65" applyNumberFormat="1" applyFont="1" applyFill="1" applyBorder="1" applyAlignment="1">
      <alignment horizontal="left" vertical="center"/>
    </xf>
    <xf numFmtId="49" fontId="5" fillId="5" borderId="67" xfId="65" applyNumberFormat="1" applyFont="1" applyFill="1" applyBorder="1" applyAlignment="1">
      <alignment horizontal="left" vertical="center" wrapText="1"/>
    </xf>
    <xf numFmtId="169" fontId="52" fillId="5" borderId="67" xfId="111" applyNumberFormat="1" applyFont="1" applyFill="1" applyBorder="1" applyAlignment="1">
      <alignment vertical="center"/>
    </xf>
    <xf numFmtId="169" fontId="52" fillId="5" borderId="67" xfId="111" quotePrefix="1" applyNumberFormat="1" applyFont="1" applyFill="1" applyBorder="1" applyAlignment="1">
      <alignment vertical="center"/>
    </xf>
    <xf numFmtId="169" fontId="9" fillId="5" borderId="67" xfId="111" applyNumberFormat="1" applyFill="1" applyBorder="1" applyAlignment="1">
      <alignment vertical="center"/>
    </xf>
    <xf numFmtId="0" fontId="5" fillId="24" borderId="86" xfId="0" applyFont="1" applyFill="1" applyBorder="1"/>
    <xf numFmtId="0" fontId="0" fillId="32" borderId="0" xfId="0" applyFill="1"/>
    <xf numFmtId="0" fontId="5" fillId="25" borderId="67" xfId="0" applyFont="1" applyFill="1" applyBorder="1" applyAlignment="1">
      <alignment horizontal="left" vertical="top" wrapText="1"/>
    </xf>
    <xf numFmtId="4" fontId="5" fillId="0" borderId="67" xfId="0" applyNumberFormat="1" applyFont="1" applyBorder="1" applyAlignment="1">
      <alignment horizontal="right"/>
    </xf>
    <xf numFmtId="0" fontId="5" fillId="0" borderId="26" xfId="0" applyFont="1" applyBorder="1"/>
    <xf numFmtId="3" fontId="0" fillId="5" borderId="0" xfId="0" applyNumberFormat="1" applyFill="1"/>
    <xf numFmtId="0" fontId="5" fillId="22" borderId="38" xfId="0" applyFont="1" applyFill="1" applyBorder="1"/>
    <xf numFmtId="0" fontId="5" fillId="22" borderId="27" xfId="0" applyFont="1" applyFill="1" applyBorder="1"/>
    <xf numFmtId="0" fontId="5" fillId="22" borderId="41" xfId="0" applyFont="1" applyFill="1" applyBorder="1"/>
    <xf numFmtId="0" fontId="5" fillId="22" borderId="67" xfId="0" applyFont="1" applyFill="1" applyBorder="1"/>
    <xf numFmtId="1" fontId="0" fillId="5" borderId="0" xfId="0" applyNumberFormat="1" applyFill="1"/>
    <xf numFmtId="0" fontId="0" fillId="21" borderId="0" xfId="0" applyFill="1"/>
    <xf numFmtId="0" fontId="58" fillId="21" borderId="0" xfId="0" applyFont="1" applyFill="1"/>
    <xf numFmtId="0" fontId="5" fillId="33" borderId="67" xfId="0" applyFont="1" applyFill="1" applyBorder="1"/>
    <xf numFmtId="2" fontId="5" fillId="33" borderId="67" xfId="0" applyNumberFormat="1" applyFont="1" applyFill="1" applyBorder="1"/>
    <xf numFmtId="0" fontId="5" fillId="33" borderId="0" xfId="0" applyFont="1" applyFill="1"/>
    <xf numFmtId="1" fontId="5" fillId="33" borderId="67" xfId="0" applyNumberFormat="1" applyFont="1" applyFill="1" applyBorder="1"/>
    <xf numFmtId="0" fontId="5" fillId="33" borderId="67" xfId="65" quotePrefix="1" applyFont="1" applyFill="1" applyBorder="1" applyAlignment="1">
      <alignment horizontal="left" vertical="center" wrapText="1"/>
    </xf>
    <xf numFmtId="0" fontId="5" fillId="33" borderId="63" xfId="0" applyFont="1" applyFill="1" applyBorder="1"/>
    <xf numFmtId="49" fontId="5" fillId="33" borderId="63" xfId="0" applyNumberFormat="1" applyFont="1" applyFill="1" applyBorder="1"/>
    <xf numFmtId="192" fontId="5" fillId="33" borderId="63" xfId="0" applyNumberFormat="1" applyFont="1" applyFill="1" applyBorder="1" applyAlignment="1">
      <alignment horizontal="right"/>
    </xf>
    <xf numFmtId="49" fontId="5" fillId="33" borderId="67" xfId="0" applyNumberFormat="1" applyFont="1" applyFill="1" applyBorder="1"/>
    <xf numFmtId="192" fontId="5" fillId="33" borderId="67" xfId="0" applyNumberFormat="1" applyFont="1" applyFill="1" applyBorder="1" applyAlignment="1">
      <alignment horizontal="right"/>
    </xf>
    <xf numFmtId="0" fontId="5" fillId="33" borderId="27" xfId="0" applyFont="1" applyFill="1" applyBorder="1"/>
    <xf numFmtId="0" fontId="5" fillId="33" borderId="41" xfId="0" applyFont="1" applyFill="1" applyBorder="1"/>
    <xf numFmtId="0" fontId="5" fillId="33" borderId="53" xfId="0" applyFont="1" applyFill="1" applyBorder="1"/>
    <xf numFmtId="0" fontId="5" fillId="33" borderId="54" xfId="0" applyFont="1" applyFill="1" applyBorder="1"/>
    <xf numFmtId="192" fontId="5" fillId="33" borderId="54" xfId="0" applyNumberFormat="1" applyFont="1" applyFill="1" applyBorder="1"/>
    <xf numFmtId="0" fontId="6" fillId="33" borderId="66" xfId="0" applyFont="1" applyFill="1" applyBorder="1"/>
    <xf numFmtId="0" fontId="5" fillId="33" borderId="69" xfId="0" applyFont="1" applyFill="1" applyBorder="1" applyAlignment="1">
      <alignment wrapText="1"/>
    </xf>
    <xf numFmtId="0" fontId="5" fillId="33" borderId="67" xfId="0" applyFont="1" applyFill="1" applyBorder="1" applyAlignment="1">
      <alignment wrapText="1"/>
    </xf>
    <xf numFmtId="0" fontId="5" fillId="33" borderId="38" xfId="0" applyFont="1" applyFill="1" applyBorder="1"/>
    <xf numFmtId="0" fontId="5" fillId="33" borderId="39" xfId="0" applyFont="1" applyFill="1" applyBorder="1"/>
    <xf numFmtId="0" fontId="0" fillId="33" borderId="0" xfId="0" applyFill="1"/>
    <xf numFmtId="0" fontId="5" fillId="33" borderId="26" xfId="0" applyFont="1" applyFill="1" applyBorder="1" applyAlignment="1">
      <alignment wrapText="1"/>
    </xf>
    <xf numFmtId="0" fontId="5" fillId="33" borderId="69" xfId="0" applyFont="1" applyFill="1" applyBorder="1"/>
    <xf numFmtId="49" fontId="5" fillId="33" borderId="67" xfId="0" applyNumberFormat="1" applyFont="1" applyFill="1" applyBorder="1" applyAlignment="1">
      <alignment horizontal="left"/>
    </xf>
    <xf numFmtId="0" fontId="52" fillId="33" borderId="24" xfId="65" applyFont="1" applyFill="1" applyBorder="1" applyAlignment="1">
      <alignment horizontal="left" vertical="center" wrapText="1"/>
    </xf>
    <xf numFmtId="0" fontId="5" fillId="33" borderId="67" xfId="0" applyFont="1" applyFill="1" applyBorder="1" applyAlignment="1">
      <alignment horizontal="left"/>
    </xf>
    <xf numFmtId="0" fontId="9" fillId="33" borderId="24" xfId="65" applyFill="1" applyBorder="1" applyAlignment="1">
      <alignment horizontal="left" vertical="center" wrapText="1"/>
    </xf>
    <xf numFmtId="0" fontId="5" fillId="33" borderId="67" xfId="0" quotePrefix="1" applyFont="1" applyFill="1" applyBorder="1" applyAlignment="1">
      <alignment horizontal="left"/>
    </xf>
    <xf numFmtId="4" fontId="5" fillId="33" borderId="67" xfId="0" applyNumberFormat="1" applyFont="1" applyFill="1" applyBorder="1" applyAlignment="1">
      <alignment horizontal="right"/>
    </xf>
    <xf numFmtId="49" fontId="5" fillId="33" borderId="67" xfId="65" quotePrefix="1" applyNumberFormat="1" applyFont="1" applyFill="1" applyBorder="1" applyAlignment="1">
      <alignment horizontal="left" vertical="center"/>
    </xf>
    <xf numFmtId="49" fontId="52" fillId="33" borderId="67" xfId="65" applyNumberFormat="1" applyFont="1" applyFill="1" applyBorder="1" applyAlignment="1">
      <alignment horizontal="left" vertical="center"/>
    </xf>
    <xf numFmtId="49" fontId="52" fillId="33" borderId="67" xfId="65" applyNumberFormat="1" applyFont="1" applyFill="1" applyBorder="1" applyAlignment="1">
      <alignment horizontal="left" vertical="center" wrapText="1"/>
    </xf>
    <xf numFmtId="0" fontId="5" fillId="33" borderId="35" xfId="0" applyFont="1" applyFill="1" applyBorder="1"/>
    <xf numFmtId="49" fontId="5" fillId="33" borderId="67" xfId="0" quotePrefix="1" applyNumberFormat="1" applyFont="1" applyFill="1" applyBorder="1" applyAlignment="1">
      <alignment horizontal="left"/>
    </xf>
    <xf numFmtId="0" fontId="5" fillId="0" borderId="93" xfId="0" applyFont="1" applyBorder="1"/>
    <xf numFmtId="49" fontId="5" fillId="0" borderId="93" xfId="0" applyNumberFormat="1" applyFont="1" applyBorder="1"/>
    <xf numFmtId="2" fontId="6" fillId="0" borderId="94" xfId="0" applyNumberFormat="1" applyFont="1" applyBorder="1"/>
    <xf numFmtId="0" fontId="5" fillId="0" borderId="94" xfId="0" applyFont="1" applyBorder="1"/>
    <xf numFmtId="0" fontId="5" fillId="0" borderId="97" xfId="0" applyFont="1" applyBorder="1"/>
    <xf numFmtId="0" fontId="5" fillId="33" borderId="93" xfId="0" applyFont="1" applyFill="1" applyBorder="1"/>
    <xf numFmtId="0" fontId="5" fillId="33" borderId="97" xfId="0" applyFont="1" applyFill="1" applyBorder="1"/>
    <xf numFmtId="49" fontId="5" fillId="33" borderId="93" xfId="0" applyNumberFormat="1" applyFont="1" applyFill="1" applyBorder="1"/>
    <xf numFmtId="0" fontId="5" fillId="33" borderId="94" xfId="0" applyFont="1" applyFill="1" applyBorder="1"/>
    <xf numFmtId="2" fontId="6" fillId="33" borderId="94" xfId="0" applyNumberFormat="1" applyFont="1" applyFill="1" applyBorder="1"/>
    <xf numFmtId="0" fontId="5" fillId="5" borderId="39" xfId="0" applyFont="1" applyFill="1" applyBorder="1"/>
    <xf numFmtId="0" fontId="5" fillId="5" borderId="97" xfId="0" applyFont="1" applyFill="1" applyBorder="1"/>
    <xf numFmtId="0" fontId="5" fillId="5" borderId="0" xfId="0" applyFont="1" applyFill="1" applyAlignment="1">
      <alignment wrapText="1"/>
    </xf>
    <xf numFmtId="0" fontId="5" fillId="23" borderId="0" xfId="0" applyFont="1" applyFill="1"/>
    <xf numFmtId="0" fontId="6" fillId="0" borderId="94" xfId="0" applyFont="1" applyBorder="1"/>
    <xf numFmtId="0" fontId="5" fillId="23" borderId="93" xfId="0" applyFont="1" applyFill="1" applyBorder="1"/>
    <xf numFmtId="0" fontId="5" fillId="33" borderId="96" xfId="0" applyFont="1" applyFill="1" applyBorder="1"/>
    <xf numFmtId="0" fontId="6" fillId="33" borderId="94" xfId="0" applyFont="1" applyFill="1" applyBorder="1"/>
    <xf numFmtId="0" fontId="5" fillId="5" borderId="93" xfId="0" applyFont="1" applyFill="1" applyBorder="1"/>
    <xf numFmtId="0" fontId="5" fillId="5" borderId="38" xfId="0" applyFont="1" applyFill="1" applyBorder="1"/>
    <xf numFmtId="0" fontId="5" fillId="5" borderId="27" xfId="0" applyFont="1" applyFill="1" applyBorder="1"/>
    <xf numFmtId="2" fontId="5" fillId="0" borderId="93" xfId="0" applyNumberFormat="1" applyFont="1" applyBorder="1"/>
    <xf numFmtId="0" fontId="6" fillId="33" borderId="67" xfId="0" applyFont="1" applyFill="1" applyBorder="1"/>
    <xf numFmtId="0" fontId="5" fillId="0" borderId="96" xfId="0" applyFont="1" applyBorder="1"/>
    <xf numFmtId="49" fontId="5" fillId="5" borderId="67" xfId="0" applyNumberFormat="1" applyFont="1" applyFill="1" applyBorder="1" applyAlignment="1">
      <alignment horizontal="left"/>
    </xf>
    <xf numFmtId="49" fontId="5" fillId="5" borderId="67" xfId="0" quotePrefix="1" applyNumberFormat="1" applyFont="1" applyFill="1" applyBorder="1" applyAlignment="1">
      <alignment horizontal="left"/>
    </xf>
    <xf numFmtId="0" fontId="5" fillId="5" borderId="96" xfId="0" applyFont="1" applyFill="1" applyBorder="1"/>
    <xf numFmtId="49" fontId="5" fillId="5" borderId="93" xfId="0" applyNumberFormat="1" applyFont="1" applyFill="1" applyBorder="1"/>
    <xf numFmtId="0" fontId="6" fillId="5" borderId="94" xfId="0" applyFont="1" applyFill="1" applyBorder="1"/>
    <xf numFmtId="0" fontId="5" fillId="5" borderId="40" xfId="0" applyFont="1" applyFill="1" applyBorder="1"/>
    <xf numFmtId="2" fontId="5" fillId="5" borderId="93" xfId="0" applyNumberFormat="1" applyFont="1" applyFill="1" applyBorder="1"/>
    <xf numFmtId="49" fontId="52" fillId="33" borderId="67" xfId="65" quotePrefix="1" applyNumberFormat="1" applyFont="1" applyFill="1" applyBorder="1" applyAlignment="1">
      <alignment horizontal="left" vertical="center"/>
    </xf>
    <xf numFmtId="49" fontId="5" fillId="5" borderId="0" xfId="0" applyNumberFormat="1" applyFont="1" applyFill="1"/>
    <xf numFmtId="2" fontId="5" fillId="5" borderId="0" xfId="0" applyNumberFormat="1" applyFont="1" applyFill="1"/>
    <xf numFmtId="0" fontId="6" fillId="5" borderId="0" xfId="0" applyFont="1" applyFill="1"/>
    <xf numFmtId="0" fontId="5" fillId="31" borderId="67" xfId="0" applyFont="1" applyFill="1" applyBorder="1"/>
    <xf numFmtId="0" fontId="51" fillId="33" borderId="67" xfId="0" applyFont="1" applyFill="1" applyBorder="1"/>
    <xf numFmtId="2" fontId="5" fillId="33" borderId="93" xfId="0" applyNumberFormat="1" applyFont="1" applyFill="1" applyBorder="1"/>
    <xf numFmtId="0" fontId="5" fillId="31" borderId="93" xfId="0" applyFont="1" applyFill="1" applyBorder="1"/>
    <xf numFmtId="0" fontId="0" fillId="34" borderId="0" xfId="0" applyFill="1"/>
    <xf numFmtId="0" fontId="5" fillId="0" borderId="93" xfId="0" applyFont="1" applyBorder="1" applyAlignment="1">
      <alignment wrapText="1"/>
    </xf>
    <xf numFmtId="0" fontId="5" fillId="0" borderId="95" xfId="0" applyFont="1" applyBorder="1"/>
    <xf numFmtId="49" fontId="52" fillId="0" borderId="93" xfId="65" applyNumberFormat="1" applyFont="1" applyBorder="1" applyAlignment="1">
      <alignment horizontal="left" vertical="center" wrapText="1"/>
    </xf>
    <xf numFmtId="0" fontId="52" fillId="0" borderId="93" xfId="65" applyFont="1" applyBorder="1" applyAlignment="1">
      <alignment vertical="center" wrapText="1"/>
    </xf>
    <xf numFmtId="49" fontId="52" fillId="5" borderId="0" xfId="65" applyNumberFormat="1" applyFont="1" applyFill="1" applyAlignment="1">
      <alignment horizontal="left" vertical="center" wrapText="1"/>
    </xf>
    <xf numFmtId="49" fontId="52" fillId="5" borderId="99" xfId="65" quotePrefix="1" applyNumberFormat="1" applyFont="1" applyFill="1" applyBorder="1" applyAlignment="1">
      <alignment horizontal="left" vertical="center"/>
    </xf>
    <xf numFmtId="0" fontId="5" fillId="0" borderId="27" xfId="0" applyFont="1" applyBorder="1"/>
    <xf numFmtId="0" fontId="5" fillId="0" borderId="100" xfId="0" applyFont="1" applyBorder="1"/>
    <xf numFmtId="0" fontId="5" fillId="5" borderId="100" xfId="0" applyFont="1" applyFill="1" applyBorder="1"/>
    <xf numFmtId="0" fontId="52" fillId="5" borderId="35" xfId="65" applyFont="1" applyFill="1" applyBorder="1" applyAlignment="1">
      <alignment vertical="center" wrapText="1"/>
    </xf>
    <xf numFmtId="49" fontId="52" fillId="5" borderId="101" xfId="65" applyNumberFormat="1" applyFont="1" applyFill="1" applyBorder="1" applyAlignment="1">
      <alignment horizontal="left" vertical="center"/>
    </xf>
    <xf numFmtId="49" fontId="52" fillId="5" borderId="82" xfId="65" applyNumberFormat="1" applyFont="1" applyFill="1" applyBorder="1" applyAlignment="1">
      <alignment horizontal="left" vertical="center"/>
    </xf>
    <xf numFmtId="0" fontId="5" fillId="33" borderId="95" xfId="0" applyFont="1" applyFill="1" applyBorder="1"/>
    <xf numFmtId="0" fontId="5" fillId="33" borderId="35" xfId="0" applyFont="1" applyFill="1" applyBorder="1" applyAlignment="1">
      <alignment wrapText="1"/>
    </xf>
    <xf numFmtId="0" fontId="5" fillId="33" borderId="100" xfId="0" applyFont="1" applyFill="1" applyBorder="1"/>
    <xf numFmtId="49" fontId="5" fillId="33" borderId="95" xfId="0" applyNumberFormat="1" applyFont="1" applyFill="1" applyBorder="1"/>
    <xf numFmtId="49" fontId="5" fillId="21" borderId="0" xfId="0" applyNumberFormat="1" applyFont="1" applyFill="1"/>
    <xf numFmtId="0" fontId="5" fillId="32" borderId="34" xfId="0" applyFont="1" applyFill="1" applyBorder="1"/>
    <xf numFmtId="0" fontId="5" fillId="32" borderId="70" xfId="0" applyFont="1" applyFill="1" applyBorder="1"/>
    <xf numFmtId="0" fontId="5" fillId="32" borderId="67" xfId="0" applyFont="1" applyFill="1" applyBorder="1"/>
    <xf numFmtId="0" fontId="5" fillId="32" borderId="67" xfId="0" applyFont="1" applyFill="1" applyBorder="1" applyAlignment="1">
      <alignment wrapText="1"/>
    </xf>
    <xf numFmtId="0" fontId="5" fillId="32" borderId="86" xfId="0" applyFont="1" applyFill="1" applyBorder="1"/>
    <xf numFmtId="0" fontId="20" fillId="21" borderId="0" xfId="0" applyFont="1" applyFill="1"/>
    <xf numFmtId="0" fontId="5" fillId="25" borderId="38" xfId="0" applyFont="1" applyFill="1" applyBorder="1"/>
    <xf numFmtId="0" fontId="52" fillId="32" borderId="67" xfId="0" applyFont="1" applyFill="1" applyBorder="1" applyAlignment="1">
      <alignment wrapText="1"/>
    </xf>
    <xf numFmtId="0" fontId="52" fillId="32" borderId="34" xfId="0" applyFont="1" applyFill="1" applyBorder="1"/>
    <xf numFmtId="0" fontId="5" fillId="24" borderId="102" xfId="0" applyFont="1" applyFill="1" applyBorder="1"/>
    <xf numFmtId="0" fontId="5" fillId="24" borderId="59" xfId="0" applyFont="1" applyFill="1" applyBorder="1"/>
    <xf numFmtId="0" fontId="5" fillId="24" borderId="63" xfId="0" applyFont="1" applyFill="1" applyBorder="1"/>
    <xf numFmtId="0" fontId="5" fillId="24" borderId="63" xfId="0" applyFont="1" applyFill="1" applyBorder="1" applyAlignment="1">
      <alignment wrapText="1"/>
    </xf>
    <xf numFmtId="0" fontId="5" fillId="24" borderId="102" xfId="0" applyFont="1" applyFill="1" applyBorder="1" applyAlignment="1">
      <alignment wrapText="1"/>
    </xf>
    <xf numFmtId="0" fontId="5" fillId="24" borderId="92" xfId="0" applyFont="1" applyFill="1" applyBorder="1" applyAlignment="1">
      <alignment wrapText="1"/>
    </xf>
    <xf numFmtId="0" fontId="5" fillId="24" borderId="92" xfId="0" applyFont="1" applyFill="1" applyBorder="1"/>
    <xf numFmtId="0" fontId="5" fillId="25" borderId="103" xfId="0" applyFont="1" applyFill="1" applyBorder="1"/>
    <xf numFmtId="0" fontId="5" fillId="5" borderId="66" xfId="0" applyFont="1" applyFill="1" applyBorder="1"/>
    <xf numFmtId="0" fontId="5" fillId="25" borderId="66" xfId="0" applyFont="1" applyFill="1" applyBorder="1" applyAlignment="1">
      <alignment wrapText="1"/>
    </xf>
    <xf numFmtId="0" fontId="5" fillId="24" borderId="59" xfId="0" applyFont="1" applyFill="1" applyBorder="1" applyAlignment="1">
      <alignment wrapText="1"/>
    </xf>
    <xf numFmtId="0" fontId="5" fillId="25" borderId="66" xfId="0" applyFont="1" applyFill="1" applyBorder="1"/>
    <xf numFmtId="0" fontId="6" fillId="35" borderId="0" xfId="0" applyFont="1" applyFill="1"/>
    <xf numFmtId="0" fontId="6" fillId="35" borderId="0" xfId="0" applyFont="1" applyFill="1" applyAlignment="1">
      <alignment wrapText="1"/>
    </xf>
    <xf numFmtId="0" fontId="5" fillId="35" borderId="0" xfId="0" applyFont="1" applyFill="1"/>
    <xf numFmtId="0" fontId="0" fillId="0" borderId="93" xfId="0" applyBorder="1"/>
    <xf numFmtId="49" fontId="0" fillId="0" borderId="93" xfId="0" applyNumberFormat="1" applyBorder="1"/>
    <xf numFmtId="0" fontId="5" fillId="33" borderId="93" xfId="0" applyFont="1" applyFill="1" applyBorder="1" applyAlignment="1">
      <alignment horizontal="left" wrapText="1"/>
    </xf>
    <xf numFmtId="49" fontId="52" fillId="33" borderId="93" xfId="65" applyNumberFormat="1" applyFont="1" applyFill="1" applyBorder="1" applyAlignment="1">
      <alignment horizontal="left" vertical="center" wrapText="1"/>
    </xf>
    <xf numFmtId="0" fontId="5" fillId="5" borderId="38" xfId="0" applyFont="1" applyFill="1" applyBorder="1" applyAlignment="1">
      <alignment wrapText="1"/>
    </xf>
    <xf numFmtId="0" fontId="0" fillId="0" borderId="97" xfId="0" applyBorder="1"/>
    <xf numFmtId="0" fontId="5" fillId="36" borderId="34" xfId="0" applyFont="1" applyFill="1" applyBorder="1"/>
    <xf numFmtId="0" fontId="5" fillId="36" borderId="70" xfId="0" applyFont="1" applyFill="1" applyBorder="1"/>
    <xf numFmtId="0" fontId="5" fillId="36" borderId="67" xfId="0" applyFont="1" applyFill="1" applyBorder="1"/>
    <xf numFmtId="0" fontId="5" fillId="36" borderId="67" xfId="0" applyFont="1" applyFill="1" applyBorder="1" applyAlignment="1">
      <alignment wrapText="1"/>
    </xf>
    <xf numFmtId="0" fontId="5" fillId="33" borderId="93" xfId="0" applyFont="1" applyFill="1" applyBorder="1" applyAlignment="1">
      <alignment wrapText="1"/>
    </xf>
    <xf numFmtId="0" fontId="5" fillId="33" borderId="96" xfId="0" applyFont="1" applyFill="1" applyBorder="1" applyAlignment="1">
      <alignment wrapText="1"/>
    </xf>
    <xf numFmtId="0" fontId="5" fillId="37" borderId="67" xfId="0" applyFont="1" applyFill="1" applyBorder="1"/>
    <xf numFmtId="1" fontId="5" fillId="37" borderId="67" xfId="0" applyNumberFormat="1" applyFont="1" applyFill="1" applyBorder="1"/>
    <xf numFmtId="165" fontId="0" fillId="37" borderId="67" xfId="0" applyNumberFormat="1" applyFill="1" applyBorder="1"/>
    <xf numFmtId="0" fontId="0" fillId="37" borderId="67" xfId="0" applyFill="1" applyBorder="1"/>
    <xf numFmtId="0" fontId="0" fillId="5" borderId="0" xfId="0" applyFill="1" applyAlignment="1">
      <alignment horizontal="center" vertical="center"/>
    </xf>
    <xf numFmtId="0" fontId="5" fillId="24" borderId="41" xfId="0" applyFont="1" applyFill="1" applyBorder="1"/>
    <xf numFmtId="0" fontId="5" fillId="24" borderId="104" xfId="0" applyFont="1" applyFill="1" applyBorder="1"/>
    <xf numFmtId="0" fontId="5" fillId="24" borderId="26" xfId="0" applyFont="1" applyFill="1" applyBorder="1" applyAlignment="1">
      <alignment wrapText="1"/>
    </xf>
    <xf numFmtId="0" fontId="5" fillId="24" borderId="73" xfId="0" applyFont="1" applyFill="1" applyBorder="1"/>
    <xf numFmtId="0" fontId="5" fillId="21" borderId="67" xfId="0" applyFont="1" applyFill="1" applyBorder="1"/>
    <xf numFmtId="0" fontId="52" fillId="37" borderId="67" xfId="0" applyFont="1" applyFill="1" applyBorder="1"/>
    <xf numFmtId="1" fontId="0" fillId="37" borderId="67" xfId="0" applyNumberFormat="1" applyFill="1" applyBorder="1"/>
    <xf numFmtId="2" fontId="6" fillId="21" borderId="0" xfId="0" applyNumberFormat="1" applyFont="1" applyFill="1"/>
    <xf numFmtId="1" fontId="5" fillId="21" borderId="67" xfId="0" applyNumberFormat="1" applyFont="1" applyFill="1" applyBorder="1"/>
    <xf numFmtId="1" fontId="5" fillId="25" borderId="70" xfId="0" applyNumberFormat="1" applyFont="1" applyFill="1" applyBorder="1"/>
    <xf numFmtId="1" fontId="5" fillId="25" borderId="60" xfId="0" applyNumberFormat="1" applyFont="1" applyFill="1" applyBorder="1"/>
    <xf numFmtId="1" fontId="5" fillId="24" borderId="92" xfId="0" applyNumberFormat="1" applyFont="1" applyFill="1" applyBorder="1"/>
    <xf numFmtId="1" fontId="5" fillId="24" borderId="86" xfId="0" applyNumberFormat="1" applyFont="1" applyFill="1" applyBorder="1"/>
    <xf numFmtId="1" fontId="5" fillId="32" borderId="86" xfId="0" applyNumberFormat="1" applyFont="1" applyFill="1" applyBorder="1"/>
    <xf numFmtId="1" fontId="5" fillId="24" borderId="73" xfId="0" applyNumberFormat="1" applyFont="1" applyFill="1" applyBorder="1"/>
    <xf numFmtId="1" fontId="5" fillId="36" borderId="70" xfId="0" applyNumberFormat="1" applyFont="1" applyFill="1" applyBorder="1"/>
    <xf numFmtId="1" fontId="5" fillId="25" borderId="84" xfId="0" applyNumberFormat="1" applyFont="1" applyFill="1" applyBorder="1"/>
    <xf numFmtId="0" fontId="5" fillId="25" borderId="72" xfId="0" applyFont="1" applyFill="1" applyBorder="1" applyAlignment="1">
      <alignment vertical="top" wrapText="1"/>
    </xf>
    <xf numFmtId="0" fontId="0" fillId="0" borderId="0" xfId="0" applyAlignment="1">
      <alignment horizontal="center" vertical="center" wrapText="1"/>
    </xf>
    <xf numFmtId="0" fontId="18" fillId="5" borderId="18" xfId="65" applyFont="1" applyFill="1" applyBorder="1" applyAlignment="1">
      <alignment vertical="center" wrapText="1"/>
    </xf>
    <xf numFmtId="169" fontId="9" fillId="5" borderId="24" xfId="111" quotePrefix="1" applyNumberFormat="1" applyFill="1" applyBorder="1" applyAlignment="1">
      <alignment horizontal="left" vertical="center"/>
    </xf>
    <xf numFmtId="0" fontId="9" fillId="5" borderId="18" xfId="0" applyFont="1" applyFill="1" applyBorder="1" applyAlignment="1">
      <alignment vertical="center"/>
    </xf>
    <xf numFmtId="3" fontId="28" fillId="18" borderId="24" xfId="0" applyNumberFormat="1" applyFont="1" applyFill="1" applyBorder="1" applyAlignment="1">
      <alignment horizontal="center" vertical="center" wrapText="1"/>
    </xf>
    <xf numFmtId="0" fontId="18" fillId="5" borderId="18" xfId="65" applyFont="1" applyFill="1" applyBorder="1" applyAlignment="1">
      <alignment wrapText="1"/>
    </xf>
    <xf numFmtId="0" fontId="67" fillId="5" borderId="67" xfId="0" applyFont="1" applyFill="1" applyBorder="1" applyAlignment="1">
      <alignment horizontal="left" vertical="center" wrapText="1"/>
    </xf>
    <xf numFmtId="0" fontId="9" fillId="5" borderId="18" xfId="0" applyFont="1" applyFill="1" applyBorder="1" applyAlignment="1">
      <alignment vertical="center" wrapText="1"/>
    </xf>
    <xf numFmtId="0" fontId="5" fillId="24" borderId="106" xfId="0" applyFont="1" applyFill="1" applyBorder="1"/>
    <xf numFmtId="0" fontId="5" fillId="25" borderId="68" xfId="0" applyFont="1" applyFill="1" applyBorder="1"/>
    <xf numFmtId="0" fontId="5" fillId="24" borderId="68" xfId="0" applyFont="1" applyFill="1" applyBorder="1"/>
    <xf numFmtId="0" fontId="5" fillId="25" borderId="28" xfId="0" applyFont="1" applyFill="1" applyBorder="1"/>
    <xf numFmtId="0" fontId="5" fillId="32" borderId="68" xfId="0" applyFont="1" applyFill="1" applyBorder="1"/>
    <xf numFmtId="0" fontId="5" fillId="24" borderId="42" xfId="0" applyFont="1" applyFill="1" applyBorder="1"/>
    <xf numFmtId="0" fontId="5" fillId="36" borderId="68" xfId="0" applyFont="1" applyFill="1" applyBorder="1"/>
    <xf numFmtId="0" fontId="5" fillId="25" borderId="84" xfId="0" applyFont="1" applyFill="1" applyBorder="1"/>
    <xf numFmtId="0" fontId="5" fillId="25" borderId="69" xfId="0" applyFont="1" applyFill="1" applyBorder="1" applyAlignment="1">
      <alignment wrapText="1"/>
    </xf>
    <xf numFmtId="0" fontId="6" fillId="25" borderId="48" xfId="0" applyFont="1" applyFill="1" applyBorder="1" applyAlignment="1">
      <alignment wrapText="1"/>
    </xf>
    <xf numFmtId="0" fontId="6" fillId="25" borderId="49" xfId="0" applyFont="1" applyFill="1" applyBorder="1"/>
    <xf numFmtId="0" fontId="6" fillId="25" borderId="56" xfId="0" applyFont="1" applyFill="1" applyBorder="1"/>
    <xf numFmtId="0" fontId="6" fillId="25" borderId="62" xfId="0" applyFont="1" applyFill="1" applyBorder="1"/>
    <xf numFmtId="0" fontId="6" fillId="25" borderId="62" xfId="0" applyFont="1" applyFill="1" applyBorder="1" applyAlignment="1">
      <alignment wrapText="1"/>
    </xf>
    <xf numFmtId="0" fontId="6" fillId="25" borderId="83" xfId="0" applyFont="1" applyFill="1" applyBorder="1" applyAlignment="1">
      <alignment wrapText="1"/>
    </xf>
    <xf numFmtId="0" fontId="6" fillId="25" borderId="56" xfId="0" applyFont="1" applyFill="1" applyBorder="1" applyAlignment="1">
      <alignment wrapText="1"/>
    </xf>
    <xf numFmtId="0" fontId="11" fillId="3" borderId="6" xfId="65" applyFont="1" applyFill="1" applyBorder="1" applyAlignment="1">
      <alignment horizontal="right" vertical="center"/>
    </xf>
    <xf numFmtId="0" fontId="9" fillId="5" borderId="12" xfId="65" applyFill="1" applyBorder="1" applyAlignment="1">
      <alignment horizontal="left" vertical="center"/>
    </xf>
    <xf numFmtId="0" fontId="14" fillId="5" borderId="108" xfId="65" applyFont="1" applyFill="1" applyBorder="1" applyAlignment="1">
      <alignment vertical="center"/>
    </xf>
    <xf numFmtId="0" fontId="20" fillId="5" borderId="109" xfId="65" applyFont="1" applyFill="1" applyBorder="1" applyAlignment="1">
      <alignment vertical="center" wrapText="1"/>
    </xf>
    <xf numFmtId="0" fontId="21" fillId="6" borderId="18" xfId="65" applyFont="1" applyFill="1" applyBorder="1" applyAlignment="1">
      <alignment horizontal="center" vertical="center" wrapText="1"/>
    </xf>
    <xf numFmtId="0" fontId="21" fillId="5" borderId="18" xfId="65" applyFont="1" applyFill="1" applyBorder="1" applyAlignment="1">
      <alignment horizontal="center" vertical="center" wrapText="1"/>
    </xf>
    <xf numFmtId="0" fontId="9" fillId="5" borderId="20" xfId="0" applyFont="1" applyFill="1" applyBorder="1" applyAlignment="1">
      <alignment horizontal="center" vertical="center" wrapText="1"/>
    </xf>
    <xf numFmtId="0" fontId="16" fillId="5" borderId="20" xfId="65" applyFont="1" applyFill="1" applyBorder="1" applyAlignment="1">
      <alignment horizontal="left" vertical="center" wrapText="1"/>
    </xf>
    <xf numFmtId="0" fontId="20" fillId="5" borderId="110" xfId="65" applyFont="1" applyFill="1" applyBorder="1" applyAlignment="1">
      <alignment vertical="center" wrapText="1"/>
    </xf>
    <xf numFmtId="168" fontId="24" fillId="7" borderId="24" xfId="111" quotePrefix="1" applyNumberFormat="1" applyFont="1" applyFill="1" applyBorder="1" applyAlignment="1">
      <alignment horizontal="left" vertical="center" wrapText="1"/>
    </xf>
    <xf numFmtId="0" fontId="26" fillId="11" borderId="24" xfId="111" quotePrefix="1" applyFont="1" applyFill="1" applyBorder="1" applyAlignment="1">
      <alignment horizontal="left" vertical="center" wrapText="1"/>
    </xf>
    <xf numFmtId="0" fontId="26" fillId="29" borderId="24" xfId="111" quotePrefix="1" applyFont="1" applyFill="1" applyBorder="1" applyAlignment="1">
      <alignment horizontal="left" vertical="center" wrapText="1"/>
    </xf>
    <xf numFmtId="0" fontId="9" fillId="5" borderId="12" xfId="65" applyFill="1" applyBorder="1" applyAlignment="1">
      <alignment horizontal="left"/>
    </xf>
    <xf numFmtId="200" fontId="9" fillId="5" borderId="0" xfId="111" applyNumberFormat="1" applyFill="1"/>
    <xf numFmtId="1" fontId="5" fillId="25" borderId="34" xfId="0" applyNumberFormat="1" applyFont="1" applyFill="1" applyBorder="1"/>
    <xf numFmtId="1" fontId="5" fillId="25" borderId="38" xfId="0" applyNumberFormat="1" applyFont="1" applyFill="1" applyBorder="1"/>
    <xf numFmtId="1" fontId="52" fillId="25" borderId="34" xfId="0" applyNumberFormat="1" applyFont="1" applyFill="1" applyBorder="1"/>
    <xf numFmtId="1" fontId="5" fillId="36" borderId="34" xfId="0" applyNumberFormat="1" applyFont="1" applyFill="1" applyBorder="1"/>
    <xf numFmtId="0" fontId="5" fillId="0" borderId="34" xfId="0" applyFont="1" applyBorder="1"/>
    <xf numFmtId="0" fontId="5" fillId="0" borderId="103" xfId="0" applyFont="1" applyBorder="1"/>
    <xf numFmtId="0" fontId="5" fillId="0" borderId="38" xfId="0" applyFont="1" applyBorder="1"/>
    <xf numFmtId="0" fontId="5" fillId="25" borderId="111" xfId="0" applyFont="1" applyFill="1" applyBorder="1"/>
    <xf numFmtId="1" fontId="5" fillId="25" borderId="103" xfId="0" applyNumberFormat="1" applyFont="1" applyFill="1" applyBorder="1"/>
    <xf numFmtId="0" fontId="5" fillId="25" borderId="66" xfId="0" applyFont="1" applyFill="1" applyBorder="1" applyAlignment="1">
      <alignment horizontal="left" vertical="top" wrapText="1"/>
    </xf>
    <xf numFmtId="0" fontId="5" fillId="25" borderId="42" xfId="0" applyFont="1" applyFill="1" applyBorder="1"/>
    <xf numFmtId="2" fontId="5" fillId="33" borderId="0" xfId="0" applyNumberFormat="1" applyFont="1" applyFill="1"/>
    <xf numFmtId="0" fontId="10" fillId="3" borderId="17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left"/>
    </xf>
    <xf numFmtId="0" fontId="11" fillId="3" borderId="5" xfId="0" applyFont="1" applyFill="1" applyBorder="1" applyAlignment="1">
      <alignment horizontal="left"/>
    </xf>
    <xf numFmtId="0" fontId="11" fillId="3" borderId="5" xfId="0" applyFont="1" applyFill="1" applyBorder="1" applyAlignment="1">
      <alignment horizontal="center"/>
    </xf>
    <xf numFmtId="3" fontId="11" fillId="3" borderId="5" xfId="0" applyNumberFormat="1" applyFont="1" applyFill="1" applyBorder="1" applyAlignment="1">
      <alignment horizontal="center"/>
    </xf>
    <xf numFmtId="3" fontId="10" fillId="3" borderId="5" xfId="0" applyNumberFormat="1" applyFont="1" applyFill="1" applyBorder="1" applyAlignment="1">
      <alignment horizontal="center"/>
    </xf>
    <xf numFmtId="167" fontId="10" fillId="3" borderId="5" xfId="0" applyNumberFormat="1" applyFont="1" applyFill="1" applyBorder="1" applyAlignment="1">
      <alignment horizontal="center"/>
    </xf>
    <xf numFmtId="0" fontId="11" fillId="3" borderId="6" xfId="0" applyFont="1" applyFill="1" applyBorder="1" applyAlignment="1">
      <alignment horizontal="right"/>
    </xf>
    <xf numFmtId="0" fontId="12" fillId="3" borderId="7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right"/>
    </xf>
    <xf numFmtId="0" fontId="14" fillId="5" borderId="14" xfId="0" applyFont="1" applyFill="1" applyBorder="1" applyAlignment="1">
      <alignment horizontal="center" vertical="center"/>
    </xf>
    <xf numFmtId="0" fontId="14" fillId="5" borderId="14" xfId="0" applyFont="1" applyFill="1" applyBorder="1" applyAlignment="1">
      <alignment horizontal="center" vertical="center" wrapText="1"/>
    </xf>
    <xf numFmtId="0" fontId="9" fillId="5" borderId="18" xfId="0" applyFont="1" applyFill="1" applyBorder="1"/>
    <xf numFmtId="0" fontId="14" fillId="5" borderId="18" xfId="0" applyFont="1" applyFill="1" applyBorder="1" applyAlignment="1">
      <alignment horizontal="center" vertical="center" wrapText="1"/>
    </xf>
    <xf numFmtId="0" fontId="20" fillId="5" borderId="18" xfId="0" applyFont="1" applyFill="1" applyBorder="1" applyAlignment="1">
      <alignment vertical="center" wrapText="1"/>
    </xf>
    <xf numFmtId="3" fontId="21" fillId="6" borderId="14" xfId="0" applyNumberFormat="1" applyFont="1" applyFill="1" applyBorder="1" applyAlignment="1">
      <alignment horizontal="center" vertical="center" wrapText="1"/>
    </xf>
    <xf numFmtId="3" fontId="18" fillId="6" borderId="14" xfId="0" applyNumberFormat="1" applyFont="1" applyFill="1" applyBorder="1" applyAlignment="1">
      <alignment horizontal="center" vertical="center" wrapText="1"/>
    </xf>
    <xf numFmtId="3" fontId="21" fillId="5" borderId="14" xfId="0" applyNumberFormat="1" applyFont="1" applyFill="1" applyBorder="1" applyAlignment="1">
      <alignment horizontal="center" vertical="center" wrapText="1"/>
    </xf>
    <xf numFmtId="3" fontId="18" fillId="5" borderId="14" xfId="0" applyNumberFormat="1" applyFont="1" applyFill="1" applyBorder="1" applyAlignment="1">
      <alignment horizontal="center" vertical="center" wrapText="1"/>
    </xf>
    <xf numFmtId="167" fontId="21" fillId="5" borderId="14" xfId="0" applyNumberFormat="1" applyFont="1" applyFill="1" applyBorder="1" applyAlignment="1">
      <alignment horizontal="center" vertical="center" wrapText="1"/>
    </xf>
    <xf numFmtId="167" fontId="18" fillId="5" borderId="14" xfId="0" applyNumberFormat="1" applyFont="1" applyFill="1" applyBorder="1" applyAlignment="1">
      <alignment horizontal="center" vertical="center" wrapText="1"/>
    </xf>
    <xf numFmtId="0" fontId="20" fillId="5" borderId="18" xfId="0" applyFont="1" applyFill="1" applyBorder="1" applyAlignment="1">
      <alignment horizontal="center" vertical="center" wrapText="1"/>
    </xf>
    <xf numFmtId="0" fontId="16" fillId="5" borderId="18" xfId="0" applyFont="1" applyFill="1" applyBorder="1" applyAlignment="1">
      <alignment horizontal="left" vertical="center" wrapText="1"/>
    </xf>
    <xf numFmtId="3" fontId="21" fillId="6" borderId="18" xfId="0" applyNumberFormat="1" applyFont="1" applyFill="1" applyBorder="1" applyAlignment="1">
      <alignment horizontal="center" vertical="center" wrapText="1"/>
    </xf>
    <xf numFmtId="3" fontId="18" fillId="6" borderId="18" xfId="0" applyNumberFormat="1" applyFont="1" applyFill="1" applyBorder="1" applyAlignment="1">
      <alignment horizontal="center" vertical="center" wrapText="1"/>
    </xf>
    <xf numFmtId="3" fontId="21" fillId="5" borderId="18" xfId="0" applyNumberFormat="1" applyFont="1" applyFill="1" applyBorder="1" applyAlignment="1">
      <alignment horizontal="center" vertical="center" wrapText="1"/>
    </xf>
    <xf numFmtId="3" fontId="18" fillId="5" borderId="18" xfId="0" applyNumberFormat="1" applyFont="1" applyFill="1" applyBorder="1" applyAlignment="1">
      <alignment horizontal="center" vertical="center" wrapText="1"/>
    </xf>
    <xf numFmtId="167" fontId="21" fillId="5" borderId="18" xfId="0" applyNumberFormat="1" applyFont="1" applyFill="1" applyBorder="1" applyAlignment="1">
      <alignment horizontal="center" vertical="center" wrapText="1"/>
    </xf>
    <xf numFmtId="167" fontId="18" fillId="5" borderId="18" xfId="0" applyNumberFormat="1" applyFont="1" applyFill="1" applyBorder="1" applyAlignment="1">
      <alignment horizontal="center" vertical="center" wrapText="1"/>
    </xf>
    <xf numFmtId="0" fontId="20" fillId="5" borderId="20" xfId="0" applyFont="1" applyFill="1" applyBorder="1" applyAlignment="1">
      <alignment vertical="top" wrapText="1"/>
    </xf>
    <xf numFmtId="0" fontId="17" fillId="5" borderId="20" xfId="0" applyFont="1" applyFill="1" applyBorder="1" applyAlignment="1">
      <alignment horizontal="center" vertical="top" wrapText="1"/>
    </xf>
    <xf numFmtId="0" fontId="17" fillId="5" borderId="20" xfId="0" applyFont="1" applyFill="1" applyBorder="1" applyAlignment="1">
      <alignment vertical="top" wrapText="1"/>
    </xf>
    <xf numFmtId="3" fontId="18" fillId="6" borderId="20" xfId="0" applyNumberFormat="1" applyFont="1" applyFill="1" applyBorder="1" applyAlignment="1">
      <alignment horizontal="center" vertical="center" wrapText="1"/>
    </xf>
    <xf numFmtId="0" fontId="20" fillId="5" borderId="20" xfId="0" applyFont="1" applyFill="1" applyBorder="1" applyAlignment="1">
      <alignment horizontal="center" vertical="top" wrapText="1"/>
    </xf>
    <xf numFmtId="168" fontId="24" fillId="7" borderId="24" xfId="111" quotePrefix="1" applyNumberFormat="1" applyFont="1" applyFill="1" applyBorder="1" applyAlignment="1">
      <alignment vertical="center" wrapText="1"/>
    </xf>
    <xf numFmtId="0" fontId="26" fillId="5" borderId="14" xfId="111" quotePrefix="1" applyFont="1" applyFill="1" applyBorder="1" applyAlignment="1">
      <alignment horizontal="left" vertical="center" wrapText="1"/>
    </xf>
    <xf numFmtId="0" fontId="9" fillId="5" borderId="0" xfId="0" applyFont="1" applyFill="1" applyAlignment="1">
      <alignment horizontal="center"/>
    </xf>
    <xf numFmtId="3" fontId="9" fillId="5" borderId="0" xfId="0" applyNumberFormat="1" applyFont="1" applyFill="1" applyAlignment="1">
      <alignment horizontal="center"/>
    </xf>
    <xf numFmtId="167" fontId="9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left"/>
    </xf>
    <xf numFmtId="3" fontId="9" fillId="5" borderId="0" xfId="0" applyNumberFormat="1" applyFont="1" applyFill="1"/>
    <xf numFmtId="167" fontId="9" fillId="5" borderId="0" xfId="0" applyNumberFormat="1" applyFont="1" applyFill="1"/>
    <xf numFmtId="0" fontId="24" fillId="7" borderId="24" xfId="111" quotePrefix="1" applyFont="1" applyFill="1" applyBorder="1" applyAlignment="1">
      <alignment vertical="center" wrapText="1"/>
    </xf>
    <xf numFmtId="0" fontId="10" fillId="3" borderId="5" xfId="65" applyFont="1" applyFill="1" applyBorder="1" applyAlignment="1">
      <alignment horizontal="left"/>
    </xf>
    <xf numFmtId="0" fontId="12" fillId="3" borderId="112" xfId="65" applyFont="1" applyFill="1" applyBorder="1"/>
    <xf numFmtId="0" fontId="18" fillId="5" borderId="19" xfId="65" applyFont="1" applyFill="1" applyBorder="1" applyAlignment="1">
      <alignment wrapText="1"/>
    </xf>
    <xf numFmtId="0" fontId="9" fillId="5" borderId="19" xfId="65" applyFill="1" applyBorder="1"/>
    <xf numFmtId="0" fontId="18" fillId="5" borderId="19" xfId="65" applyFont="1" applyFill="1" applyBorder="1" applyAlignment="1">
      <alignment vertical="center"/>
    </xf>
    <xf numFmtId="0" fontId="18" fillId="5" borderId="7" xfId="65" applyFont="1" applyFill="1" applyBorder="1" applyAlignment="1">
      <alignment vertical="center"/>
    </xf>
    <xf numFmtId="11" fontId="11" fillId="3" borderId="4" xfId="0" applyNumberFormat="1" applyFont="1" applyFill="1" applyBorder="1" applyAlignment="1">
      <alignment horizontal="left"/>
    </xf>
    <xf numFmtId="11" fontId="11" fillId="3" borderId="5" xfId="0" applyNumberFormat="1" applyFont="1" applyFill="1" applyBorder="1" applyAlignment="1">
      <alignment horizontal="center"/>
    </xf>
    <xf numFmtId="11" fontId="10" fillId="3" borderId="5" xfId="0" applyNumberFormat="1" applyFont="1" applyFill="1" applyBorder="1" applyAlignment="1">
      <alignment horizontal="left"/>
    </xf>
    <xf numFmtId="11" fontId="11" fillId="3" borderId="5" xfId="0" applyNumberFormat="1" applyFont="1" applyFill="1" applyBorder="1" applyAlignment="1">
      <alignment horizontal="left"/>
    </xf>
    <xf numFmtId="11" fontId="11" fillId="3" borderId="6" xfId="0" applyNumberFormat="1" applyFont="1" applyFill="1" applyBorder="1" applyAlignment="1">
      <alignment horizontal="right"/>
    </xf>
    <xf numFmtId="0" fontId="13" fillId="3" borderId="22" xfId="0" applyFont="1" applyFill="1" applyBorder="1" applyAlignment="1">
      <alignment horizontal="left"/>
    </xf>
    <xf numFmtId="0" fontId="13" fillId="3" borderId="8" xfId="0" applyFont="1" applyFill="1" applyBorder="1" applyAlignment="1">
      <alignment horizontal="left"/>
    </xf>
    <xf numFmtId="0" fontId="13" fillId="3" borderId="9" xfId="0" applyFont="1" applyFill="1" applyBorder="1" applyAlignment="1">
      <alignment horizontal="left"/>
    </xf>
    <xf numFmtId="11" fontId="12" fillId="3" borderId="9" xfId="0" applyNumberFormat="1" applyFont="1" applyFill="1" applyBorder="1"/>
    <xf numFmtId="11" fontId="17" fillId="5" borderId="30" xfId="0" applyNumberFormat="1" applyFont="1" applyFill="1" applyBorder="1" applyAlignment="1">
      <alignment horizontal="centerContinuous" vertical="center" wrapText="1"/>
    </xf>
    <xf numFmtId="11" fontId="17" fillId="5" borderId="31" xfId="0" applyNumberFormat="1" applyFont="1" applyFill="1" applyBorder="1" applyAlignment="1">
      <alignment horizontal="centerContinuous" vertical="center" wrapText="1"/>
    </xf>
    <xf numFmtId="11" fontId="17" fillId="5" borderId="24" xfId="0" applyNumberFormat="1" applyFont="1" applyFill="1" applyBorder="1" applyAlignment="1">
      <alignment horizontal="center" vertical="center" wrapText="1"/>
    </xf>
    <xf numFmtId="11" fontId="17" fillId="5" borderId="14" xfId="0" applyNumberFormat="1" applyFont="1" applyFill="1" applyBorder="1" applyAlignment="1">
      <alignment horizontal="center" vertical="top" wrapText="1"/>
    </xf>
    <xf numFmtId="0" fontId="9" fillId="5" borderId="14" xfId="0" applyFont="1" applyFill="1" applyBorder="1"/>
    <xf numFmtId="0" fontId="14" fillId="5" borderId="14" xfId="0" applyFont="1" applyFill="1" applyBorder="1" applyAlignment="1">
      <alignment horizontal="center"/>
    </xf>
    <xf numFmtId="11" fontId="17" fillId="5" borderId="18" xfId="0" applyNumberFormat="1" applyFont="1" applyFill="1" applyBorder="1" applyAlignment="1">
      <alignment horizontal="center" vertical="top" wrapText="1"/>
    </xf>
    <xf numFmtId="11" fontId="17" fillId="5" borderId="20" xfId="0" applyNumberFormat="1" applyFont="1" applyFill="1" applyBorder="1" applyAlignment="1">
      <alignment horizontal="center" vertical="top" wrapText="1"/>
    </xf>
    <xf numFmtId="11" fontId="20" fillId="5" borderId="19" xfId="0" applyNumberFormat="1" applyFont="1" applyFill="1" applyBorder="1" applyAlignment="1">
      <alignment vertical="top" wrapText="1"/>
    </xf>
    <xf numFmtId="11" fontId="20" fillId="5" borderId="18" xfId="0" applyNumberFormat="1" applyFont="1" applyFill="1" applyBorder="1" applyAlignment="1">
      <alignment horizontal="center" vertical="top" wrapText="1"/>
    </xf>
    <xf numFmtId="11" fontId="21" fillId="5" borderId="18" xfId="0" applyNumberFormat="1" applyFont="1" applyFill="1" applyBorder="1" applyAlignment="1">
      <alignment vertical="top" wrapText="1"/>
    </xf>
    <xf numFmtId="11" fontId="21" fillId="6" borderId="14" xfId="0" applyNumberFormat="1" applyFont="1" applyFill="1" applyBorder="1" applyAlignment="1">
      <alignment horizontal="center" vertical="center" wrapText="1"/>
    </xf>
    <xf numFmtId="11" fontId="18" fillId="6" borderId="14" xfId="0" applyNumberFormat="1" applyFont="1" applyFill="1" applyBorder="1" applyAlignment="1">
      <alignment horizontal="center" vertical="center" wrapText="1"/>
    </xf>
    <xf numFmtId="11" fontId="18" fillId="10" borderId="14" xfId="0" applyNumberFormat="1" applyFont="1" applyFill="1" applyBorder="1" applyAlignment="1">
      <alignment horizontal="center" vertical="center" wrapText="1"/>
    </xf>
    <xf numFmtId="11" fontId="21" fillId="5" borderId="6" xfId="0" applyNumberFormat="1" applyFont="1" applyFill="1" applyBorder="1" applyAlignment="1">
      <alignment horizontal="center" vertical="center" wrapText="1"/>
    </xf>
    <xf numFmtId="11" fontId="18" fillId="5" borderId="14" xfId="0" applyNumberFormat="1" applyFont="1" applyFill="1" applyBorder="1" applyAlignment="1">
      <alignment horizontal="center" vertical="center" wrapText="1"/>
    </xf>
    <xf numFmtId="11" fontId="21" fillId="5" borderId="14" xfId="0" applyNumberFormat="1" applyFont="1" applyFill="1" applyBorder="1" applyAlignment="1">
      <alignment horizontal="center" vertical="center" wrapText="1"/>
    </xf>
    <xf numFmtId="11" fontId="20" fillId="5" borderId="14" xfId="0" applyNumberFormat="1" applyFont="1" applyFill="1" applyBorder="1" applyAlignment="1">
      <alignment horizontal="center" vertical="top" wrapText="1"/>
    </xf>
    <xf numFmtId="11" fontId="16" fillId="5" borderId="18" xfId="0" applyNumberFormat="1" applyFont="1" applyFill="1" applyBorder="1" applyAlignment="1">
      <alignment horizontal="left" vertical="center" wrapText="1"/>
    </xf>
    <xf numFmtId="11" fontId="17" fillId="5" borderId="18" xfId="0" applyNumberFormat="1" applyFont="1" applyFill="1" applyBorder="1" applyAlignment="1">
      <alignment vertical="top" wrapText="1"/>
    </xf>
    <xf numFmtId="11" fontId="21" fillId="6" borderId="18" xfId="0" applyNumberFormat="1" applyFont="1" applyFill="1" applyBorder="1" applyAlignment="1">
      <alignment horizontal="center" vertical="center" wrapText="1"/>
    </xf>
    <xf numFmtId="11" fontId="18" fillId="6" borderId="18" xfId="0" applyNumberFormat="1" applyFont="1" applyFill="1" applyBorder="1" applyAlignment="1">
      <alignment horizontal="center" vertical="center" wrapText="1"/>
    </xf>
    <xf numFmtId="11" fontId="21" fillId="5" borderId="12" xfId="0" applyNumberFormat="1" applyFont="1" applyFill="1" applyBorder="1" applyAlignment="1">
      <alignment horizontal="center" vertical="center" wrapText="1"/>
    </xf>
    <xf numFmtId="11" fontId="18" fillId="5" borderId="18" xfId="0" applyNumberFormat="1" applyFont="1" applyFill="1" applyBorder="1" applyAlignment="1">
      <alignment horizontal="center" vertical="center" wrapText="1"/>
    </xf>
    <xf numFmtId="11" fontId="21" fillId="5" borderId="18" xfId="0" applyNumberFormat="1" applyFont="1" applyFill="1" applyBorder="1" applyAlignment="1">
      <alignment horizontal="center" vertical="center" wrapText="1"/>
    </xf>
    <xf numFmtId="11" fontId="20" fillId="5" borderId="7" xfId="0" applyNumberFormat="1" applyFont="1" applyFill="1" applyBorder="1" applyAlignment="1">
      <alignment vertical="top" wrapText="1"/>
    </xf>
    <xf numFmtId="11" fontId="20" fillId="5" borderId="20" xfId="0" applyNumberFormat="1" applyFont="1" applyFill="1" applyBorder="1" applyAlignment="1">
      <alignment horizontal="center" vertical="top" wrapText="1"/>
    </xf>
    <xf numFmtId="11" fontId="17" fillId="5" borderId="20" xfId="0" applyNumberFormat="1" applyFont="1" applyFill="1" applyBorder="1" applyAlignment="1">
      <alignment vertical="top" wrapText="1"/>
    </xf>
    <xf numFmtId="11" fontId="18" fillId="6" borderId="20" xfId="0" applyNumberFormat="1" applyFont="1" applyFill="1" applyBorder="1" applyAlignment="1">
      <alignment horizontal="center" vertical="center" wrapText="1"/>
    </xf>
    <xf numFmtId="3" fontId="18" fillId="5" borderId="10" xfId="0" applyNumberFormat="1" applyFont="1" applyFill="1" applyBorder="1" applyAlignment="1">
      <alignment horizontal="center" vertical="center" wrapText="1"/>
    </xf>
    <xf numFmtId="11" fontId="16" fillId="5" borderId="20" xfId="0" applyNumberFormat="1" applyFont="1" applyFill="1" applyBorder="1" applyAlignment="1">
      <alignment horizontal="left" vertical="center" wrapText="1"/>
    </xf>
    <xf numFmtId="11" fontId="37" fillId="5" borderId="0" xfId="0" applyNumberFormat="1" applyFont="1" applyFill="1" applyAlignment="1">
      <alignment vertical="center" wrapText="1"/>
    </xf>
    <xf numFmtId="11" fontId="37" fillId="5" borderId="0" xfId="0" applyNumberFormat="1" applyFont="1" applyFill="1" applyAlignment="1">
      <alignment horizontal="center" vertical="center" wrapText="1"/>
    </xf>
    <xf numFmtId="11" fontId="17" fillId="5" borderId="0" xfId="0" applyNumberFormat="1" applyFont="1" applyFill="1" applyAlignment="1">
      <alignment horizontal="center" vertical="center" wrapText="1"/>
    </xf>
    <xf numFmtId="11" fontId="37" fillId="5" borderId="0" xfId="0" applyNumberFormat="1" applyFont="1" applyFill="1" applyAlignment="1">
      <alignment horizontal="left" vertical="center" wrapText="1"/>
    </xf>
    <xf numFmtId="0" fontId="5" fillId="34" borderId="34" xfId="0" applyFont="1" applyFill="1" applyBorder="1"/>
    <xf numFmtId="2" fontId="5" fillId="25" borderId="57" xfId="0" applyNumberFormat="1" applyFont="1" applyFill="1" applyBorder="1"/>
    <xf numFmtId="2" fontId="5" fillId="25" borderId="58" xfId="0" applyNumberFormat="1" applyFont="1" applyFill="1" applyBorder="1"/>
    <xf numFmtId="0" fontId="5" fillId="33" borderId="114" xfId="0" applyFont="1" applyFill="1" applyBorder="1"/>
    <xf numFmtId="0" fontId="5" fillId="33" borderId="115" xfId="0" applyFont="1" applyFill="1" applyBorder="1"/>
    <xf numFmtId="0" fontId="0" fillId="25" borderId="0" xfId="0" applyFill="1" applyAlignment="1">
      <alignment horizontal="center" vertical="center"/>
    </xf>
    <xf numFmtId="0" fontId="6" fillId="25" borderId="62" xfId="0" applyFont="1" applyFill="1" applyBorder="1" applyAlignment="1">
      <alignment horizontal="center" vertical="center" wrapText="1"/>
    </xf>
    <xf numFmtId="0" fontId="6" fillId="25" borderId="0" xfId="0" applyFont="1" applyFill="1" applyAlignment="1">
      <alignment horizontal="center" vertical="center"/>
    </xf>
    <xf numFmtId="0" fontId="0" fillId="21" borderId="67" xfId="0" quotePrefix="1" applyFill="1" applyBorder="1"/>
    <xf numFmtId="0" fontId="0" fillId="37" borderId="67" xfId="0" quotePrefix="1" applyFill="1" applyBorder="1"/>
    <xf numFmtId="0" fontId="12" fillId="3" borderId="7" xfId="65" applyFont="1" applyFill="1" applyBorder="1" applyAlignment="1">
      <alignment horizontal="center" vertical="center"/>
    </xf>
    <xf numFmtId="0" fontId="12" fillId="3" borderId="9" xfId="65" applyFont="1" applyFill="1" applyBorder="1" applyAlignment="1">
      <alignment horizontal="center" vertical="center"/>
    </xf>
    <xf numFmtId="0" fontId="7" fillId="5" borderId="0" xfId="151" applyFill="1" applyAlignment="1">
      <alignment horizontal="center" vertical="center"/>
    </xf>
    <xf numFmtId="0" fontId="12" fillId="5" borderId="0" xfId="65" applyFont="1" applyFill="1" applyAlignment="1">
      <alignment horizontal="center" vertical="center"/>
    </xf>
    <xf numFmtId="2" fontId="5" fillId="21" borderId="67" xfId="0" applyNumberFormat="1" applyFont="1" applyFill="1" applyBorder="1"/>
    <xf numFmtId="2" fontId="6" fillId="21" borderId="94" xfId="0" applyNumberFormat="1" applyFont="1" applyFill="1" applyBorder="1"/>
    <xf numFmtId="2" fontId="5" fillId="21" borderId="0" xfId="0" applyNumberFormat="1" applyFont="1" applyFill="1"/>
    <xf numFmtId="4" fontId="6" fillId="21" borderId="0" xfId="0" applyNumberFormat="1" applyFont="1" applyFill="1"/>
    <xf numFmtId="2" fontId="6" fillId="21" borderId="67" xfId="0" applyNumberFormat="1" applyFont="1" applyFill="1" applyBorder="1"/>
    <xf numFmtId="192" fontId="5" fillId="21" borderId="63" xfId="0" applyNumberFormat="1" applyFont="1" applyFill="1" applyBorder="1" applyAlignment="1">
      <alignment horizontal="right"/>
    </xf>
    <xf numFmtId="192" fontId="5" fillId="21" borderId="67" xfId="0" applyNumberFormat="1" applyFont="1" applyFill="1" applyBorder="1" applyAlignment="1">
      <alignment horizontal="right"/>
    </xf>
    <xf numFmtId="192" fontId="6" fillId="21" borderId="66" xfId="0" applyNumberFormat="1" applyFont="1" applyFill="1" applyBorder="1" applyAlignment="1">
      <alignment horizontal="right"/>
    </xf>
    <xf numFmtId="0" fontId="5" fillId="34" borderId="66" xfId="0" applyFont="1" applyFill="1" applyBorder="1"/>
    <xf numFmtId="0" fontId="0" fillId="0" borderId="116" xfId="0" applyBorder="1"/>
    <xf numFmtId="0" fontId="0" fillId="5" borderId="55" xfId="0" applyFill="1" applyBorder="1"/>
    <xf numFmtId="0" fontId="0" fillId="0" borderId="67" xfId="0" applyBorder="1" applyAlignment="1">
      <alignment horizontal="center" textRotation="90" wrapText="1"/>
    </xf>
    <xf numFmtId="0" fontId="0" fillId="0" borderId="67" xfId="0" applyBorder="1" applyAlignment="1">
      <alignment horizontal="center" vertical="top" wrapText="1"/>
    </xf>
    <xf numFmtId="0" fontId="0" fillId="0" borderId="67" xfId="0" applyBorder="1" applyAlignment="1">
      <alignment horizontal="center" textRotation="90"/>
    </xf>
    <xf numFmtId="0" fontId="0" fillId="25" borderId="93" xfId="0" applyFill="1" applyBorder="1"/>
    <xf numFmtId="0" fontId="58" fillId="25" borderId="86" xfId="0" applyFont="1" applyFill="1" applyBorder="1"/>
    <xf numFmtId="0" fontId="0" fillId="0" borderId="68" xfId="0" applyBorder="1"/>
    <xf numFmtId="0" fontId="68" fillId="25" borderId="71" xfId="0" applyFont="1" applyFill="1" applyBorder="1"/>
    <xf numFmtId="0" fontId="0" fillId="0" borderId="39" xfId="0" applyBorder="1"/>
    <xf numFmtId="0" fontId="58" fillId="25" borderId="70" xfId="0" applyFont="1" applyFill="1" applyBorder="1" applyAlignment="1">
      <alignment wrapText="1"/>
    </xf>
    <xf numFmtId="0" fontId="57" fillId="34" borderId="104" xfId="0" applyFont="1" applyFill="1" applyBorder="1"/>
    <xf numFmtId="0" fontId="0" fillId="5" borderId="93" xfId="0" applyFill="1" applyBorder="1"/>
    <xf numFmtId="0" fontId="59" fillId="5" borderId="0" xfId="0" applyFont="1" applyFill="1"/>
    <xf numFmtId="0" fontId="0" fillId="25" borderId="74" xfId="0" applyFill="1" applyBorder="1"/>
    <xf numFmtId="0" fontId="0" fillId="25" borderId="87" xfId="0" applyFill="1" applyBorder="1"/>
    <xf numFmtId="0" fontId="0" fillId="25" borderId="72" xfId="0" applyFill="1" applyBorder="1"/>
    <xf numFmtId="0" fontId="0" fillId="34" borderId="52" xfId="0" applyFill="1" applyBorder="1"/>
    <xf numFmtId="0" fontId="0" fillId="35" borderId="0" xfId="0" applyFill="1"/>
    <xf numFmtId="0" fontId="6" fillId="5" borderId="69" xfId="0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horizontal="center" vertical="center" wrapText="1"/>
    </xf>
    <xf numFmtId="9" fontId="0" fillId="0" borderId="42" xfId="134" applyFont="1" applyFill="1" applyBorder="1"/>
    <xf numFmtId="0" fontId="0" fillId="34" borderId="55" xfId="0" applyFill="1" applyBorder="1"/>
    <xf numFmtId="0" fontId="77" fillId="25" borderId="0" xfId="0" applyFont="1" applyFill="1"/>
    <xf numFmtId="0" fontId="0" fillId="0" borderId="34" xfId="0" applyBorder="1"/>
    <xf numFmtId="0" fontId="0" fillId="0" borderId="35" xfId="0" applyBorder="1"/>
    <xf numFmtId="0" fontId="0" fillId="0" borderId="51" xfId="0" applyBorder="1" applyAlignment="1">
      <alignment vertical="center"/>
    </xf>
    <xf numFmtId="2" fontId="0" fillId="0" borderId="93" xfId="0" applyNumberFormat="1" applyBorder="1"/>
    <xf numFmtId="0" fontId="79" fillId="0" borderId="48" xfId="0" applyFont="1" applyBorder="1"/>
    <xf numFmtId="0" fontId="0" fillId="35" borderId="53" xfId="0" applyFill="1" applyBorder="1"/>
    <xf numFmtId="0" fontId="0" fillId="35" borderId="54" xfId="0" applyFill="1" applyBorder="1"/>
    <xf numFmtId="2" fontId="0" fillId="35" borderId="54" xfId="0" applyNumberFormat="1" applyFill="1" applyBorder="1"/>
    <xf numFmtId="1" fontId="0" fillId="0" borderId="67" xfId="0" applyNumberFormat="1" applyBorder="1"/>
    <xf numFmtId="3" fontId="0" fillId="0" borderId="67" xfId="0" applyNumberFormat="1" applyBorder="1"/>
    <xf numFmtId="0" fontId="0" fillId="0" borderId="25" xfId="0" applyBorder="1" applyAlignment="1">
      <alignment horizontal="center" vertical="top" wrapText="1"/>
    </xf>
    <xf numFmtId="9" fontId="0" fillId="0" borderId="67" xfId="134" applyFont="1" applyBorder="1"/>
    <xf numFmtId="9" fontId="0" fillId="0" borderId="67" xfId="0" applyNumberFormat="1" applyBorder="1"/>
    <xf numFmtId="1" fontId="0" fillId="35" borderId="54" xfId="0" applyNumberFormat="1" applyFill="1" applyBorder="1"/>
    <xf numFmtId="0" fontId="58" fillId="5" borderId="51" xfId="0" applyFont="1" applyFill="1" applyBorder="1"/>
    <xf numFmtId="0" fontId="58" fillId="5" borderId="53" xfId="0" applyFont="1" applyFill="1" applyBorder="1"/>
    <xf numFmtId="0" fontId="58" fillId="5" borderId="71" xfId="0" applyFont="1" applyFill="1" applyBorder="1"/>
    <xf numFmtId="0" fontId="58" fillId="5" borderId="73" xfId="0" applyFont="1" applyFill="1" applyBorder="1"/>
    <xf numFmtId="202" fontId="58" fillId="5" borderId="54" xfId="152" applyNumberFormat="1" applyFont="1" applyFill="1" applyBorder="1"/>
    <xf numFmtId="202" fontId="58" fillId="5" borderId="0" xfId="152" applyNumberFormat="1" applyFont="1" applyFill="1" applyBorder="1"/>
    <xf numFmtId="202" fontId="58" fillId="5" borderId="42" xfId="152" applyNumberFormat="1" applyFont="1" applyFill="1" applyBorder="1"/>
    <xf numFmtId="0" fontId="0" fillId="5" borderId="50" xfId="0" applyFill="1" applyBorder="1"/>
    <xf numFmtId="0" fontId="0" fillId="5" borderId="52" xfId="0" applyFill="1" applyBorder="1"/>
    <xf numFmtId="0" fontId="0" fillId="5" borderId="72" xfId="0" applyFill="1" applyBorder="1"/>
    <xf numFmtId="0" fontId="0" fillId="5" borderId="74" xfId="0" applyFill="1" applyBorder="1"/>
    <xf numFmtId="0" fontId="0" fillId="0" borderId="0" xfId="0" applyAlignment="1">
      <alignment wrapText="1"/>
    </xf>
    <xf numFmtId="0" fontId="0" fillId="5" borderId="0" xfId="0" applyFill="1" applyAlignment="1">
      <alignment wrapText="1"/>
    </xf>
    <xf numFmtId="165" fontId="0" fillId="24" borderId="67" xfId="0" applyNumberFormat="1" applyFill="1" applyBorder="1"/>
    <xf numFmtId="165" fontId="0" fillId="25" borderId="67" xfId="0" applyNumberFormat="1" applyFill="1" applyBorder="1"/>
    <xf numFmtId="165" fontId="0" fillId="24" borderId="0" xfId="0" applyNumberFormat="1" applyFill="1"/>
    <xf numFmtId="165" fontId="0" fillId="5" borderId="0" xfId="0" applyNumberFormat="1" applyFill="1"/>
    <xf numFmtId="165" fontId="0" fillId="5" borderId="67" xfId="0" applyNumberFormat="1" applyFill="1" applyBorder="1"/>
    <xf numFmtId="165" fontId="0" fillId="5" borderId="69" xfId="0" applyNumberFormat="1" applyFill="1" applyBorder="1"/>
    <xf numFmtId="165" fontId="5" fillId="5" borderId="67" xfId="0" applyNumberFormat="1" applyFont="1" applyFill="1" applyBorder="1"/>
    <xf numFmtId="165" fontId="0" fillId="21" borderId="67" xfId="0" applyNumberFormat="1" applyFill="1" applyBorder="1"/>
    <xf numFmtId="43" fontId="0" fillId="5" borderId="0" xfId="152" applyFont="1" applyFill="1"/>
    <xf numFmtId="2" fontId="5" fillId="33" borderId="94" xfId="0" applyNumberFormat="1" applyFont="1" applyFill="1" applyBorder="1"/>
    <xf numFmtId="2" fontId="5" fillId="0" borderId="94" xfId="0" applyNumberFormat="1" applyFont="1" applyBorder="1"/>
    <xf numFmtId="2" fontId="5" fillId="0" borderId="100" xfId="0" applyNumberFormat="1" applyFont="1" applyBorder="1"/>
    <xf numFmtId="2" fontId="5" fillId="22" borderId="38" xfId="0" applyNumberFormat="1" applyFont="1" applyFill="1" applyBorder="1"/>
    <xf numFmtId="2" fontId="5" fillId="22" borderId="27" xfId="0" applyNumberFormat="1" applyFont="1" applyFill="1" applyBorder="1"/>
    <xf numFmtId="2" fontId="5" fillId="22" borderId="41" xfId="0" applyNumberFormat="1" applyFont="1" applyFill="1" applyBorder="1"/>
    <xf numFmtId="2" fontId="6" fillId="0" borderId="0" xfId="0" applyNumberFormat="1" applyFont="1"/>
    <xf numFmtId="2" fontId="5" fillId="22" borderId="67" xfId="0" applyNumberFormat="1" applyFont="1" applyFill="1" applyBorder="1"/>
    <xf numFmtId="2" fontId="6" fillId="5" borderId="94" xfId="0" applyNumberFormat="1" applyFont="1" applyFill="1" applyBorder="1"/>
    <xf numFmtId="2" fontId="6" fillId="33" borderId="67" xfId="0" applyNumberFormat="1" applyFont="1" applyFill="1" applyBorder="1"/>
    <xf numFmtId="2" fontId="6" fillId="0" borderId="67" xfId="0" applyNumberFormat="1" applyFont="1" applyBorder="1"/>
    <xf numFmtId="2" fontId="5" fillId="33" borderId="38" xfId="0" applyNumberFormat="1" applyFont="1" applyFill="1" applyBorder="1"/>
    <xf numFmtId="2" fontId="5" fillId="33" borderId="27" xfId="0" applyNumberFormat="1" applyFont="1" applyFill="1" applyBorder="1"/>
    <xf numFmtId="2" fontId="5" fillId="33" borderId="41" xfId="0" applyNumberFormat="1" applyFont="1" applyFill="1" applyBorder="1"/>
    <xf numFmtId="2" fontId="5" fillId="5" borderId="38" xfId="0" applyNumberFormat="1" applyFont="1" applyFill="1" applyBorder="1"/>
    <xf numFmtId="2" fontId="6" fillId="5" borderId="0" xfId="0" applyNumberFormat="1" applyFont="1" applyFill="1"/>
    <xf numFmtId="4" fontId="5" fillId="0" borderId="67" xfId="0" applyNumberFormat="1" applyFont="1" applyBorder="1"/>
    <xf numFmtId="4" fontId="5" fillId="0" borderId="93" xfId="0" applyNumberFormat="1" applyFont="1" applyBorder="1" applyAlignment="1">
      <alignment wrapText="1"/>
    </xf>
    <xf numFmtId="4" fontId="6" fillId="0" borderId="0" xfId="0" applyNumberFormat="1" applyFont="1" applyAlignment="1">
      <alignment wrapText="1"/>
    </xf>
    <xf numFmtId="4" fontId="5" fillId="5" borderId="67" xfId="0" applyNumberFormat="1" applyFont="1" applyFill="1" applyBorder="1"/>
    <xf numFmtId="4" fontId="5" fillId="5" borderId="93" xfId="0" applyNumberFormat="1" applyFont="1" applyFill="1" applyBorder="1"/>
    <xf numFmtId="4" fontId="5" fillId="0" borderId="0" xfId="0" applyNumberFormat="1" applyFont="1"/>
    <xf numFmtId="4" fontId="6" fillId="21" borderId="0" xfId="0" applyNumberFormat="1" applyFont="1" applyFill="1" applyAlignment="1">
      <alignment wrapText="1"/>
    </xf>
    <xf numFmtId="4" fontId="5" fillId="33" borderId="67" xfId="0" applyNumberFormat="1" applyFont="1" applyFill="1" applyBorder="1"/>
    <xf numFmtId="4" fontId="5" fillId="33" borderId="93" xfId="0" applyNumberFormat="1" applyFont="1" applyFill="1" applyBorder="1"/>
    <xf numFmtId="4" fontId="5" fillId="0" borderId="93" xfId="0" applyNumberFormat="1" applyFont="1" applyBorder="1"/>
    <xf numFmtId="4" fontId="5" fillId="21" borderId="0" xfId="0" applyNumberFormat="1" applyFont="1" applyFill="1"/>
    <xf numFmtId="4" fontId="5" fillId="33" borderId="95" xfId="0" applyNumberFormat="1" applyFont="1" applyFill="1" applyBorder="1"/>
    <xf numFmtId="1" fontId="5" fillId="0" borderId="67" xfId="0" applyNumberFormat="1" applyFont="1" applyBorder="1" applyAlignment="1">
      <alignment horizontal="right"/>
    </xf>
    <xf numFmtId="1" fontId="5" fillId="0" borderId="93" xfId="0" applyNumberFormat="1" applyFont="1" applyBorder="1" applyAlignment="1">
      <alignment wrapText="1"/>
    </xf>
    <xf numFmtId="1" fontId="6" fillId="0" borderId="0" xfId="0" applyNumberFormat="1" applyFont="1" applyAlignment="1">
      <alignment wrapText="1"/>
    </xf>
    <xf numFmtId="1" fontId="5" fillId="5" borderId="93" xfId="0" applyNumberFormat="1" applyFont="1" applyFill="1" applyBorder="1"/>
    <xf numFmtId="1" fontId="5" fillId="0" borderId="0" xfId="0" applyNumberFormat="1" applyFont="1"/>
    <xf numFmtId="1" fontId="6" fillId="21" borderId="0" xfId="0" applyNumberFormat="1" applyFont="1" applyFill="1" applyAlignment="1">
      <alignment wrapText="1"/>
    </xf>
    <xf numFmtId="1" fontId="5" fillId="33" borderId="93" xfId="0" applyNumberFormat="1" applyFont="1" applyFill="1" applyBorder="1"/>
    <xf numFmtId="1" fontId="5" fillId="0" borderId="93" xfId="0" applyNumberFormat="1" applyFont="1" applyBorder="1"/>
    <xf numFmtId="1" fontId="5" fillId="21" borderId="0" xfId="0" applyNumberFormat="1" applyFont="1" applyFill="1"/>
    <xf numFmtId="1" fontId="6" fillId="21" borderId="0" xfId="0" applyNumberFormat="1" applyFont="1" applyFill="1"/>
    <xf numFmtId="1" fontId="5" fillId="33" borderId="95" xfId="0" applyNumberFormat="1" applyFont="1" applyFill="1" applyBorder="1"/>
    <xf numFmtId="203" fontId="0" fillId="0" borderId="50" xfId="0" applyNumberFormat="1" applyBorder="1"/>
    <xf numFmtId="203" fontId="0" fillId="0" borderId="52" xfId="0" applyNumberFormat="1" applyBorder="1"/>
    <xf numFmtId="203" fontId="0" fillId="0" borderId="90" xfId="0" applyNumberFormat="1" applyBorder="1"/>
    <xf numFmtId="2" fontId="6" fillId="35" borderId="0" xfId="0" applyNumberFormat="1" applyFont="1" applyFill="1"/>
    <xf numFmtId="165" fontId="5" fillId="33" borderId="67" xfId="0" applyNumberFormat="1" applyFont="1" applyFill="1" applyBorder="1"/>
    <xf numFmtId="165" fontId="5" fillId="33" borderId="41" xfId="0" applyNumberFormat="1" applyFont="1" applyFill="1" applyBorder="1"/>
    <xf numFmtId="165" fontId="6" fillId="33" borderId="66" xfId="0" applyNumberFormat="1" applyFont="1" applyFill="1" applyBorder="1"/>
    <xf numFmtId="165" fontId="5" fillId="33" borderId="38" xfId="0" applyNumberFormat="1" applyFont="1" applyFill="1" applyBorder="1"/>
    <xf numFmtId="165" fontId="6" fillId="0" borderId="67" xfId="0" applyNumberFormat="1" applyFont="1" applyBorder="1"/>
    <xf numFmtId="165" fontId="5" fillId="35" borderId="0" xfId="0" applyNumberFormat="1" applyFont="1" applyFill="1"/>
    <xf numFmtId="165" fontId="5" fillId="33" borderId="27" xfId="0" applyNumberFormat="1" applyFont="1" applyFill="1" applyBorder="1"/>
    <xf numFmtId="0" fontId="0" fillId="5" borderId="34" xfId="0" applyFill="1" applyBorder="1" applyAlignment="1">
      <alignment wrapText="1"/>
    </xf>
    <xf numFmtId="165" fontId="0" fillId="24" borderId="34" xfId="0" applyNumberFormat="1" applyFill="1" applyBorder="1"/>
    <xf numFmtId="165" fontId="0" fillId="25" borderId="34" xfId="0" applyNumberFormat="1" applyFill="1" applyBorder="1"/>
    <xf numFmtId="165" fontId="0" fillId="37" borderId="34" xfId="0" applyNumberFormat="1" applyFill="1" applyBorder="1"/>
    <xf numFmtId="165" fontId="0" fillId="21" borderId="34" xfId="0" applyNumberFormat="1" applyFill="1" applyBorder="1"/>
    <xf numFmtId="0" fontId="0" fillId="5" borderId="51" xfId="0" applyFill="1" applyBorder="1"/>
    <xf numFmtId="0" fontId="82" fillId="5" borderId="0" xfId="0" applyFont="1" applyFill="1" applyAlignment="1">
      <alignment horizontal="left"/>
    </xf>
    <xf numFmtId="0" fontId="82" fillId="5" borderId="93" xfId="0" applyFont="1" applyFill="1" applyBorder="1" applyAlignment="1">
      <alignment horizontal="center"/>
    </xf>
    <xf numFmtId="0" fontId="0" fillId="34" borderId="93" xfId="0" applyFill="1" applyBorder="1"/>
    <xf numFmtId="0" fontId="59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34" borderId="0" xfId="0" applyFill="1" applyAlignment="1">
      <alignment vertical="center"/>
    </xf>
    <xf numFmtId="0" fontId="83" fillId="5" borderId="0" xfId="0" applyFont="1" applyFill="1"/>
    <xf numFmtId="0" fontId="53" fillId="5" borderId="0" xfId="0" applyFont="1" applyFill="1"/>
    <xf numFmtId="0" fontId="7" fillId="5" borderId="0" xfId="151" applyFill="1"/>
    <xf numFmtId="14" fontId="0" fillId="5" borderId="0" xfId="0" applyNumberFormat="1" applyFill="1"/>
    <xf numFmtId="0" fontId="7" fillId="5" borderId="0" xfId="151" applyFill="1" applyAlignment="1">
      <alignment vertical="center" wrapText="1"/>
    </xf>
    <xf numFmtId="0" fontId="0" fillId="5" borderId="53" xfId="0" applyFill="1" applyBorder="1"/>
    <xf numFmtId="0" fontId="58" fillId="34" borderId="48" xfId="0" applyFont="1" applyFill="1" applyBorder="1"/>
    <xf numFmtId="0" fontId="58" fillId="34" borderId="51" xfId="0" applyFont="1" applyFill="1" applyBorder="1"/>
    <xf numFmtId="0" fontId="58" fillId="34" borderId="53" xfId="0" applyFont="1" applyFill="1" applyBorder="1"/>
    <xf numFmtId="0" fontId="0" fillId="34" borderId="54" xfId="0" applyFill="1" applyBorder="1"/>
    <xf numFmtId="202" fontId="58" fillId="34" borderId="49" xfId="152" applyNumberFormat="1" applyFont="1" applyFill="1" applyBorder="1"/>
    <xf numFmtId="0" fontId="0" fillId="34" borderId="50" xfId="0" applyFill="1" applyBorder="1"/>
    <xf numFmtId="0" fontId="0" fillId="5" borderId="54" xfId="0" applyFill="1" applyBorder="1"/>
    <xf numFmtId="0" fontId="58" fillId="5" borderId="54" xfId="0" applyFont="1" applyFill="1" applyBorder="1"/>
    <xf numFmtId="0" fontId="0" fillId="5" borderId="117" xfId="0" applyFill="1" applyBorder="1"/>
    <xf numFmtId="204" fontId="0" fillId="0" borderId="52" xfId="0" applyNumberFormat="1" applyBorder="1"/>
    <xf numFmtId="0" fontId="85" fillId="5" borderId="0" xfId="0" applyFont="1" applyFill="1" applyAlignment="1">
      <alignment vertical="center"/>
    </xf>
    <xf numFmtId="0" fontId="58" fillId="25" borderId="68" xfId="0" applyFont="1" applyFill="1" applyBorder="1"/>
    <xf numFmtId="0" fontId="58" fillId="25" borderId="111" xfId="0" applyFont="1" applyFill="1" applyBorder="1"/>
    <xf numFmtId="0" fontId="58" fillId="25" borderId="42" xfId="0" applyFont="1" applyFill="1" applyBorder="1"/>
    <xf numFmtId="0" fontId="58" fillId="25" borderId="54" xfId="0" applyFont="1" applyFill="1" applyBorder="1"/>
    <xf numFmtId="0" fontId="58" fillId="5" borderId="42" xfId="0" applyFont="1" applyFill="1" applyBorder="1"/>
    <xf numFmtId="0" fontId="58" fillId="34" borderId="49" xfId="0" applyFont="1" applyFill="1" applyBorder="1"/>
    <xf numFmtId="0" fontId="58" fillId="34" borderId="0" xfId="0" applyFont="1" applyFill="1"/>
    <xf numFmtId="0" fontId="58" fillId="34" borderId="54" xfId="0" applyFont="1" applyFill="1" applyBorder="1"/>
    <xf numFmtId="9" fontId="77" fillId="39" borderId="0" xfId="134" applyFont="1" applyFill="1" applyBorder="1"/>
    <xf numFmtId="0" fontId="61" fillId="25" borderId="71" xfId="0" applyFont="1" applyFill="1" applyBorder="1"/>
    <xf numFmtId="0" fontId="82" fillId="5" borderId="0" xfId="0" applyFont="1" applyFill="1" applyAlignment="1">
      <alignment horizontal="center"/>
    </xf>
    <xf numFmtId="0" fontId="0" fillId="5" borderId="0" xfId="0" applyFill="1" applyAlignment="1">
      <alignment vertical="center" wrapText="1"/>
    </xf>
    <xf numFmtId="0" fontId="86" fillId="25" borderId="0" xfId="0" applyFont="1" applyFill="1"/>
    <xf numFmtId="0" fontId="59" fillId="34" borderId="49" xfId="0" applyFont="1" applyFill="1" applyBorder="1" applyAlignment="1">
      <alignment vertical="center"/>
    </xf>
    <xf numFmtId="0" fontId="59" fillId="34" borderId="50" xfId="0" applyFont="1" applyFill="1" applyBorder="1" applyAlignment="1">
      <alignment vertical="center"/>
    </xf>
    <xf numFmtId="0" fontId="0" fillId="34" borderId="74" xfId="0" applyFill="1" applyBorder="1"/>
    <xf numFmtId="49" fontId="52" fillId="33" borderId="98" xfId="65" applyNumberFormat="1" applyFont="1" applyFill="1" applyBorder="1" applyAlignment="1">
      <alignment horizontal="left" vertical="center"/>
    </xf>
    <xf numFmtId="2" fontId="51" fillId="33" borderId="67" xfId="0" applyNumberFormat="1" applyFont="1" applyFill="1" applyBorder="1"/>
    <xf numFmtId="49" fontId="52" fillId="33" borderId="24" xfId="65" applyNumberFormat="1" applyFont="1" applyFill="1" applyBorder="1" applyAlignment="1">
      <alignment horizontal="left" vertical="center"/>
    </xf>
    <xf numFmtId="49" fontId="9" fillId="33" borderId="36" xfId="65" applyNumberFormat="1" applyFill="1" applyBorder="1" applyAlignment="1">
      <alignment horizontal="left" vertical="center"/>
    </xf>
    <xf numFmtId="49" fontId="5" fillId="33" borderId="68" xfId="0" applyNumberFormat="1" applyFont="1" applyFill="1" applyBorder="1"/>
    <xf numFmtId="49" fontId="5" fillId="33" borderId="35" xfId="0" applyNumberFormat="1" applyFont="1" applyFill="1" applyBorder="1"/>
    <xf numFmtId="0" fontId="51" fillId="33" borderId="93" xfId="0" applyFont="1" applyFill="1" applyBorder="1"/>
    <xf numFmtId="0" fontId="5" fillId="33" borderId="97" xfId="0" applyFont="1" applyFill="1" applyBorder="1" applyAlignment="1">
      <alignment horizontal="left" wrapText="1"/>
    </xf>
    <xf numFmtId="165" fontId="58" fillId="5" borderId="54" xfId="0" applyNumberFormat="1" applyFont="1" applyFill="1" applyBorder="1"/>
    <xf numFmtId="0" fontId="0" fillId="25" borderId="42" xfId="0" applyFill="1" applyBorder="1"/>
    <xf numFmtId="0" fontId="58" fillId="25" borderId="84" xfId="0" applyFont="1" applyFill="1" applyBorder="1" applyAlignment="1">
      <alignment wrapText="1"/>
    </xf>
    <xf numFmtId="0" fontId="0" fillId="40" borderId="68" xfId="0" applyFill="1" applyBorder="1"/>
    <xf numFmtId="0" fontId="0" fillId="40" borderId="111" xfId="0" applyFill="1" applyBorder="1"/>
    <xf numFmtId="0" fontId="0" fillId="40" borderId="42" xfId="0" applyFill="1" applyBorder="1"/>
    <xf numFmtId="3" fontId="0" fillId="40" borderId="42" xfId="0" applyNumberFormat="1" applyFill="1" applyBorder="1"/>
    <xf numFmtId="202" fontId="58" fillId="40" borderId="0" xfId="152" applyNumberFormat="1" applyFont="1" applyFill="1" applyBorder="1"/>
    <xf numFmtId="202" fontId="58" fillId="40" borderId="54" xfId="152" applyNumberFormat="1" applyFont="1" applyFill="1" applyBorder="1"/>
    <xf numFmtId="165" fontId="0" fillId="41" borderId="84" xfId="0" applyNumberFormat="1" applyFill="1" applyBorder="1"/>
    <xf numFmtId="2" fontId="0" fillId="41" borderId="84" xfId="0" applyNumberFormat="1" applyFill="1" applyBorder="1"/>
    <xf numFmtId="195" fontId="0" fillId="41" borderId="84" xfId="0" applyNumberFormat="1" applyFill="1" applyBorder="1"/>
    <xf numFmtId="165" fontId="0" fillId="41" borderId="58" xfId="0" applyNumberFormat="1" applyFill="1" applyBorder="1"/>
    <xf numFmtId="0" fontId="5" fillId="33" borderId="35" xfId="0" applyFont="1" applyFill="1" applyBorder="1" applyAlignment="1">
      <alignment horizontal="left" wrapText="1"/>
    </xf>
    <xf numFmtId="0" fontId="59" fillId="25" borderId="49" xfId="0" applyFont="1" applyFill="1" applyBorder="1" applyAlignment="1">
      <alignment vertical="center"/>
    </xf>
    <xf numFmtId="0" fontId="59" fillId="25" borderId="42" xfId="0" applyFont="1" applyFill="1" applyBorder="1" applyAlignment="1">
      <alignment vertical="center"/>
    </xf>
    <xf numFmtId="2" fontId="6" fillId="21" borderId="69" xfId="0" applyNumberFormat="1" applyFont="1" applyFill="1" applyBorder="1"/>
    <xf numFmtId="0" fontId="5" fillId="33" borderId="54" xfId="0" applyFont="1" applyFill="1" applyBorder="1" applyAlignment="1">
      <alignment horizontal="left" wrapText="1"/>
    </xf>
    <xf numFmtId="2" fontId="5" fillId="33" borderId="54" xfId="0" applyNumberFormat="1" applyFont="1" applyFill="1" applyBorder="1"/>
    <xf numFmtId="2" fontId="6" fillId="33" borderId="66" xfId="0" applyNumberFormat="1" applyFont="1" applyFill="1" applyBorder="1"/>
    <xf numFmtId="192" fontId="5" fillId="21" borderId="69" xfId="0" applyNumberFormat="1" applyFont="1" applyFill="1" applyBorder="1" applyAlignment="1">
      <alignment horizontal="right"/>
    </xf>
    <xf numFmtId="165" fontId="5" fillId="33" borderId="69" xfId="0" applyNumberFormat="1" applyFont="1" applyFill="1" applyBorder="1"/>
    <xf numFmtId="0" fontId="6" fillId="33" borderId="118" xfId="0" applyFont="1" applyFill="1" applyBorder="1"/>
    <xf numFmtId="2" fontId="6" fillId="33" borderId="118" xfId="0" applyNumberFormat="1" applyFont="1" applyFill="1" applyBorder="1"/>
    <xf numFmtId="165" fontId="6" fillId="33" borderId="118" xfId="0" applyNumberFormat="1" applyFont="1" applyFill="1" applyBorder="1"/>
    <xf numFmtId="0" fontId="5" fillId="33" borderId="113" xfId="0" applyFont="1" applyFill="1" applyBorder="1"/>
    <xf numFmtId="0" fontId="5" fillId="33" borderId="42" xfId="0" applyFont="1" applyFill="1" applyBorder="1"/>
    <xf numFmtId="0" fontId="5" fillId="33" borderId="28" xfId="0" applyFont="1" applyFill="1" applyBorder="1"/>
    <xf numFmtId="0" fontId="5" fillId="33" borderId="28" xfId="0" applyFont="1" applyFill="1" applyBorder="1" applyAlignment="1">
      <alignment wrapText="1"/>
    </xf>
    <xf numFmtId="0" fontId="5" fillId="33" borderId="61" xfId="0" applyFont="1" applyFill="1" applyBorder="1"/>
    <xf numFmtId="0" fontId="6" fillId="35" borderId="0" xfId="0" applyFont="1" applyFill="1" applyAlignment="1">
      <alignment horizontal="right"/>
    </xf>
    <xf numFmtId="192" fontId="5" fillId="33" borderId="54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2" fontId="5" fillId="33" borderId="67" xfId="0" applyNumberFormat="1" applyFont="1" applyFill="1" applyBorder="1" applyAlignment="1">
      <alignment horizontal="right"/>
    </xf>
    <xf numFmtId="2" fontId="5" fillId="0" borderId="0" xfId="0" applyNumberFormat="1" applyFont="1" applyAlignment="1">
      <alignment horizontal="right"/>
    </xf>
    <xf numFmtId="2" fontId="5" fillId="33" borderId="54" xfId="0" applyNumberFormat="1" applyFont="1" applyFill="1" applyBorder="1" applyAlignment="1">
      <alignment horizontal="right"/>
    </xf>
    <xf numFmtId="0" fontId="6" fillId="35" borderId="0" xfId="0" applyFont="1" applyFill="1" applyAlignment="1">
      <alignment horizontal="right" wrapText="1"/>
    </xf>
    <xf numFmtId="0" fontId="5" fillId="33" borderId="54" xfId="0" applyFont="1" applyFill="1" applyBorder="1" applyAlignment="1">
      <alignment horizontal="right"/>
    </xf>
    <xf numFmtId="0" fontId="5" fillId="33" borderId="69" xfId="0" applyFont="1" applyFill="1" applyBorder="1" applyAlignment="1">
      <alignment horizontal="right"/>
    </xf>
    <xf numFmtId="0" fontId="5" fillId="0" borderId="26" xfId="0" applyFont="1" applyBorder="1" applyAlignment="1">
      <alignment wrapText="1"/>
    </xf>
    <xf numFmtId="2" fontId="5" fillId="21" borderId="69" xfId="0" applyNumberFormat="1" applyFont="1" applyFill="1" applyBorder="1"/>
    <xf numFmtId="2" fontId="5" fillId="21" borderId="26" xfId="0" applyNumberFormat="1" applyFont="1" applyFill="1" applyBorder="1"/>
    <xf numFmtId="0" fontId="5" fillId="42" borderId="0" xfId="0" applyFont="1" applyFill="1"/>
    <xf numFmtId="0" fontId="6" fillId="42" borderId="0" xfId="0" applyFont="1" applyFill="1"/>
    <xf numFmtId="0" fontId="6" fillId="42" borderId="0" xfId="0" applyFont="1" applyFill="1" applyAlignment="1">
      <alignment wrapText="1"/>
    </xf>
    <xf numFmtId="0" fontId="0" fillId="42" borderId="0" xfId="0" applyFill="1"/>
    <xf numFmtId="2" fontId="5" fillId="0" borderId="26" xfId="0" applyNumberFormat="1" applyFont="1" applyBorder="1"/>
    <xf numFmtId="1" fontId="5" fillId="0" borderId="26" xfId="0" applyNumberFormat="1" applyFont="1" applyBorder="1"/>
    <xf numFmtId="0" fontId="5" fillId="21" borderId="0" xfId="0" applyFont="1" applyFill="1" applyAlignment="1">
      <alignment wrapText="1"/>
    </xf>
    <xf numFmtId="49" fontId="0" fillId="0" borderId="0" xfId="0" applyNumberFormat="1"/>
    <xf numFmtId="2" fontId="51" fillId="0" borderId="67" xfId="0" applyNumberFormat="1" applyFont="1" applyBorder="1"/>
    <xf numFmtId="0" fontId="0" fillId="0" borderId="27" xfId="0" applyBorder="1"/>
    <xf numFmtId="0" fontId="5" fillId="0" borderId="113" xfId="0" applyFont="1" applyBorder="1"/>
    <xf numFmtId="2" fontId="5" fillId="0" borderId="113" xfId="0" applyNumberFormat="1" applyFont="1" applyBorder="1"/>
    <xf numFmtId="4" fontId="5" fillId="43" borderId="67" xfId="0" applyNumberFormat="1" applyFont="1" applyFill="1" applyBorder="1"/>
    <xf numFmtId="4" fontId="5" fillId="43" borderId="113" xfId="0" applyNumberFormat="1" applyFont="1" applyFill="1" applyBorder="1"/>
    <xf numFmtId="0" fontId="0" fillId="0" borderId="111" xfId="0" applyBorder="1"/>
    <xf numFmtId="0" fontId="0" fillId="25" borderId="0" xfId="0" applyFill="1" applyAlignment="1">
      <alignment wrapText="1"/>
    </xf>
    <xf numFmtId="165" fontId="0" fillId="25" borderId="0" xfId="0" applyNumberFormat="1" applyFill="1"/>
    <xf numFmtId="3" fontId="57" fillId="0" borderId="0" xfId="0" applyNumberFormat="1" applyFont="1"/>
    <xf numFmtId="0" fontId="0" fillId="44" borderId="0" xfId="0" applyFill="1"/>
    <xf numFmtId="0" fontId="87" fillId="25" borderId="0" xfId="0" applyFont="1" applyFill="1"/>
    <xf numFmtId="49" fontId="0" fillId="25" borderId="0" xfId="0" applyNumberFormat="1" applyFill="1"/>
    <xf numFmtId="0" fontId="0" fillId="25" borderId="73" xfId="0" applyFill="1" applyBorder="1"/>
    <xf numFmtId="0" fontId="0" fillId="25" borderId="54" xfId="0" applyFill="1" applyBorder="1"/>
    <xf numFmtId="0" fontId="77" fillId="25" borderId="51" xfId="0" applyFont="1" applyFill="1" applyBorder="1"/>
    <xf numFmtId="0" fontId="0" fillId="34" borderId="51" xfId="0" applyFill="1" applyBorder="1" applyAlignment="1">
      <alignment vertical="center" wrapText="1"/>
    </xf>
    <xf numFmtId="0" fontId="88" fillId="25" borderId="0" xfId="0" applyFont="1" applyFill="1"/>
    <xf numFmtId="0" fontId="58" fillId="25" borderId="56" xfId="0" applyFont="1" applyFill="1" applyBorder="1" applyAlignment="1">
      <alignment horizontal="center" vertical="center" wrapText="1"/>
    </xf>
    <xf numFmtId="0" fontId="58" fillId="25" borderId="58" xfId="0" applyFont="1" applyFill="1" applyBorder="1" applyAlignment="1">
      <alignment horizontal="center" vertical="center" wrapText="1"/>
    </xf>
    <xf numFmtId="0" fontId="6" fillId="5" borderId="113" xfId="0" applyFont="1" applyFill="1" applyBorder="1" applyAlignment="1">
      <alignment horizontal="center" vertical="center" wrapText="1"/>
    </xf>
    <xf numFmtId="195" fontId="0" fillId="41" borderId="57" xfId="0" applyNumberFormat="1" applyFill="1" applyBorder="1"/>
    <xf numFmtId="199" fontId="0" fillId="41" borderId="57" xfId="0" applyNumberFormat="1" applyFill="1" applyBorder="1"/>
    <xf numFmtId="0" fontId="0" fillId="25" borderId="57" xfId="0" applyFill="1" applyBorder="1"/>
    <xf numFmtId="0" fontId="0" fillId="0" borderId="105" xfId="0" applyBorder="1"/>
    <xf numFmtId="2" fontId="0" fillId="0" borderId="119" xfId="0" applyNumberFormat="1" applyBorder="1"/>
    <xf numFmtId="0" fontId="0" fillId="0" borderId="114" xfId="0" applyBorder="1"/>
    <xf numFmtId="0" fontId="0" fillId="0" borderId="119" xfId="0" applyBorder="1"/>
    <xf numFmtId="1" fontId="0" fillId="25" borderId="0" xfId="0" applyNumberFormat="1" applyFill="1"/>
    <xf numFmtId="1" fontId="5" fillId="0" borderId="0" xfId="0" applyNumberFormat="1" applyFont="1" applyAlignment="1">
      <alignment wrapText="1"/>
    </xf>
    <xf numFmtId="4" fontId="5" fillId="0" borderId="0" xfId="0" applyNumberFormat="1" applyFont="1" applyAlignment="1">
      <alignment wrapText="1"/>
    </xf>
    <xf numFmtId="0" fontId="61" fillId="25" borderId="0" xfId="0" applyFont="1" applyFill="1"/>
    <xf numFmtId="0" fontId="58" fillId="25" borderId="0" xfId="0" applyFont="1" applyFill="1"/>
    <xf numFmtId="0" fontId="59" fillId="25" borderId="50" xfId="0" applyFont="1" applyFill="1" applyBorder="1" applyAlignment="1">
      <alignment vertical="center"/>
    </xf>
    <xf numFmtId="0" fontId="59" fillId="25" borderId="74" xfId="0" applyFont="1" applyFill="1" applyBorder="1" applyAlignment="1">
      <alignment vertical="center"/>
    </xf>
    <xf numFmtId="0" fontId="0" fillId="5" borderId="120" xfId="0" applyFill="1" applyBorder="1"/>
    <xf numFmtId="0" fontId="0" fillId="39" borderId="52" xfId="0" applyFill="1" applyBorder="1"/>
    <xf numFmtId="0" fontId="86" fillId="25" borderId="54" xfId="0" applyFont="1" applyFill="1" applyBorder="1"/>
    <xf numFmtId="0" fontId="0" fillId="39" borderId="55" xfId="0" applyFill="1" applyBorder="1"/>
    <xf numFmtId="0" fontId="77" fillId="39" borderId="52" xfId="0" applyFont="1" applyFill="1" applyBorder="1"/>
    <xf numFmtId="0" fontId="0" fillId="39" borderId="74" xfId="0" applyFill="1" applyBorder="1"/>
    <xf numFmtId="2" fontId="0" fillId="23" borderId="67" xfId="0" applyNumberFormat="1" applyFill="1" applyBorder="1"/>
    <xf numFmtId="0" fontId="59" fillId="25" borderId="49" xfId="0" applyFont="1" applyFill="1" applyBorder="1"/>
    <xf numFmtId="165" fontId="58" fillId="5" borderId="0" xfId="0" applyNumberFormat="1" applyFont="1" applyFill="1"/>
    <xf numFmtId="0" fontId="0" fillId="5" borderId="49" xfId="0" applyFill="1" applyBorder="1"/>
    <xf numFmtId="0" fontId="59" fillId="5" borderId="92" xfId="0" applyFont="1" applyFill="1" applyBorder="1" applyAlignment="1">
      <alignment vertical="center"/>
    </xf>
    <xf numFmtId="0" fontId="59" fillId="5" borderId="106" xfId="0" applyFont="1" applyFill="1" applyBorder="1" applyAlignment="1">
      <alignment vertical="center"/>
    </xf>
    <xf numFmtId="165" fontId="58" fillId="5" borderId="106" xfId="0" applyNumberFormat="1" applyFont="1" applyFill="1" applyBorder="1"/>
    <xf numFmtId="0" fontId="0" fillId="5" borderId="42" xfId="0" applyFill="1" applyBorder="1"/>
    <xf numFmtId="0" fontId="0" fillId="5" borderId="106" xfId="0" applyFill="1" applyBorder="1"/>
    <xf numFmtId="0" fontId="0" fillId="5" borderId="73" xfId="0" applyFill="1" applyBorder="1"/>
    <xf numFmtId="165" fontId="58" fillId="5" borderId="42" xfId="0" applyNumberFormat="1" applyFont="1" applyFill="1" applyBorder="1"/>
    <xf numFmtId="0" fontId="58" fillId="5" borderId="0" xfId="0" applyFont="1" applyFill="1"/>
    <xf numFmtId="0" fontId="59" fillId="5" borderId="48" xfId="0" applyFont="1" applyFill="1" applyBorder="1" applyAlignment="1">
      <alignment horizontal="left" vertical="center"/>
    </xf>
    <xf numFmtId="0" fontId="59" fillId="5" borderId="49" xfId="0" applyFont="1" applyFill="1" applyBorder="1" applyAlignment="1">
      <alignment horizontal="left" vertical="center"/>
    </xf>
    <xf numFmtId="0" fontId="59" fillId="34" borderId="42" xfId="0" applyFont="1" applyFill="1" applyBorder="1" applyAlignment="1">
      <alignment vertical="center"/>
    </xf>
    <xf numFmtId="0" fontId="59" fillId="34" borderId="74" xfId="0" applyFont="1" applyFill="1" applyBorder="1" applyAlignment="1">
      <alignment vertical="center"/>
    </xf>
    <xf numFmtId="0" fontId="58" fillId="34" borderId="73" xfId="0" applyFont="1" applyFill="1" applyBorder="1"/>
    <xf numFmtId="0" fontId="58" fillId="34" borderId="42" xfId="0" applyFont="1" applyFill="1" applyBorder="1"/>
    <xf numFmtId="202" fontId="58" fillId="40" borderId="42" xfId="152" applyNumberFormat="1" applyFont="1" applyFill="1" applyBorder="1"/>
    <xf numFmtId="201" fontId="58" fillId="40" borderId="0" xfId="152" applyNumberFormat="1" applyFont="1" applyFill="1" applyBorder="1"/>
    <xf numFmtId="0" fontId="58" fillId="34" borderId="71" xfId="0" applyFont="1" applyFill="1" applyBorder="1"/>
    <xf numFmtId="0" fontId="0" fillId="34" borderId="72" xfId="0" applyFill="1" applyBorder="1"/>
    <xf numFmtId="0" fontId="58" fillId="5" borderId="48" xfId="0" applyFont="1" applyFill="1" applyBorder="1"/>
    <xf numFmtId="0" fontId="58" fillId="5" borderId="49" xfId="0" applyFont="1" applyFill="1" applyBorder="1"/>
    <xf numFmtId="202" fontId="58" fillId="5" borderId="49" xfId="152" applyNumberFormat="1" applyFont="1" applyFill="1" applyBorder="1"/>
    <xf numFmtId="166" fontId="88" fillId="25" borderId="0" xfId="0" applyNumberFormat="1" applyFont="1" applyFill="1" applyAlignment="1">
      <alignment horizontal="left" vertical="center"/>
    </xf>
    <xf numFmtId="43" fontId="0" fillId="0" borderId="52" xfId="152" applyFont="1" applyBorder="1"/>
    <xf numFmtId="195" fontId="0" fillId="41" borderId="57" xfId="0" applyNumberFormat="1" applyFill="1" applyBorder="1" applyAlignment="1">
      <alignment horizontal="right"/>
    </xf>
    <xf numFmtId="0" fontId="0" fillId="25" borderId="58" xfId="0" applyFill="1" applyBorder="1"/>
    <xf numFmtId="0" fontId="88" fillId="25" borderId="0" xfId="152" applyNumberFormat="1" applyFont="1" applyFill="1" applyBorder="1"/>
    <xf numFmtId="0" fontId="5" fillId="25" borderId="0" xfId="0" applyFont="1" applyFill="1"/>
    <xf numFmtId="49" fontId="5" fillId="25" borderId="0" xfId="0" applyNumberFormat="1" applyFont="1" applyFill="1"/>
    <xf numFmtId="2" fontId="6" fillId="25" borderId="0" xfId="0" applyNumberFormat="1" applyFont="1" applyFill="1"/>
    <xf numFmtId="2" fontId="5" fillId="25" borderId="0" xfId="0" applyNumberFormat="1" applyFont="1" applyFill="1"/>
    <xf numFmtId="0" fontId="5" fillId="45" borderId="0" xfId="0" applyFont="1" applyFill="1"/>
    <xf numFmtId="0" fontId="6" fillId="45" borderId="0" xfId="0" applyFont="1" applyFill="1"/>
    <xf numFmtId="49" fontId="6" fillId="45" borderId="0" xfId="0" applyNumberFormat="1" applyFont="1" applyFill="1"/>
    <xf numFmtId="2" fontId="5" fillId="45" borderId="0" xfId="0" applyNumberFormat="1" applyFont="1" applyFill="1"/>
    <xf numFmtId="0" fontId="5" fillId="25" borderId="0" xfId="0" applyFont="1" applyFill="1" applyAlignment="1">
      <alignment vertical="center" textRotation="90" wrapText="1"/>
    </xf>
    <xf numFmtId="0" fontId="6" fillId="25" borderId="48" xfId="0" applyFont="1" applyFill="1" applyBorder="1" applyAlignment="1">
      <alignment horizontal="center" vertical="center" wrapText="1"/>
    </xf>
    <xf numFmtId="0" fontId="0" fillId="25" borderId="0" xfId="0" applyFill="1" applyAlignment="1">
      <alignment textRotation="90" wrapText="1"/>
    </xf>
    <xf numFmtId="0" fontId="0" fillId="5" borderId="0" xfId="0" applyFill="1" applyAlignment="1">
      <alignment textRotation="90" wrapText="1"/>
    </xf>
    <xf numFmtId="0" fontId="58" fillId="5" borderId="107" xfId="0" applyFont="1" applyFill="1" applyBorder="1"/>
    <xf numFmtId="0" fontId="58" fillId="5" borderId="28" xfId="0" applyFont="1" applyFill="1" applyBorder="1"/>
    <xf numFmtId="165" fontId="58" fillId="5" borderId="28" xfId="0" applyNumberFormat="1" applyFont="1" applyFill="1" applyBorder="1"/>
    <xf numFmtId="0" fontId="0" fillId="5" borderId="28" xfId="0" applyFill="1" applyBorder="1"/>
    <xf numFmtId="0" fontId="0" fillId="5" borderId="121" xfId="0" applyFill="1" applyBorder="1"/>
    <xf numFmtId="0" fontId="89" fillId="25" borderId="56" xfId="0" applyFont="1" applyFill="1" applyBorder="1" applyAlignment="1">
      <alignment wrapText="1"/>
    </xf>
    <xf numFmtId="1" fontId="5" fillId="24" borderId="104" xfId="0" applyNumberFormat="1" applyFont="1" applyFill="1" applyBorder="1"/>
    <xf numFmtId="1" fontId="5" fillId="24" borderId="70" xfId="0" applyNumberFormat="1" applyFont="1" applyFill="1" applyBorder="1"/>
    <xf numFmtId="1" fontId="5" fillId="24" borderId="59" xfId="0" applyNumberFormat="1" applyFont="1" applyFill="1" applyBorder="1"/>
    <xf numFmtId="1" fontId="5" fillId="32" borderId="70" xfId="0" applyNumberFormat="1" applyFont="1" applyFill="1" applyBorder="1"/>
    <xf numFmtId="0" fontId="6" fillId="5" borderId="69" xfId="0" applyFont="1" applyFill="1" applyBorder="1"/>
    <xf numFmtId="0" fontId="6" fillId="5" borderId="69" xfId="0" applyFont="1" applyFill="1" applyBorder="1" applyAlignment="1">
      <alignment wrapText="1"/>
    </xf>
    <xf numFmtId="0" fontId="6" fillId="5" borderId="38" xfId="0" applyFont="1" applyFill="1" applyBorder="1" applyAlignment="1">
      <alignment wrapText="1"/>
    </xf>
    <xf numFmtId="0" fontId="58" fillId="5" borderId="69" xfId="0" applyFont="1" applyFill="1" applyBorder="1" applyAlignment="1">
      <alignment wrapText="1"/>
    </xf>
    <xf numFmtId="0" fontId="0" fillId="5" borderId="69" xfId="0" applyFill="1" applyBorder="1" applyAlignment="1">
      <alignment wrapText="1"/>
    </xf>
    <xf numFmtId="0" fontId="0" fillId="5" borderId="38" xfId="0" applyFill="1" applyBorder="1" applyAlignment="1">
      <alignment wrapText="1"/>
    </xf>
    <xf numFmtId="0" fontId="0" fillId="24" borderId="63" xfId="0" applyFill="1" applyBorder="1"/>
    <xf numFmtId="165" fontId="0" fillId="24" borderId="63" xfId="0" applyNumberFormat="1" applyFill="1" applyBorder="1"/>
    <xf numFmtId="165" fontId="0" fillId="24" borderId="102" xfId="0" applyNumberFormat="1" applyFill="1" applyBorder="1"/>
    <xf numFmtId="1" fontId="0" fillId="5" borderId="66" xfId="0" applyNumberFormat="1" applyFill="1" applyBorder="1"/>
    <xf numFmtId="165" fontId="0" fillId="5" borderId="54" xfId="0" applyNumberFormat="1" applyFill="1" applyBorder="1"/>
    <xf numFmtId="165" fontId="0" fillId="5" borderId="118" xfId="0" applyNumberFormat="1" applyFill="1" applyBorder="1"/>
    <xf numFmtId="0" fontId="5" fillId="24" borderId="62" xfId="0" applyFont="1" applyFill="1" applyBorder="1"/>
    <xf numFmtId="1" fontId="5" fillId="24" borderId="63" xfId="0" applyNumberFormat="1" applyFont="1" applyFill="1" applyBorder="1"/>
    <xf numFmtId="0" fontId="5" fillId="5" borderId="113" xfId="0" applyFont="1" applyFill="1" applyBorder="1"/>
    <xf numFmtId="0" fontId="0" fillId="5" borderId="66" xfId="0" applyFill="1" applyBorder="1"/>
    <xf numFmtId="1" fontId="5" fillId="5" borderId="66" xfId="0" applyNumberFormat="1" applyFont="1" applyFill="1" applyBorder="1"/>
    <xf numFmtId="165" fontId="5" fillId="5" borderId="66" xfId="0" applyNumberFormat="1" applyFont="1" applyFill="1" applyBorder="1"/>
    <xf numFmtId="165" fontId="0" fillId="5" borderId="66" xfId="0" applyNumberFormat="1" applyFill="1" applyBorder="1"/>
    <xf numFmtId="0" fontId="6" fillId="5" borderId="118" xfId="0" applyFont="1" applyFill="1" applyBorder="1" applyAlignment="1">
      <alignment horizontal="center" vertical="center" wrapText="1"/>
    </xf>
    <xf numFmtId="0" fontId="5" fillId="21" borderId="66" xfId="0" applyFont="1" applyFill="1" applyBorder="1"/>
    <xf numFmtId="1" fontId="5" fillId="21" borderId="66" xfId="0" applyNumberFormat="1" applyFont="1" applyFill="1" applyBorder="1"/>
    <xf numFmtId="165" fontId="0" fillId="21" borderId="66" xfId="0" applyNumberFormat="1" applyFill="1" applyBorder="1"/>
    <xf numFmtId="165" fontId="0" fillId="21" borderId="103" xfId="0" applyNumberFormat="1" applyFill="1" applyBorder="1"/>
    <xf numFmtId="165" fontId="0" fillId="0" borderId="68" xfId="0" applyNumberFormat="1" applyBorder="1"/>
    <xf numFmtId="165" fontId="0" fillId="0" borderId="35" xfId="0" applyNumberFormat="1" applyBorder="1"/>
    <xf numFmtId="165" fontId="0" fillId="5" borderId="38" xfId="0" applyNumberFormat="1" applyFill="1" applyBorder="1"/>
    <xf numFmtId="165" fontId="0" fillId="0" borderId="111" xfId="0" applyNumberFormat="1" applyBorder="1"/>
    <xf numFmtId="165" fontId="0" fillId="0" borderId="34" xfId="0" applyNumberFormat="1" applyBorder="1"/>
    <xf numFmtId="165" fontId="0" fillId="0" borderId="67" xfId="0" applyNumberFormat="1" applyBorder="1"/>
    <xf numFmtId="0" fontId="90" fillId="5" borderId="0" xfId="0" applyFont="1" applyFill="1" applyAlignment="1">
      <alignment horizontal="center" vertical="center"/>
    </xf>
    <xf numFmtId="0" fontId="91" fillId="5" borderId="69" xfId="0" applyFont="1" applyFill="1" applyBorder="1" applyAlignment="1">
      <alignment horizontal="center" vertical="center" wrapText="1"/>
    </xf>
    <xf numFmtId="0" fontId="93" fillId="5" borderId="67" xfId="0" applyFont="1" applyFill="1" applyBorder="1" applyAlignment="1">
      <alignment horizontal="center" vertical="center" wrapText="1"/>
    </xf>
    <xf numFmtId="49" fontId="9" fillId="5" borderId="67" xfId="65" applyNumberFormat="1" applyFill="1" applyBorder="1" applyAlignment="1">
      <alignment horizontal="left" vertical="center"/>
    </xf>
    <xf numFmtId="0" fontId="5" fillId="33" borderId="111" xfId="0" applyFont="1" applyFill="1" applyBorder="1"/>
    <xf numFmtId="0" fontId="51" fillId="5" borderId="67" xfId="0" applyFont="1" applyFill="1" applyBorder="1"/>
    <xf numFmtId="0" fontId="6" fillId="0" borderId="0" xfId="0" applyFont="1" applyAlignment="1">
      <alignment textRotation="90" wrapText="1"/>
    </xf>
    <xf numFmtId="165" fontId="5" fillId="21" borderId="67" xfId="0" applyNumberFormat="1" applyFont="1" applyFill="1" applyBorder="1"/>
    <xf numFmtId="165" fontId="0" fillId="21" borderId="0" xfId="0" applyNumberFormat="1" applyFill="1"/>
    <xf numFmtId="0" fontId="0" fillId="21" borderId="67" xfId="0" applyFill="1" applyBorder="1"/>
    <xf numFmtId="49" fontId="5" fillId="5" borderId="0" xfId="0" applyNumberFormat="1" applyFont="1" applyFill="1" applyAlignment="1">
      <alignment horizontal="left"/>
    </xf>
    <xf numFmtId="49" fontId="9" fillId="5" borderId="0" xfId="65" applyNumberFormat="1" applyFill="1" applyAlignment="1">
      <alignment horizontal="left" vertical="center"/>
    </xf>
    <xf numFmtId="0" fontId="5" fillId="22" borderId="0" xfId="0" applyFont="1" applyFill="1"/>
    <xf numFmtId="2" fontId="5" fillId="22" borderId="0" xfId="0" applyNumberFormat="1" applyFont="1" applyFill="1"/>
    <xf numFmtId="1" fontId="5" fillId="25" borderId="123" xfId="0" applyNumberFormat="1" applyFont="1" applyFill="1" applyBorder="1"/>
    <xf numFmtId="0" fontId="5" fillId="5" borderId="0" xfId="0" applyFont="1" applyFill="1" applyAlignment="1">
      <alignment horizontal="left" wrapText="1"/>
    </xf>
    <xf numFmtId="2" fontId="5" fillId="5" borderId="0" xfId="0" applyNumberFormat="1" applyFont="1" applyFill="1" applyAlignment="1">
      <alignment horizontal="right"/>
    </xf>
    <xf numFmtId="192" fontId="5" fillId="5" borderId="0" xfId="0" applyNumberFormat="1" applyFont="1" applyFill="1" applyAlignment="1">
      <alignment horizontal="right"/>
    </xf>
    <xf numFmtId="165" fontId="5" fillId="5" borderId="0" xfId="0" applyNumberFormat="1" applyFont="1" applyFill="1"/>
    <xf numFmtId="0" fontId="5" fillId="33" borderId="40" xfId="0" applyFont="1" applyFill="1" applyBorder="1"/>
    <xf numFmtId="0" fontId="52" fillId="33" borderId="99" xfId="65" applyFont="1" applyFill="1" applyBorder="1" applyAlignment="1">
      <alignment horizontal="left" vertical="center" wrapText="1"/>
    </xf>
    <xf numFmtId="2" fontId="5" fillId="33" borderId="93" xfId="0" applyNumberFormat="1" applyFont="1" applyFill="1" applyBorder="1" applyAlignment="1">
      <alignment horizontal="right"/>
    </xf>
    <xf numFmtId="192" fontId="5" fillId="21" borderId="93" xfId="0" applyNumberFormat="1" applyFont="1" applyFill="1" applyBorder="1" applyAlignment="1">
      <alignment horizontal="right"/>
    </xf>
    <xf numFmtId="4" fontId="5" fillId="5" borderId="0" xfId="0" applyNumberFormat="1" applyFont="1" applyFill="1"/>
    <xf numFmtId="0" fontId="6" fillId="5" borderId="0" xfId="0" applyFont="1" applyFill="1" applyAlignment="1">
      <alignment wrapText="1"/>
    </xf>
    <xf numFmtId="49" fontId="6" fillId="5" borderId="0" xfId="0" applyNumberFormat="1" applyFont="1" applyFill="1"/>
    <xf numFmtId="1" fontId="6" fillId="5" borderId="0" xfId="0" applyNumberFormat="1" applyFont="1" applyFill="1" applyAlignment="1">
      <alignment wrapText="1"/>
    </xf>
    <xf numFmtId="4" fontId="6" fillId="5" borderId="0" xfId="0" applyNumberFormat="1" applyFont="1" applyFill="1" applyAlignment="1">
      <alignment wrapText="1"/>
    </xf>
    <xf numFmtId="49" fontId="5" fillId="0" borderId="94" xfId="0" applyNumberFormat="1" applyFont="1" applyBorder="1"/>
    <xf numFmtId="0" fontId="5" fillId="34" borderId="28" xfId="0" applyFont="1" applyFill="1" applyBorder="1"/>
    <xf numFmtId="0" fontId="5" fillId="34" borderId="68" xfId="0" applyFont="1" applyFill="1" applyBorder="1"/>
    <xf numFmtId="0" fontId="5" fillId="21" borderId="68" xfId="0" applyFont="1" applyFill="1" applyBorder="1"/>
    <xf numFmtId="14" fontId="0" fillId="5" borderId="0" xfId="0" applyNumberFormat="1" applyFill="1" applyAlignment="1">
      <alignment horizontal="left"/>
    </xf>
    <xf numFmtId="0" fontId="5" fillId="5" borderId="67" xfId="0" applyFont="1" applyFill="1" applyBorder="1" applyAlignment="1">
      <alignment wrapText="1"/>
    </xf>
    <xf numFmtId="0" fontId="5" fillId="0" borderId="69" xfId="0" applyFont="1" applyBorder="1" applyAlignment="1">
      <alignment wrapText="1"/>
    </xf>
    <xf numFmtId="14" fontId="79" fillId="5" borderId="0" xfId="0" applyNumberFormat="1" applyFont="1" applyFill="1" applyAlignment="1">
      <alignment horizontal="left"/>
    </xf>
    <xf numFmtId="0" fontId="96" fillId="0" borderId="0" xfId="0" applyFont="1" applyAlignment="1">
      <alignment horizontal="left" vertical="top"/>
    </xf>
    <xf numFmtId="1" fontId="5" fillId="25" borderId="68" xfId="0" applyNumberFormat="1" applyFont="1" applyFill="1" applyBorder="1"/>
    <xf numFmtId="2" fontId="5" fillId="5" borderId="113" xfId="0" applyNumberFormat="1" applyFont="1" applyFill="1" applyBorder="1"/>
    <xf numFmtId="0" fontId="5" fillId="5" borderId="67" xfId="0" quotePrefix="1" applyFont="1" applyFill="1" applyBorder="1" applyAlignment="1">
      <alignment horizontal="left"/>
    </xf>
    <xf numFmtId="0" fontId="6" fillId="25" borderId="0" xfId="0" applyFont="1" applyFill="1" applyAlignment="1">
      <alignment wrapText="1"/>
    </xf>
    <xf numFmtId="2" fontId="5" fillId="25" borderId="67" xfId="0" applyNumberFormat="1" applyFont="1" applyFill="1" applyBorder="1"/>
    <xf numFmtId="4" fontId="6" fillId="25" borderId="94" xfId="0" applyNumberFormat="1" applyFont="1" applyFill="1" applyBorder="1"/>
    <xf numFmtId="2" fontId="6" fillId="25" borderId="94" xfId="0" applyNumberFormat="1" applyFont="1" applyFill="1" applyBorder="1"/>
    <xf numFmtId="2" fontId="6" fillId="25" borderId="100" xfId="0" applyNumberFormat="1" applyFont="1" applyFill="1" applyBorder="1"/>
    <xf numFmtId="2" fontId="6" fillId="25" borderId="113" xfId="0" applyNumberFormat="1" applyFont="1" applyFill="1" applyBorder="1"/>
    <xf numFmtId="0" fontId="6" fillId="25" borderId="0" xfId="0" applyFont="1" applyFill="1"/>
    <xf numFmtId="2" fontId="6" fillId="25" borderId="67" xfId="0" applyNumberFormat="1" applyFont="1" applyFill="1" applyBorder="1"/>
    <xf numFmtId="2" fontId="5" fillId="25" borderId="113" xfId="0" applyNumberFormat="1" applyFont="1" applyFill="1" applyBorder="1"/>
    <xf numFmtId="2" fontId="5" fillId="25" borderId="94" xfId="0" applyNumberFormat="1" applyFont="1" applyFill="1" applyBorder="1"/>
    <xf numFmtId="0" fontId="5" fillId="0" borderId="113" xfId="0" applyFont="1" applyBorder="1" applyAlignment="1">
      <alignment wrapText="1"/>
    </xf>
    <xf numFmtId="0" fontId="6" fillId="0" borderId="38" xfId="0" applyFont="1" applyBorder="1"/>
    <xf numFmtId="2" fontId="6" fillId="25" borderId="69" xfId="0" applyNumberFormat="1" applyFont="1" applyFill="1" applyBorder="1"/>
    <xf numFmtId="2" fontId="6" fillId="0" borderId="38" xfId="0" applyNumberFormat="1" applyFont="1" applyBorder="1"/>
    <xf numFmtId="2" fontId="5" fillId="5" borderId="34" xfId="0" applyNumberFormat="1" applyFont="1" applyFill="1" applyBorder="1"/>
    <xf numFmtId="0" fontId="5" fillId="0" borderId="0" xfId="0" applyFont="1" applyAlignment="1">
      <alignment horizontal="center"/>
    </xf>
    <xf numFmtId="0" fontId="5" fillId="0" borderId="27" xfId="0" applyFont="1" applyBorder="1" applyAlignment="1">
      <alignment wrapText="1"/>
    </xf>
    <xf numFmtId="49" fontId="5" fillId="0" borderId="0" xfId="0" applyNumberFormat="1" applyFont="1" applyAlignment="1">
      <alignment horizontal="left"/>
    </xf>
    <xf numFmtId="0" fontId="51" fillId="5" borderId="0" xfId="0" applyFont="1" applyFill="1"/>
    <xf numFmtId="0" fontId="5" fillId="23" borderId="67" xfId="0" applyFont="1" applyFill="1" applyBorder="1" applyAlignment="1">
      <alignment wrapText="1"/>
    </xf>
    <xf numFmtId="0" fontId="5" fillId="23" borderId="38" xfId="0" applyFont="1" applyFill="1" applyBorder="1"/>
    <xf numFmtId="0" fontId="6" fillId="21" borderId="96" xfId="0" applyFont="1" applyFill="1" applyBorder="1" applyAlignment="1">
      <alignment wrapText="1"/>
    </xf>
    <xf numFmtId="0" fontId="5" fillId="0" borderId="111" xfId="0" applyFont="1" applyBorder="1"/>
    <xf numFmtId="0" fontId="5" fillId="5" borderId="111" xfId="0" applyFont="1" applyFill="1" applyBorder="1"/>
    <xf numFmtId="0" fontId="5" fillId="0" borderId="124" xfId="0" applyFont="1" applyBorder="1"/>
    <xf numFmtId="0" fontId="5" fillId="21" borderId="0" xfId="0" applyFont="1" applyFill="1" applyAlignment="1">
      <alignment horizontal="center"/>
    </xf>
    <xf numFmtId="2" fontId="5" fillId="21" borderId="0" xfId="0" applyNumberFormat="1" applyFont="1" applyFill="1" applyAlignment="1">
      <alignment horizontal="right"/>
    </xf>
    <xf numFmtId="0" fontId="5" fillId="21" borderId="0" xfId="0" applyFont="1" applyFill="1" applyAlignment="1">
      <alignment horizontal="center" wrapText="1"/>
    </xf>
    <xf numFmtId="4" fontId="5" fillId="5" borderId="34" xfId="0" applyNumberFormat="1" applyFont="1" applyFill="1" applyBorder="1"/>
    <xf numFmtId="169" fontId="9" fillId="5" borderId="99" xfId="111" applyNumberFormat="1" applyFill="1" applyBorder="1" applyAlignment="1">
      <alignment horizontal="left" vertical="center"/>
    </xf>
    <xf numFmtId="0" fontId="5" fillId="5" borderId="93" xfId="0" applyFont="1" applyFill="1" applyBorder="1" applyAlignment="1">
      <alignment wrapText="1"/>
    </xf>
    <xf numFmtId="1" fontId="5" fillId="0" borderId="93" xfId="0" applyNumberFormat="1" applyFont="1" applyBorder="1" applyAlignment="1">
      <alignment horizontal="right"/>
    </xf>
    <xf numFmtId="4" fontId="5" fillId="0" borderId="93" xfId="0" applyNumberFormat="1" applyFont="1" applyBorder="1" applyAlignment="1">
      <alignment horizontal="right"/>
    </xf>
    <xf numFmtId="49" fontId="52" fillId="0" borderId="67" xfId="65" quotePrefix="1" applyNumberFormat="1" applyFont="1" applyBorder="1" applyAlignment="1">
      <alignment horizontal="left" vertical="center"/>
    </xf>
    <xf numFmtId="49" fontId="52" fillId="0" borderId="93" xfId="65" quotePrefix="1" applyNumberFormat="1" applyFont="1" applyBorder="1" applyAlignment="1">
      <alignment horizontal="left" vertical="center"/>
    </xf>
    <xf numFmtId="0" fontId="6" fillId="21" borderId="111" xfId="0" applyFont="1" applyFill="1" applyBorder="1" applyAlignment="1">
      <alignment wrapText="1"/>
    </xf>
    <xf numFmtId="0" fontId="6" fillId="21" borderId="93" xfId="0" applyFont="1" applyFill="1" applyBorder="1" applyAlignment="1">
      <alignment wrapText="1"/>
    </xf>
    <xf numFmtId="4" fontId="5" fillId="0" borderId="34" xfId="0" applyNumberFormat="1" applyFont="1" applyBorder="1" applyAlignment="1">
      <alignment horizontal="right"/>
    </xf>
    <xf numFmtId="4" fontId="5" fillId="0" borderId="34" xfId="0" applyNumberFormat="1" applyFont="1" applyBorder="1"/>
    <xf numFmtId="4" fontId="5" fillId="33" borderId="34" xfId="0" applyNumberFormat="1" applyFont="1" applyFill="1" applyBorder="1"/>
    <xf numFmtId="165" fontId="5" fillId="33" borderId="34" xfId="0" applyNumberFormat="1" applyFont="1" applyFill="1" applyBorder="1"/>
    <xf numFmtId="0" fontId="52" fillId="5" borderId="0" xfId="65" applyFont="1" applyFill="1" applyAlignment="1">
      <alignment vertical="center" wrapText="1"/>
    </xf>
    <xf numFmtId="0" fontId="52" fillId="0" borderId="35" xfId="65" applyFont="1" applyBorder="1" applyAlignment="1">
      <alignment vertical="center" wrapText="1"/>
    </xf>
    <xf numFmtId="4" fontId="5" fillId="0" borderId="26" xfId="0" applyNumberFormat="1" applyFont="1" applyBorder="1"/>
    <xf numFmtId="4" fontId="5" fillId="0" borderId="41" xfId="0" applyNumberFormat="1" applyFont="1" applyBorder="1"/>
    <xf numFmtId="0" fontId="6" fillId="0" borderId="111" xfId="0" applyFont="1" applyBorder="1" applyAlignment="1">
      <alignment wrapText="1"/>
    </xf>
    <xf numFmtId="0" fontId="5" fillId="0" borderId="111" xfId="0" applyFont="1" applyBorder="1" applyAlignment="1">
      <alignment horizontal="center"/>
    </xf>
    <xf numFmtId="0" fontId="5" fillId="0" borderId="94" xfId="0" applyFont="1" applyBorder="1" applyAlignment="1">
      <alignment wrapText="1"/>
    </xf>
    <xf numFmtId="49" fontId="52" fillId="0" borderId="94" xfId="65" applyNumberFormat="1" applyFont="1" applyBorder="1" applyAlignment="1">
      <alignment horizontal="left" vertical="center"/>
    </xf>
    <xf numFmtId="1" fontId="5" fillId="0" borderId="94" xfId="0" applyNumberFormat="1" applyFont="1" applyBorder="1"/>
    <xf numFmtId="4" fontId="5" fillId="0" borderId="94" xfId="0" applyNumberFormat="1" applyFont="1" applyBorder="1"/>
    <xf numFmtId="4" fontId="5" fillId="0" borderId="96" xfId="0" applyNumberFormat="1" applyFont="1" applyBorder="1"/>
    <xf numFmtId="0" fontId="6" fillId="0" borderId="93" xfId="0" applyFont="1" applyBorder="1" applyAlignment="1">
      <alignment wrapText="1"/>
    </xf>
    <xf numFmtId="0" fontId="5" fillId="0" borderId="93" xfId="0" applyFont="1" applyBorder="1" applyAlignment="1">
      <alignment horizontal="center"/>
    </xf>
    <xf numFmtId="0" fontId="5" fillId="0" borderId="111" xfId="0" applyFont="1" applyBorder="1" applyAlignment="1">
      <alignment wrapText="1"/>
    </xf>
    <xf numFmtId="0" fontId="5" fillId="21" borderId="111" xfId="0" applyFont="1" applyFill="1" applyBorder="1" applyAlignment="1">
      <alignment horizontal="center" wrapText="1"/>
    </xf>
    <xf numFmtId="49" fontId="52" fillId="5" borderId="93" xfId="65" applyNumberFormat="1" applyFont="1" applyFill="1" applyBorder="1" applyAlignment="1">
      <alignment horizontal="left" vertical="center" wrapText="1"/>
    </xf>
    <xf numFmtId="0" fontId="5" fillId="21" borderId="93" xfId="0" applyFont="1" applyFill="1" applyBorder="1" applyAlignment="1">
      <alignment horizontal="center" wrapText="1"/>
    </xf>
    <xf numFmtId="0" fontId="5" fillId="0" borderId="114" xfId="0" applyFont="1" applyBorder="1"/>
    <xf numFmtId="49" fontId="52" fillId="0" borderId="113" xfId="65" applyNumberFormat="1" applyFont="1" applyBorder="1" applyAlignment="1">
      <alignment horizontal="left" vertical="center"/>
    </xf>
    <xf numFmtId="1" fontId="5" fillId="0" borderId="113" xfId="0" applyNumberFormat="1" applyFont="1" applyBorder="1"/>
    <xf numFmtId="4" fontId="5" fillId="0" borderId="113" xfId="0" applyNumberFormat="1" applyFont="1" applyBorder="1"/>
    <xf numFmtId="4" fontId="5" fillId="0" borderId="27" xfId="0" applyNumberFormat="1" applyFont="1" applyBorder="1"/>
    <xf numFmtId="0" fontId="5" fillId="0" borderId="95" xfId="0" applyFont="1" applyBorder="1" applyAlignment="1">
      <alignment wrapText="1"/>
    </xf>
    <xf numFmtId="0" fontId="6" fillId="0" borderId="95" xfId="0" applyFont="1" applyBorder="1" applyAlignment="1">
      <alignment wrapText="1"/>
    </xf>
    <xf numFmtId="0" fontId="5" fillId="0" borderId="95" xfId="0" applyFont="1" applyBorder="1" applyAlignment="1">
      <alignment horizontal="center"/>
    </xf>
    <xf numFmtId="49" fontId="52" fillId="0" borderId="0" xfId="65" applyNumberFormat="1" applyFont="1" applyAlignment="1">
      <alignment horizontal="left" vertical="center"/>
    </xf>
    <xf numFmtId="49" fontId="52" fillId="0" borderId="111" xfId="65" applyNumberFormat="1" applyFont="1" applyBorder="1" applyAlignment="1">
      <alignment horizontal="left" vertical="center"/>
    </xf>
    <xf numFmtId="1" fontId="5" fillId="0" borderId="111" xfId="0" applyNumberFormat="1" applyFont="1" applyBorder="1"/>
    <xf numFmtId="4" fontId="5" fillId="0" borderId="111" xfId="0" applyNumberFormat="1" applyFont="1" applyBorder="1"/>
    <xf numFmtId="49" fontId="5" fillId="0" borderId="26" xfId="0" applyNumberFormat="1" applyFont="1" applyBorder="1"/>
    <xf numFmtId="0" fontId="5" fillId="0" borderId="97" xfId="0" applyFont="1" applyBorder="1" applyAlignment="1">
      <alignment wrapText="1"/>
    </xf>
    <xf numFmtId="2" fontId="5" fillId="0" borderId="93" xfId="0" applyNumberFormat="1" applyFont="1" applyBorder="1" applyAlignment="1">
      <alignment horizontal="right"/>
    </xf>
    <xf numFmtId="169" fontId="9" fillId="0" borderId="93" xfId="111" applyNumberFormat="1" applyBorder="1" applyAlignment="1">
      <alignment horizontal="left" vertical="center"/>
    </xf>
    <xf numFmtId="1" fontId="5" fillId="25" borderId="0" xfId="0" applyNumberFormat="1" applyFont="1" applyFill="1"/>
    <xf numFmtId="0" fontId="0" fillId="5" borderId="26" xfId="0" applyFill="1" applyBorder="1"/>
    <xf numFmtId="1" fontId="5" fillId="25" borderId="25" xfId="0" applyNumberFormat="1" applyFont="1" applyFill="1" applyBorder="1"/>
    <xf numFmtId="0" fontId="52" fillId="25" borderId="0" xfId="0" applyFont="1" applyFill="1"/>
    <xf numFmtId="0" fontId="52" fillId="25" borderId="25" xfId="0" applyFont="1" applyFill="1" applyBorder="1"/>
    <xf numFmtId="0" fontId="0" fillId="25" borderId="25" xfId="0" applyFill="1" applyBorder="1"/>
    <xf numFmtId="0" fontId="0" fillId="25" borderId="34" xfId="0" applyFill="1" applyBorder="1"/>
    <xf numFmtId="49" fontId="52" fillId="0" borderId="0" xfId="65" quotePrefix="1" applyNumberFormat="1" applyFont="1" applyAlignment="1">
      <alignment horizontal="left" vertical="center"/>
    </xf>
    <xf numFmtId="0" fontId="0" fillId="25" borderId="51" xfId="0" applyFill="1" applyBorder="1" applyAlignment="1">
      <alignment horizontal="left"/>
    </xf>
    <xf numFmtId="0" fontId="0" fillId="25" borderId="0" xfId="0" applyFill="1" applyAlignment="1">
      <alignment horizontal="left"/>
    </xf>
    <xf numFmtId="1" fontId="0" fillId="0" borderId="52" xfId="0" applyNumberFormat="1" applyBorder="1"/>
    <xf numFmtId="0" fontId="0" fillId="25" borderId="71" xfId="0" applyFill="1" applyBorder="1" applyAlignment="1">
      <alignment horizontal="left"/>
    </xf>
    <xf numFmtId="1" fontId="0" fillId="0" borderId="111" xfId="0" applyNumberFormat="1" applyBorder="1"/>
    <xf numFmtId="0" fontId="0" fillId="25" borderId="111" xfId="0" applyFill="1" applyBorder="1" applyAlignment="1">
      <alignment horizontal="left"/>
    </xf>
    <xf numFmtId="0" fontId="0" fillId="0" borderId="72" xfId="0" applyBorder="1"/>
    <xf numFmtId="0" fontId="0" fillId="23" borderId="111" xfId="0" applyFill="1" applyBorder="1"/>
    <xf numFmtId="0" fontId="0" fillId="0" borderId="71" xfId="0" applyBorder="1"/>
    <xf numFmtId="0" fontId="97" fillId="0" borderId="0" xfId="0" applyFont="1"/>
    <xf numFmtId="0" fontId="97" fillId="0" borderId="52" xfId="0" applyFont="1" applyBorder="1"/>
    <xf numFmtId="0" fontId="0" fillId="25" borderId="53" xfId="0" applyFill="1" applyBorder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0" fillId="25" borderId="111" xfId="0" applyFill="1" applyBorder="1"/>
    <xf numFmtId="0" fontId="0" fillId="5" borderId="111" xfId="0" applyFill="1" applyBorder="1"/>
    <xf numFmtId="0" fontId="68" fillId="25" borderId="111" xfId="0" applyFont="1" applyFill="1" applyBorder="1"/>
    <xf numFmtId="3" fontId="0" fillId="0" borderId="111" xfId="0" applyNumberFormat="1" applyBorder="1"/>
    <xf numFmtId="0" fontId="61" fillId="25" borderId="111" xfId="0" applyFont="1" applyFill="1" applyBorder="1"/>
    <xf numFmtId="0" fontId="58" fillId="34" borderId="111" xfId="0" applyFont="1" applyFill="1" applyBorder="1"/>
    <xf numFmtId="202" fontId="58" fillId="40" borderId="111" xfId="152" applyNumberFormat="1" applyFont="1" applyFill="1" applyBorder="1"/>
    <xf numFmtId="0" fontId="58" fillId="5" borderId="111" xfId="0" applyFont="1" applyFill="1" applyBorder="1"/>
    <xf numFmtId="202" fontId="58" fillId="5" borderId="111" xfId="152" applyNumberFormat="1" applyFont="1" applyFill="1" applyBorder="1"/>
    <xf numFmtId="193" fontId="2" fillId="0" borderId="50" xfId="0" applyNumberFormat="1" applyFont="1" applyBorder="1" applyAlignment="1">
      <alignment horizontal="left"/>
    </xf>
    <xf numFmtId="194" fontId="2" fillId="0" borderId="52" xfId="0" applyNumberFormat="1" applyFont="1" applyBorder="1" applyAlignment="1">
      <alignment horizontal="left"/>
    </xf>
    <xf numFmtId="194" fontId="2" fillId="0" borderId="55" xfId="0" applyNumberFormat="1" applyFont="1" applyBorder="1" applyAlignment="1">
      <alignment horizontal="left"/>
    </xf>
    <xf numFmtId="0" fontId="61" fillId="0" borderId="111" xfId="0" applyFont="1" applyBorder="1"/>
    <xf numFmtId="2" fontId="0" fillId="0" borderId="111" xfId="0" applyNumberFormat="1" applyBorder="1"/>
    <xf numFmtId="49" fontId="5" fillId="0" borderId="113" xfId="0" applyNumberFormat="1" applyFont="1" applyBorder="1"/>
    <xf numFmtId="0" fontId="5" fillId="23" borderId="111" xfId="0" applyFont="1" applyFill="1" applyBorder="1"/>
    <xf numFmtId="0" fontId="5" fillId="5" borderId="111" xfId="0" applyFont="1" applyFill="1" applyBorder="1" applyAlignment="1">
      <alignment wrapText="1"/>
    </xf>
    <xf numFmtId="0" fontId="5" fillId="5" borderId="114" xfId="0" applyFont="1" applyFill="1" applyBorder="1"/>
    <xf numFmtId="0" fontId="9" fillId="5" borderId="125" xfId="65" applyFill="1" applyBorder="1" applyAlignment="1">
      <alignment vertical="center"/>
    </xf>
    <xf numFmtId="0" fontId="14" fillId="5" borderId="126" xfId="65" applyFont="1" applyFill="1" applyBorder="1" applyAlignment="1">
      <alignment vertical="center"/>
    </xf>
    <xf numFmtId="0" fontId="14" fillId="5" borderId="125" xfId="65" applyFont="1" applyFill="1" applyBorder="1" applyAlignment="1">
      <alignment vertical="center" wrapText="1"/>
    </xf>
    <xf numFmtId="0" fontId="20" fillId="5" borderId="127" xfId="65" applyFont="1" applyFill="1" applyBorder="1" applyAlignment="1">
      <alignment vertical="center" wrapText="1"/>
    </xf>
    <xf numFmtId="0" fontId="9" fillId="5" borderId="127" xfId="0" applyFont="1" applyFill="1" applyBorder="1" applyAlignment="1">
      <alignment vertical="center"/>
    </xf>
    <xf numFmtId="0" fontId="37" fillId="5" borderId="125" xfId="0" applyFont="1" applyFill="1" applyBorder="1" applyAlignment="1">
      <alignment horizontal="left" vertical="center" wrapText="1"/>
    </xf>
    <xf numFmtId="0" fontId="9" fillId="5" borderId="126" xfId="0" applyFont="1" applyFill="1" applyBorder="1" applyAlignment="1">
      <alignment vertical="center" wrapText="1"/>
    </xf>
    <xf numFmtId="11" fontId="37" fillId="5" borderId="126" xfId="0" applyNumberFormat="1" applyFont="1" applyFill="1" applyBorder="1" applyAlignment="1">
      <alignment vertical="center" wrapText="1"/>
    </xf>
    <xf numFmtId="11" fontId="37" fillId="5" borderId="126" xfId="0" applyNumberFormat="1" applyFont="1" applyFill="1" applyBorder="1" applyAlignment="1">
      <alignment horizontal="center" vertical="center" wrapText="1"/>
    </xf>
    <xf numFmtId="11" fontId="37" fillId="5" borderId="126" xfId="0" applyNumberFormat="1" applyFont="1" applyFill="1" applyBorder="1" applyAlignment="1">
      <alignment horizontal="left" vertical="center" wrapText="1"/>
    </xf>
    <xf numFmtId="0" fontId="5" fillId="0" borderId="69" xfId="0" applyFont="1" applyBorder="1" applyAlignment="1">
      <alignment wrapText="1"/>
    </xf>
    <xf numFmtId="0" fontId="5" fillId="5" borderId="67" xfId="0" applyFont="1" applyFill="1" applyBorder="1" applyAlignment="1">
      <alignment wrapText="1"/>
    </xf>
    <xf numFmtId="166" fontId="5" fillId="33" borderId="0" xfId="0" applyNumberFormat="1" applyFont="1" applyFill="1"/>
    <xf numFmtId="2" fontId="6" fillId="21" borderId="0" xfId="0" applyNumberFormat="1" applyFont="1" applyFill="1" applyAlignment="1">
      <alignment wrapText="1"/>
    </xf>
    <xf numFmtId="0" fontId="5" fillId="0" borderId="40" xfId="0" applyFont="1" applyBorder="1"/>
    <xf numFmtId="49" fontId="52" fillId="0" borderId="69" xfId="65" applyNumberFormat="1" applyFont="1" applyBorder="1" applyAlignment="1">
      <alignment horizontal="left" vertical="center"/>
    </xf>
    <xf numFmtId="1" fontId="5" fillId="0" borderId="69" xfId="0" applyNumberFormat="1" applyFont="1" applyBorder="1"/>
    <xf numFmtId="4" fontId="5" fillId="0" borderId="69" xfId="0" applyNumberFormat="1" applyFont="1" applyBorder="1"/>
    <xf numFmtId="4" fontId="5" fillId="0" borderId="38" xfId="0" applyNumberFormat="1" applyFont="1" applyBorder="1"/>
    <xf numFmtId="0" fontId="5" fillId="0" borderId="0" xfId="0" applyFont="1" applyBorder="1" applyAlignment="1">
      <alignment wrapText="1"/>
    </xf>
    <xf numFmtId="0" fontId="5" fillId="0" borderId="0" xfId="0" applyFont="1" applyBorder="1"/>
    <xf numFmtId="49" fontId="52" fillId="0" borderId="0" xfId="65" applyNumberFormat="1" applyFont="1" applyBorder="1" applyAlignment="1">
      <alignment horizontal="left" vertical="center"/>
    </xf>
    <xf numFmtId="1" fontId="5" fillId="0" borderId="0" xfId="0" applyNumberFormat="1" applyFont="1" applyBorder="1"/>
    <xf numFmtId="4" fontId="5" fillId="0" borderId="0" xfId="0" applyNumberFormat="1" applyFont="1" applyBorder="1"/>
    <xf numFmtId="0" fontId="6" fillId="0" borderId="0" xfId="0" applyFont="1" applyBorder="1" applyAlignment="1">
      <alignment wrapText="1"/>
    </xf>
    <xf numFmtId="0" fontId="5" fillId="0" borderId="0" xfId="0" applyFont="1" applyBorder="1" applyAlignment="1">
      <alignment horizontal="center"/>
    </xf>
    <xf numFmtId="49" fontId="52" fillId="0" borderId="93" xfId="65" applyNumberFormat="1" applyFont="1" applyBorder="1" applyAlignment="1">
      <alignment horizontal="left" vertical="center"/>
    </xf>
    <xf numFmtId="2" fontId="6" fillId="21" borderId="93" xfId="0" applyNumberFormat="1" applyFont="1" applyFill="1" applyBorder="1" applyAlignment="1">
      <alignment wrapText="1"/>
    </xf>
    <xf numFmtId="0" fontId="52" fillId="5" borderId="40" xfId="65" applyFont="1" applyFill="1" applyBorder="1" applyAlignment="1">
      <alignment vertical="center" wrapText="1"/>
    </xf>
    <xf numFmtId="49" fontId="52" fillId="5" borderId="129" xfId="65" applyNumberFormat="1" applyFont="1" applyFill="1" applyBorder="1" applyAlignment="1">
      <alignment horizontal="left" vertical="center" wrapText="1"/>
    </xf>
    <xf numFmtId="0" fontId="52" fillId="5" borderId="0" xfId="65" applyFont="1" applyFill="1" applyBorder="1" applyAlignment="1">
      <alignment vertical="center" wrapText="1"/>
    </xf>
    <xf numFmtId="49" fontId="52" fillId="5" borderId="0" xfId="65" applyNumberFormat="1" applyFont="1" applyFill="1" applyBorder="1" applyAlignment="1">
      <alignment horizontal="left" vertical="center" wrapText="1"/>
    </xf>
    <xf numFmtId="0" fontId="6" fillId="21" borderId="0" xfId="0" applyFont="1" applyFill="1" applyBorder="1" applyAlignment="1">
      <alignment wrapText="1"/>
    </xf>
    <xf numFmtId="0" fontId="5" fillId="21" borderId="0" xfId="0" applyFont="1" applyFill="1" applyBorder="1" applyAlignment="1">
      <alignment horizontal="center" wrapText="1"/>
    </xf>
    <xf numFmtId="0" fontId="52" fillId="5" borderId="93" xfId="65" applyFont="1" applyFill="1" applyBorder="1" applyAlignment="1">
      <alignment vertical="center" wrapText="1"/>
    </xf>
    <xf numFmtId="2" fontId="6" fillId="21" borderId="93" xfId="0" applyNumberFormat="1" applyFont="1" applyFill="1" applyBorder="1"/>
    <xf numFmtId="169" fontId="9" fillId="0" borderId="0" xfId="111" applyNumberFormat="1" applyBorder="1" applyAlignment="1">
      <alignment horizontal="left" vertical="center"/>
    </xf>
    <xf numFmtId="0" fontId="5" fillId="5" borderId="0" xfId="0" applyFont="1" applyFill="1" applyBorder="1"/>
    <xf numFmtId="49" fontId="5" fillId="5" borderId="0" xfId="0" applyNumberFormat="1" applyFont="1" applyFill="1" applyBorder="1"/>
    <xf numFmtId="1" fontId="5" fillId="5" borderId="0" xfId="0" applyNumberFormat="1" applyFont="1" applyFill="1" applyBorder="1"/>
    <xf numFmtId="4" fontId="5" fillId="5" borderId="0" xfId="0" applyNumberFormat="1" applyFont="1" applyFill="1" applyBorder="1"/>
    <xf numFmtId="0" fontId="5" fillId="5" borderId="34" xfId="0" applyFont="1" applyFill="1" applyBorder="1"/>
    <xf numFmtId="2" fontId="0" fillId="5" borderId="67" xfId="0" applyNumberFormat="1" applyFill="1" applyBorder="1"/>
    <xf numFmtId="0" fontId="5" fillId="5" borderId="67" xfId="0" quotePrefix="1" applyFont="1" applyFill="1" applyBorder="1"/>
    <xf numFmtId="169" fontId="9" fillId="23" borderId="99" xfId="65" quotePrefix="1" applyNumberFormat="1" applyFill="1" applyBorder="1" applyAlignment="1">
      <alignment horizontal="left" vertical="center"/>
    </xf>
    <xf numFmtId="0" fontId="5" fillId="21" borderId="111" xfId="0" applyFont="1" applyFill="1" applyBorder="1" applyAlignment="1">
      <alignment horizontal="center"/>
    </xf>
    <xf numFmtId="2" fontId="0" fillId="5" borderId="111" xfId="0" applyNumberFormat="1" applyFill="1" applyBorder="1"/>
    <xf numFmtId="0" fontId="0" fillId="5" borderId="0" xfId="0" applyFill="1" applyBorder="1"/>
    <xf numFmtId="0" fontId="5" fillId="21" borderId="0" xfId="0" applyFont="1" applyFill="1" applyBorder="1" applyAlignment="1">
      <alignment horizontal="center"/>
    </xf>
    <xf numFmtId="2" fontId="0" fillId="5" borderId="0" xfId="0" applyNumberFormat="1" applyFill="1" applyBorder="1"/>
    <xf numFmtId="0" fontId="0" fillId="25" borderId="72" xfId="0" quotePrefix="1" applyFill="1" applyBorder="1"/>
    <xf numFmtId="165" fontId="0" fillId="41" borderId="70" xfId="0" applyNumberFormat="1" applyFill="1" applyBorder="1"/>
    <xf numFmtId="0" fontId="58" fillId="25" borderId="57" xfId="0" applyFont="1" applyFill="1" applyBorder="1" applyAlignment="1">
      <alignment wrapText="1"/>
    </xf>
    <xf numFmtId="203" fontId="0" fillId="0" borderId="0" xfId="0" applyNumberFormat="1"/>
    <xf numFmtId="0" fontId="0" fillId="0" borderId="0" xfId="0" applyBorder="1"/>
    <xf numFmtId="0" fontId="0" fillId="0" borderId="0" xfId="0" applyFill="1" applyBorder="1"/>
    <xf numFmtId="0" fontId="5" fillId="0" borderId="0" xfId="0" applyFont="1" applyFill="1" applyBorder="1"/>
    <xf numFmtId="49" fontId="5" fillId="0" borderId="0" xfId="0" applyNumberFormat="1" applyFont="1" applyFill="1" applyBorder="1"/>
    <xf numFmtId="0" fontId="6" fillId="0" borderId="0" xfId="0" applyFont="1" applyFill="1" applyBorder="1"/>
    <xf numFmtId="2" fontId="6" fillId="0" borderId="0" xfId="0" applyNumberFormat="1" applyFont="1" applyFill="1" applyBorder="1"/>
    <xf numFmtId="0" fontId="5" fillId="0" borderId="0" xfId="0" applyFont="1" applyFill="1"/>
    <xf numFmtId="0" fontId="82" fillId="5" borderId="0" xfId="0" applyFont="1" applyFill="1" applyAlignment="1">
      <alignment horizontal="center" vertical="center"/>
    </xf>
    <xf numFmtId="0" fontId="0" fillId="38" borderId="0" xfId="0" applyFill="1" applyAlignment="1" applyProtection="1">
      <protection hidden="1"/>
    </xf>
    <xf numFmtId="0" fontId="82" fillId="5" borderId="0" xfId="0" applyFont="1" applyFill="1" applyAlignment="1">
      <alignment horizontal="center"/>
    </xf>
    <xf numFmtId="0" fontId="87" fillId="39" borderId="0" xfId="0" applyFont="1" applyFill="1" applyAlignment="1">
      <alignment horizontal="left"/>
    </xf>
    <xf numFmtId="0" fontId="0" fillId="41" borderId="56" xfId="0" applyFill="1" applyBorder="1" applyAlignment="1">
      <alignment horizontal="center" vertical="center" wrapText="1"/>
    </xf>
    <xf numFmtId="0" fontId="0" fillId="41" borderId="57" xfId="0" applyFill="1" applyBorder="1" applyAlignment="1">
      <alignment horizontal="center" vertical="center" wrapText="1"/>
    </xf>
    <xf numFmtId="0" fontId="0" fillId="41" borderId="58" xfId="0" applyFill="1" applyBorder="1" applyAlignment="1">
      <alignment horizontal="center" vertical="center" wrapText="1"/>
    </xf>
    <xf numFmtId="0" fontId="59" fillId="34" borderId="48" xfId="0" applyFont="1" applyFill="1" applyBorder="1" applyAlignment="1">
      <alignment horizontal="left" vertical="center"/>
    </xf>
    <xf numFmtId="0" fontId="59" fillId="34" borderId="73" xfId="0" applyFont="1" applyFill="1" applyBorder="1" applyAlignment="1">
      <alignment horizontal="left" vertical="center"/>
    </xf>
    <xf numFmtId="0" fontId="59" fillId="25" borderId="48" xfId="0" applyFont="1" applyFill="1" applyBorder="1" applyAlignment="1">
      <alignment horizontal="left" vertical="center"/>
    </xf>
    <xf numFmtId="0" fontId="59" fillId="25" borderId="73" xfId="0" applyFont="1" applyFill="1" applyBorder="1" applyAlignment="1">
      <alignment horizontal="left" vertical="center"/>
    </xf>
    <xf numFmtId="0" fontId="0" fillId="34" borderId="49" xfId="0" applyFill="1" applyBorder="1" applyAlignment="1">
      <alignment horizontal="left" vertical="center"/>
    </xf>
    <xf numFmtId="0" fontId="0" fillId="34" borderId="42" xfId="0" applyFill="1" applyBorder="1" applyAlignment="1">
      <alignment horizontal="left" vertical="center"/>
    </xf>
    <xf numFmtId="0" fontId="58" fillId="25" borderId="56" xfId="0" applyFont="1" applyFill="1" applyBorder="1" applyAlignment="1">
      <alignment horizontal="center" vertical="center" wrapText="1"/>
    </xf>
    <xf numFmtId="0" fontId="58" fillId="25" borderId="58" xfId="0" applyFont="1" applyFill="1" applyBorder="1" applyAlignment="1">
      <alignment horizontal="center" vertical="center" wrapText="1"/>
    </xf>
    <xf numFmtId="0" fontId="58" fillId="25" borderId="104" xfId="0" applyFont="1" applyFill="1" applyBorder="1" applyAlignment="1">
      <alignment horizontal="center" vertical="center" wrapText="1"/>
    </xf>
    <xf numFmtId="0" fontId="84" fillId="5" borderId="0" xfId="0" applyFont="1" applyFill="1" applyAlignment="1">
      <alignment horizontal="center" vertical="center"/>
    </xf>
    <xf numFmtId="0" fontId="59" fillId="25" borderId="49" xfId="0" applyFont="1" applyFill="1" applyBorder="1" applyAlignment="1">
      <alignment horizontal="left" vertical="center"/>
    </xf>
    <xf numFmtId="0" fontId="59" fillId="25" borderId="50" xfId="0" applyFont="1" applyFill="1" applyBorder="1" applyAlignment="1">
      <alignment horizontal="left" vertical="center"/>
    </xf>
    <xf numFmtId="0" fontId="59" fillId="25" borderId="42" xfId="0" applyFont="1" applyFill="1" applyBorder="1" applyAlignment="1">
      <alignment horizontal="left" vertical="center"/>
    </xf>
    <xf numFmtId="0" fontId="59" fillId="25" borderId="74" xfId="0" applyFont="1" applyFill="1" applyBorder="1" applyAlignment="1">
      <alignment horizontal="left" vertical="center"/>
    </xf>
    <xf numFmtId="0" fontId="0" fillId="0" borderId="113" xfId="0" applyBorder="1" applyAlignment="1">
      <alignment horizontal="center" vertical="center" wrapText="1"/>
    </xf>
    <xf numFmtId="0" fontId="0" fillId="0" borderId="67" xfId="0" applyBorder="1" applyAlignment="1">
      <alignment horizontal="center" textRotation="90" wrapText="1"/>
    </xf>
    <xf numFmtId="0" fontId="0" fillId="0" borderId="25" xfId="0" applyBorder="1" applyAlignment="1">
      <alignment horizontal="center" vertical="top" wrapText="1"/>
    </xf>
    <xf numFmtId="0" fontId="0" fillId="0" borderId="67" xfId="0" applyBorder="1" applyAlignment="1">
      <alignment horizontal="center" textRotation="90"/>
    </xf>
    <xf numFmtId="0" fontId="0" fillId="0" borderId="67" xfId="0" applyBorder="1" applyAlignment="1">
      <alignment horizontal="center" vertical="top" wrapText="1"/>
    </xf>
    <xf numFmtId="0" fontId="0" fillId="5" borderId="0" xfId="0" applyFill="1" applyAlignment="1">
      <alignment horizontal="center" wrapText="1"/>
    </xf>
    <xf numFmtId="0" fontId="53" fillId="5" borderId="0" xfId="0" applyFont="1" applyFill="1" applyAlignment="1">
      <alignment horizontal="center"/>
    </xf>
    <xf numFmtId="0" fontId="6" fillId="25" borderId="69" xfId="0" applyFont="1" applyFill="1" applyBorder="1" applyAlignment="1">
      <alignment horizontal="center" vertical="center" wrapText="1"/>
    </xf>
    <xf numFmtId="0" fontId="6" fillId="25" borderId="113" xfId="0" applyFont="1" applyFill="1" applyBorder="1" applyAlignment="1">
      <alignment horizontal="center" vertical="center" wrapText="1"/>
    </xf>
    <xf numFmtId="0" fontId="6" fillId="25" borderId="26" xfId="0" applyFont="1" applyFill="1" applyBorder="1" applyAlignment="1">
      <alignment horizontal="center" vertical="center" wrapText="1"/>
    </xf>
    <xf numFmtId="0" fontId="6" fillId="25" borderId="67" xfId="0" applyFont="1" applyFill="1" applyBorder="1" applyAlignment="1">
      <alignment horizontal="center" vertical="center" wrapText="1"/>
    </xf>
    <xf numFmtId="0" fontId="5" fillId="25" borderId="61" xfId="0" applyFont="1" applyFill="1" applyBorder="1" applyAlignment="1">
      <alignment horizontal="center" vertical="center" textRotation="90" wrapText="1"/>
    </xf>
    <xf numFmtId="0" fontId="5" fillId="25" borderId="64" xfId="0" applyFont="1" applyFill="1" applyBorder="1" applyAlignment="1">
      <alignment horizontal="center" vertical="center" textRotation="90" wrapText="1"/>
    </xf>
    <xf numFmtId="0" fontId="5" fillId="25" borderId="65" xfId="0" applyFont="1" applyFill="1" applyBorder="1" applyAlignment="1">
      <alignment horizontal="center" vertical="center" textRotation="90" wrapText="1"/>
    </xf>
    <xf numFmtId="0" fontId="6" fillId="25" borderId="118" xfId="0" applyFont="1" applyFill="1" applyBorder="1" applyAlignment="1">
      <alignment horizontal="center" vertical="center" wrapText="1"/>
    </xf>
    <xf numFmtId="0" fontId="5" fillId="25" borderId="48" xfId="0" applyFont="1" applyFill="1" applyBorder="1" applyAlignment="1">
      <alignment horizontal="center" vertical="center" textRotation="90" wrapText="1"/>
    </xf>
    <xf numFmtId="0" fontId="5" fillId="25" borderId="51" xfId="0" applyFont="1" applyFill="1" applyBorder="1" applyAlignment="1">
      <alignment horizontal="center" vertical="center" textRotation="90" wrapText="1"/>
    </xf>
    <xf numFmtId="0" fontId="5" fillId="25" borderId="53" xfId="0" applyFont="1" applyFill="1" applyBorder="1" applyAlignment="1">
      <alignment horizontal="center" vertical="center" textRotation="90" wrapText="1"/>
    </xf>
    <xf numFmtId="0" fontId="6" fillId="25" borderId="63" xfId="0" applyFont="1" applyFill="1" applyBorder="1" applyAlignment="1">
      <alignment horizontal="center" vertical="center" wrapText="1"/>
    </xf>
    <xf numFmtId="0" fontId="6" fillId="25" borderId="66" xfId="0" applyFont="1" applyFill="1" applyBorder="1" applyAlignment="1">
      <alignment horizontal="center" vertical="center" wrapText="1"/>
    </xf>
    <xf numFmtId="0" fontId="5" fillId="25" borderId="0" xfId="0" applyFont="1" applyFill="1" applyAlignment="1">
      <alignment horizontal="left" wrapText="1"/>
    </xf>
    <xf numFmtId="0" fontId="92" fillId="5" borderId="61" xfId="0" applyFont="1" applyFill="1" applyBorder="1" applyAlignment="1">
      <alignment horizontal="center" vertical="center" textRotation="90" wrapText="1"/>
    </xf>
    <xf numFmtId="0" fontId="92" fillId="5" borderId="64" xfId="0" applyFont="1" applyFill="1" applyBorder="1" applyAlignment="1">
      <alignment horizontal="center" vertical="center" textRotation="90" wrapText="1"/>
    </xf>
    <xf numFmtId="0" fontId="92" fillId="5" borderId="65" xfId="0" applyFont="1" applyFill="1" applyBorder="1" applyAlignment="1">
      <alignment horizontal="center" vertical="center" textRotation="90" wrapText="1"/>
    </xf>
    <xf numFmtId="0" fontId="6" fillId="5" borderId="69" xfId="0" applyFont="1" applyFill="1" applyBorder="1" applyAlignment="1">
      <alignment horizontal="center" vertical="center" wrapText="1"/>
    </xf>
    <xf numFmtId="0" fontId="6" fillId="5" borderId="113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92" fillId="5" borderId="122" xfId="0" applyFont="1" applyFill="1" applyBorder="1" applyAlignment="1">
      <alignment horizontal="center" vertical="center" textRotation="90" wrapText="1"/>
    </xf>
    <xf numFmtId="0" fontId="92" fillId="5" borderId="25" xfId="0" applyFont="1" applyFill="1" applyBorder="1" applyAlignment="1">
      <alignment horizontal="center" vertical="center" textRotation="90" wrapText="1"/>
    </xf>
    <xf numFmtId="0" fontId="92" fillId="5" borderId="123" xfId="0" applyFont="1" applyFill="1" applyBorder="1" applyAlignment="1">
      <alignment horizontal="center" vertical="center" textRotation="90" wrapText="1"/>
    </xf>
    <xf numFmtId="0" fontId="6" fillId="5" borderId="62" xfId="0" applyFont="1" applyFill="1" applyBorder="1" applyAlignment="1">
      <alignment horizontal="center" vertical="center" wrapText="1"/>
    </xf>
    <xf numFmtId="0" fontId="6" fillId="5" borderId="63" xfId="0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horizontal="center" vertical="center" wrapText="1"/>
    </xf>
    <xf numFmtId="0" fontId="6" fillId="5" borderId="118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/>
    </xf>
    <xf numFmtId="0" fontId="5" fillId="33" borderId="111" xfId="0" applyFont="1" applyFill="1" applyBorder="1" applyAlignment="1">
      <alignment horizontal="center" wrapText="1"/>
    </xf>
    <xf numFmtId="0" fontId="5" fillId="33" borderId="0" xfId="0" applyFont="1" applyFill="1" applyAlignment="1">
      <alignment horizontal="center" wrapText="1"/>
    </xf>
    <xf numFmtId="0" fontId="5" fillId="33" borderId="40" xfId="0" applyFont="1" applyFill="1" applyBorder="1" applyAlignment="1">
      <alignment wrapText="1"/>
    </xf>
    <xf numFmtId="0" fontId="5" fillId="33" borderId="114" xfId="0" applyFont="1" applyFill="1" applyBorder="1" applyAlignment="1">
      <alignment wrapText="1"/>
    </xf>
    <xf numFmtId="0" fontId="5" fillId="33" borderId="37" xfId="0" applyFont="1" applyFill="1" applyBorder="1" applyAlignment="1">
      <alignment wrapText="1"/>
    </xf>
    <xf numFmtId="0" fontId="5" fillId="33" borderId="69" xfId="0" applyFont="1" applyFill="1" applyBorder="1" applyAlignment="1">
      <alignment wrapText="1"/>
    </xf>
    <xf numFmtId="0" fontId="5" fillId="33" borderId="26" xfId="0" applyFont="1" applyFill="1" applyBorder="1" applyAlignment="1">
      <alignment wrapText="1"/>
    </xf>
    <xf numFmtId="0" fontId="5" fillId="33" borderId="113" xfId="0" applyFont="1" applyFill="1" applyBorder="1" applyAlignment="1">
      <alignment wrapText="1"/>
    </xf>
    <xf numFmtId="0" fontId="5" fillId="33" borderId="63" xfId="0" applyFont="1" applyFill="1" applyBorder="1" applyAlignment="1">
      <alignment wrapText="1"/>
    </xf>
    <xf numFmtId="0" fontId="5" fillId="33" borderId="35" xfId="0" applyFont="1" applyFill="1" applyBorder="1" applyAlignment="1">
      <alignment wrapText="1"/>
    </xf>
    <xf numFmtId="2" fontId="5" fillId="21" borderId="67" xfId="0" applyNumberFormat="1" applyFont="1" applyFill="1" applyBorder="1" applyAlignment="1"/>
    <xf numFmtId="2" fontId="5" fillId="33" borderId="69" xfId="0" applyNumberFormat="1" applyFont="1" applyFill="1" applyBorder="1" applyAlignment="1">
      <alignment horizontal="center"/>
    </xf>
    <xf numFmtId="2" fontId="5" fillId="33" borderId="113" xfId="0" applyNumberFormat="1" applyFont="1" applyFill="1" applyBorder="1" applyAlignment="1">
      <alignment horizontal="center"/>
    </xf>
    <xf numFmtId="2" fontId="5" fillId="33" borderId="26" xfId="0" applyNumberFormat="1" applyFont="1" applyFill="1" applyBorder="1" applyAlignment="1">
      <alignment horizontal="center"/>
    </xf>
    <xf numFmtId="0" fontId="5" fillId="33" borderId="69" xfId="0" applyFont="1" applyFill="1" applyBorder="1" applyAlignment="1">
      <alignment horizontal="left" wrapText="1"/>
    </xf>
    <xf numFmtId="0" fontId="5" fillId="33" borderId="114" xfId="0" applyFont="1" applyFill="1" applyBorder="1" applyAlignment="1">
      <alignment horizontal="left" wrapText="1"/>
    </xf>
    <xf numFmtId="0" fontId="5" fillId="33" borderId="37" xfId="0" applyFont="1" applyFill="1" applyBorder="1" applyAlignment="1">
      <alignment horizontal="left" wrapText="1"/>
    </xf>
    <xf numFmtId="0" fontId="5" fillId="33" borderId="40" xfId="0" applyFont="1" applyFill="1" applyBorder="1" applyAlignment="1">
      <alignment vertical="center" wrapText="1"/>
    </xf>
    <xf numFmtId="0" fontId="5" fillId="33" borderId="114" xfId="0" applyFont="1" applyFill="1" applyBorder="1" applyAlignment="1">
      <alignment vertical="center" wrapText="1"/>
    </xf>
    <xf numFmtId="0" fontId="5" fillId="33" borderId="67" xfId="0" applyFont="1" applyFill="1" applyBorder="1" applyAlignment="1">
      <alignment wrapText="1"/>
    </xf>
    <xf numFmtId="0" fontId="5" fillId="0" borderId="67" xfId="0" applyFont="1" applyBorder="1" applyAlignment="1"/>
    <xf numFmtId="0" fontId="5" fillId="33" borderId="67" xfId="0" applyFont="1" applyFill="1" applyBorder="1" applyAlignment="1">
      <alignment horizontal="left" wrapText="1"/>
    </xf>
    <xf numFmtId="0" fontId="5" fillId="0" borderId="69" xfId="0" applyFont="1" applyBorder="1" applyAlignment="1">
      <alignment wrapText="1"/>
    </xf>
    <xf numFmtId="0" fontId="5" fillId="0" borderId="113" xfId="0" applyFont="1" applyBorder="1" applyAlignment="1">
      <alignment wrapText="1"/>
    </xf>
    <xf numFmtId="0" fontId="5" fillId="0" borderId="26" xfId="0" applyFont="1" applyBorder="1" applyAlignment="1">
      <alignment wrapText="1"/>
    </xf>
    <xf numFmtId="0" fontId="5" fillId="0" borderId="35" xfId="0" applyFont="1" applyBorder="1" applyAlignment="1">
      <alignment wrapText="1"/>
    </xf>
    <xf numFmtId="0" fontId="5" fillId="0" borderId="67" xfId="0" applyFont="1" applyBorder="1" applyAlignment="1">
      <alignment wrapText="1"/>
    </xf>
    <xf numFmtId="0" fontId="5" fillId="5" borderId="67" xfId="0" applyFont="1" applyFill="1" applyBorder="1" applyAlignment="1">
      <alignment wrapText="1"/>
    </xf>
    <xf numFmtId="0" fontId="51" fillId="0" borderId="67" xfId="0" applyFont="1" applyBorder="1" applyAlignment="1">
      <alignment wrapText="1"/>
    </xf>
    <xf numFmtId="2" fontId="5" fillId="0" borderId="111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0" fontId="5" fillId="5" borderId="69" xfId="0" applyFont="1" applyFill="1" applyBorder="1" applyAlignment="1"/>
    <xf numFmtId="0" fontId="5" fillId="5" borderId="26" xfId="0" applyFont="1" applyFill="1" applyBorder="1" applyAlignment="1"/>
    <xf numFmtId="4" fontId="5" fillId="21" borderId="0" xfId="0" applyNumberFormat="1" applyFont="1" applyFill="1" applyAlignment="1">
      <alignment horizontal="right"/>
    </xf>
    <xf numFmtId="0" fontId="5" fillId="5" borderId="69" xfId="0" applyFont="1" applyFill="1" applyBorder="1" applyAlignment="1">
      <alignment wrapText="1"/>
    </xf>
    <xf numFmtId="0" fontId="5" fillId="5" borderId="113" xfId="0" applyFont="1" applyFill="1" applyBorder="1" applyAlignment="1">
      <alignment wrapText="1"/>
    </xf>
    <xf numFmtId="0" fontId="5" fillId="5" borderId="26" xfId="0" applyFont="1" applyFill="1" applyBorder="1" applyAlignment="1">
      <alignment wrapText="1"/>
    </xf>
    <xf numFmtId="0" fontId="5" fillId="5" borderId="69" xfId="0" applyFont="1" applyFill="1" applyBorder="1" applyAlignment="1">
      <alignment horizontal="left"/>
    </xf>
    <xf numFmtId="0" fontId="5" fillId="5" borderId="26" xfId="0" applyFont="1" applyFill="1" applyBorder="1" applyAlignment="1">
      <alignment horizontal="left"/>
    </xf>
    <xf numFmtId="2" fontId="5" fillId="21" borderId="0" xfId="0" applyNumberFormat="1" applyFont="1" applyFill="1" applyAlignment="1">
      <alignment horizontal="right"/>
    </xf>
    <xf numFmtId="0" fontId="5" fillId="21" borderId="0" xfId="0" applyFont="1" applyFill="1" applyAlignment="1">
      <alignment horizontal="right"/>
    </xf>
    <xf numFmtId="0" fontId="5" fillId="33" borderId="35" xfId="0" applyFont="1" applyFill="1" applyBorder="1" applyAlignment="1">
      <alignment horizontal="left" wrapText="1"/>
    </xf>
    <xf numFmtId="0" fontId="5" fillId="5" borderId="67" xfId="0" applyFont="1" applyFill="1" applyBorder="1" applyAlignment="1">
      <alignment horizontal="left" wrapText="1"/>
    </xf>
    <xf numFmtId="2" fontId="6" fillId="21" borderId="67" xfId="0" applyNumberFormat="1" applyFont="1" applyFill="1" applyBorder="1" applyAlignment="1">
      <alignment horizontal="right"/>
    </xf>
    <xf numFmtId="2" fontId="6" fillId="21" borderId="69" xfId="0" applyNumberFormat="1" applyFont="1" applyFill="1" applyBorder="1" applyAlignment="1">
      <alignment horizontal="right"/>
    </xf>
    <xf numFmtId="2" fontId="6" fillId="21" borderId="26" xfId="0" applyNumberFormat="1" applyFont="1" applyFill="1" applyBorder="1" applyAlignment="1">
      <alignment horizontal="right"/>
    </xf>
    <xf numFmtId="0" fontId="5" fillId="0" borderId="35" xfId="0" applyFont="1" applyBorder="1" applyAlignment="1"/>
    <xf numFmtId="0" fontId="5" fillId="0" borderId="69" xfId="0" applyFont="1" applyBorder="1" applyAlignment="1"/>
    <xf numFmtId="0" fontId="5" fillId="0" borderId="26" xfId="0" applyFont="1" applyBorder="1" applyAlignment="1"/>
    <xf numFmtId="0" fontId="26" fillId="5" borderId="81" xfId="111" quotePrefix="1" applyFont="1" applyFill="1" applyBorder="1" applyAlignment="1">
      <alignment horizontal="left" vertical="center" wrapText="1"/>
    </xf>
    <xf numFmtId="0" fontId="26" fillId="5" borderId="36" xfId="111" quotePrefix="1" applyFont="1" applyFill="1" applyBorder="1" applyAlignment="1">
      <alignment horizontal="left" vertical="center" wrapText="1"/>
    </xf>
    <xf numFmtId="0" fontId="26" fillId="5" borderId="82" xfId="111" quotePrefix="1" applyFont="1" applyFill="1" applyBorder="1" applyAlignment="1">
      <alignment horizontal="left" vertical="center" wrapText="1"/>
    </xf>
    <xf numFmtId="169" fontId="26" fillId="0" borderId="81" xfId="111" quotePrefix="1" applyNumberFormat="1" applyFont="1" applyBorder="1" applyAlignment="1">
      <alignment horizontal="left" vertical="center" wrapText="1"/>
    </xf>
    <xf numFmtId="169" fontId="26" fillId="0" borderId="36" xfId="111" quotePrefix="1" applyNumberFormat="1" applyFont="1" applyBorder="1" applyAlignment="1">
      <alignment horizontal="left" vertical="center"/>
    </xf>
    <xf numFmtId="169" fontId="26" fillId="0" borderId="82" xfId="111" quotePrefix="1" applyNumberFormat="1" applyFont="1" applyBorder="1" applyAlignment="1">
      <alignment horizontal="left" vertical="center"/>
    </xf>
    <xf numFmtId="169" fontId="26" fillId="0" borderId="81" xfId="111" quotePrefix="1" applyNumberFormat="1" applyFont="1" applyBorder="1" applyAlignment="1">
      <alignment horizontal="left" vertical="center"/>
    </xf>
    <xf numFmtId="0" fontId="26" fillId="5" borderId="81" xfId="111" applyFont="1" applyFill="1" applyBorder="1" applyAlignment="1">
      <alignment horizontal="left" vertical="center" wrapText="1"/>
    </xf>
    <xf numFmtId="0" fontId="26" fillId="5" borderId="36" xfId="111" applyFont="1" applyFill="1" applyBorder="1" applyAlignment="1">
      <alignment horizontal="left" vertical="center" wrapText="1"/>
    </xf>
    <xf numFmtId="0" fontId="9" fillId="5" borderId="36" xfId="111" quotePrefix="1" applyFill="1" applyBorder="1" applyAlignment="1">
      <alignment horizontal="left" vertical="center" wrapText="1"/>
    </xf>
    <xf numFmtId="0" fontId="9" fillId="5" borderId="82" xfId="111" quotePrefix="1" applyFill="1" applyBorder="1" applyAlignment="1">
      <alignment horizontal="left" vertical="center" wrapText="1"/>
    </xf>
    <xf numFmtId="169" fontId="9" fillId="5" borderId="24" xfId="111" quotePrefix="1" applyNumberFormat="1" applyFill="1" applyBorder="1" applyAlignment="1">
      <alignment horizontal="left" vertical="center"/>
    </xf>
    <xf numFmtId="169" fontId="26" fillId="0" borderId="24" xfId="111" quotePrefix="1" applyNumberFormat="1" applyFont="1" applyBorder="1" applyAlignment="1">
      <alignment horizontal="left" vertical="center" wrapText="1"/>
    </xf>
    <xf numFmtId="169" fontId="26" fillId="0" borderId="24" xfId="111" quotePrefix="1" applyNumberFormat="1" applyFont="1" applyBorder="1" applyAlignment="1">
      <alignment horizontal="left" vertical="center"/>
    </xf>
    <xf numFmtId="169" fontId="26" fillId="5" borderId="81" xfId="111" quotePrefix="1" applyNumberFormat="1" applyFont="1" applyFill="1" applyBorder="1" applyAlignment="1">
      <alignment horizontal="left" vertical="center"/>
    </xf>
    <xf numFmtId="169" fontId="26" fillId="5" borderId="36" xfId="111" quotePrefix="1" applyNumberFormat="1" applyFont="1" applyFill="1" applyBorder="1" applyAlignment="1">
      <alignment horizontal="left" vertical="center"/>
    </xf>
    <xf numFmtId="169" fontId="26" fillId="5" borderId="82" xfId="111" quotePrefix="1" applyNumberFormat="1" applyFont="1" applyFill="1" applyBorder="1" applyAlignment="1">
      <alignment horizontal="left" vertical="center"/>
    </xf>
    <xf numFmtId="0" fontId="18" fillId="5" borderId="18" xfId="65" applyFont="1" applyFill="1" applyBorder="1" applyAlignment="1">
      <alignment vertical="center" wrapText="1"/>
    </xf>
    <xf numFmtId="0" fontId="9" fillId="5" borderId="18" xfId="0" applyFont="1" applyFill="1" applyBorder="1" applyAlignment="1">
      <alignment vertical="center"/>
    </xf>
    <xf numFmtId="0" fontId="18" fillId="5" borderId="125" xfId="65" applyFont="1" applyFill="1" applyBorder="1" applyAlignment="1">
      <alignment vertical="center" wrapText="1"/>
    </xf>
    <xf numFmtId="0" fontId="17" fillId="6" borderId="19" xfId="65" applyFont="1" applyFill="1" applyBorder="1" applyAlignment="1">
      <alignment horizontal="center" vertical="center" wrapText="1"/>
    </xf>
    <xf numFmtId="0" fontId="17" fillId="6" borderId="0" xfId="65" applyFont="1" applyFill="1" applyAlignment="1">
      <alignment horizontal="center" vertical="center" wrapText="1"/>
    </xf>
    <xf numFmtId="0" fontId="17" fillId="6" borderId="12" xfId="65" applyFont="1" applyFill="1" applyBorder="1" applyAlignment="1">
      <alignment horizontal="center" vertical="center" wrapText="1"/>
    </xf>
    <xf numFmtId="0" fontId="17" fillId="6" borderId="7" xfId="65" applyFont="1" applyFill="1" applyBorder="1" applyAlignment="1">
      <alignment horizontal="center" vertical="center" wrapText="1"/>
    </xf>
    <xf numFmtId="0" fontId="17" fillId="6" borderId="9" xfId="65" applyFont="1" applyFill="1" applyBorder="1" applyAlignment="1">
      <alignment horizontal="center" vertical="center" wrapText="1"/>
    </xf>
    <xf numFmtId="0" fontId="17" fillId="6" borderId="10" xfId="65" applyFont="1" applyFill="1" applyBorder="1" applyAlignment="1">
      <alignment horizontal="center" vertical="center" wrapText="1"/>
    </xf>
    <xf numFmtId="0" fontId="17" fillId="5" borderId="18" xfId="65" applyFont="1" applyFill="1" applyBorder="1" applyAlignment="1">
      <alignment horizontal="center" vertical="center" wrapText="1"/>
    </xf>
    <xf numFmtId="0" fontId="14" fillId="5" borderId="18" xfId="65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/>
    </xf>
    <xf numFmtId="0" fontId="16" fillId="5" borderId="14" xfId="65" applyFont="1" applyFill="1" applyBorder="1" applyAlignment="1">
      <alignment horizontal="left" vertical="center" wrapText="1"/>
    </xf>
    <xf numFmtId="0" fontId="16" fillId="5" borderId="18" xfId="65" applyFont="1" applyFill="1" applyBorder="1" applyAlignment="1">
      <alignment horizontal="left" vertical="center" wrapText="1"/>
    </xf>
    <xf numFmtId="0" fontId="14" fillId="5" borderId="18" xfId="65" applyFont="1" applyFill="1" applyBorder="1" applyAlignment="1">
      <alignment horizontal="left" vertical="center" wrapText="1"/>
    </xf>
    <xf numFmtId="0" fontId="70" fillId="26" borderId="0" xfId="65" applyFont="1" applyFill="1" applyAlignment="1">
      <alignment horizontal="center" vertical="center"/>
    </xf>
    <xf numFmtId="0" fontId="16" fillId="5" borderId="127" xfId="65" applyFont="1" applyFill="1" applyBorder="1" applyAlignment="1">
      <alignment horizontal="left" vertical="center" wrapText="1"/>
    </xf>
    <xf numFmtId="0" fontId="9" fillId="5" borderId="127" xfId="65" applyFill="1" applyBorder="1" applyAlignment="1">
      <alignment horizontal="left" vertical="center" wrapText="1"/>
    </xf>
    <xf numFmtId="0" fontId="14" fillId="5" borderId="14" xfId="65" applyFont="1" applyFill="1" applyBorder="1" applyAlignment="1">
      <alignment horizontal="center" vertical="center" wrapText="1"/>
    </xf>
    <xf numFmtId="0" fontId="17" fillId="5" borderId="14" xfId="65" applyFont="1" applyFill="1" applyBorder="1" applyAlignment="1">
      <alignment horizontal="center" vertical="center" textRotation="90" wrapText="1"/>
    </xf>
    <xf numFmtId="0" fontId="9" fillId="5" borderId="20" xfId="0" applyFont="1" applyFill="1" applyBorder="1" applyAlignment="1">
      <alignment horizontal="center" vertical="center"/>
    </xf>
    <xf numFmtId="0" fontId="17" fillId="6" borderId="3" xfId="65" applyFont="1" applyFill="1" applyBorder="1" applyAlignment="1">
      <alignment horizontal="center" vertical="center" wrapText="1"/>
    </xf>
    <xf numFmtId="0" fontId="17" fillId="6" borderId="15" xfId="65" applyFont="1" applyFill="1" applyBorder="1" applyAlignment="1">
      <alignment horizontal="center" vertical="center" wrapText="1"/>
    </xf>
    <xf numFmtId="0" fontId="17" fillId="6" borderId="16" xfId="65" applyFont="1" applyFill="1" applyBorder="1" applyAlignment="1">
      <alignment horizontal="center" vertical="center" wrapText="1"/>
    </xf>
    <xf numFmtId="0" fontId="17" fillId="5" borderId="21" xfId="65" applyFont="1" applyFill="1" applyBorder="1" applyAlignment="1">
      <alignment horizontal="center" vertical="center" wrapText="1"/>
    </xf>
    <xf numFmtId="0" fontId="17" fillId="5" borderId="22" xfId="65" applyFont="1" applyFill="1" applyBorder="1" applyAlignment="1">
      <alignment horizontal="center" vertical="center" wrapText="1"/>
    </xf>
    <xf numFmtId="0" fontId="17" fillId="5" borderId="23" xfId="65" applyFont="1" applyFill="1" applyBorder="1" applyAlignment="1">
      <alignment horizontal="center" vertical="center" wrapText="1"/>
    </xf>
    <xf numFmtId="0" fontId="17" fillId="5" borderId="17" xfId="65" applyFont="1" applyFill="1" applyBorder="1" applyAlignment="1">
      <alignment horizontal="center" vertical="center" wrapText="1"/>
    </xf>
    <xf numFmtId="0" fontId="17" fillId="5" borderId="5" xfId="65" applyFont="1" applyFill="1" applyBorder="1" applyAlignment="1">
      <alignment horizontal="center" vertical="center" wrapText="1"/>
    </xf>
    <xf numFmtId="0" fontId="17" fillId="5" borderId="6" xfId="65" applyFont="1" applyFill="1" applyBorder="1" applyAlignment="1">
      <alignment horizontal="center" vertical="center" wrapText="1"/>
    </xf>
    <xf numFmtId="0" fontId="17" fillId="5" borderId="20" xfId="65" applyFont="1" applyFill="1" applyBorder="1" applyAlignment="1">
      <alignment horizontal="center" vertical="center" wrapText="1"/>
    </xf>
    <xf numFmtId="0" fontId="17" fillId="5" borderId="3" xfId="65" applyFont="1" applyFill="1" applyBorder="1" applyAlignment="1">
      <alignment horizontal="center" vertical="center" wrapText="1"/>
    </xf>
    <xf numFmtId="0" fontId="17" fillId="5" borderId="15" xfId="65" applyFont="1" applyFill="1" applyBorder="1" applyAlignment="1">
      <alignment horizontal="center" vertical="center" wrapText="1"/>
    </xf>
    <xf numFmtId="0" fontId="17" fillId="5" borderId="16" xfId="65" applyFont="1" applyFill="1" applyBorder="1" applyAlignment="1">
      <alignment horizontal="center" vertical="center" wrapText="1"/>
    </xf>
    <xf numFmtId="0" fontId="20" fillId="5" borderId="14" xfId="65" applyFont="1" applyFill="1" applyBorder="1" applyAlignment="1">
      <alignment horizontal="left" vertical="center" wrapText="1"/>
    </xf>
    <xf numFmtId="0" fontId="9" fillId="5" borderId="18" xfId="65" applyFill="1" applyBorder="1" applyAlignment="1">
      <alignment vertical="center" wrapText="1"/>
    </xf>
    <xf numFmtId="0" fontId="17" fillId="5" borderId="11" xfId="65" applyFont="1" applyFill="1" applyBorder="1" applyAlignment="1">
      <alignment horizontal="center" vertical="center" wrapText="1"/>
    </xf>
    <xf numFmtId="0" fontId="9" fillId="5" borderId="126" xfId="65" applyFill="1" applyBorder="1" applyAlignment="1">
      <alignment horizontal="center" vertical="center" wrapText="1"/>
    </xf>
    <xf numFmtId="0" fontId="9" fillId="5" borderId="128" xfId="65" applyFill="1" applyBorder="1" applyAlignment="1">
      <alignment horizontal="center" vertical="center" wrapText="1"/>
    </xf>
    <xf numFmtId="0" fontId="14" fillId="5" borderId="18" xfId="65" applyFont="1" applyFill="1" applyBorder="1" applyAlignment="1">
      <alignment horizontal="left" vertical="top" wrapText="1"/>
    </xf>
    <xf numFmtId="0" fontId="16" fillId="5" borderId="109" xfId="65" applyFont="1" applyFill="1" applyBorder="1" applyAlignment="1">
      <alignment horizontal="left" vertical="center" wrapText="1"/>
    </xf>
    <xf numFmtId="0" fontId="9" fillId="5" borderId="109" xfId="65" applyFill="1" applyBorder="1" applyAlignment="1">
      <alignment horizontal="left" vertical="center" wrapText="1"/>
    </xf>
    <xf numFmtId="167" fontId="17" fillId="5" borderId="21" xfId="0" applyNumberFormat="1" applyFont="1" applyFill="1" applyBorder="1" applyAlignment="1">
      <alignment horizontal="center" vertical="center" wrapText="1"/>
    </xf>
    <xf numFmtId="167" fontId="17" fillId="5" borderId="22" xfId="0" applyNumberFormat="1" applyFont="1" applyFill="1" applyBorder="1" applyAlignment="1">
      <alignment horizontal="center" vertical="center" wrapText="1"/>
    </xf>
    <xf numFmtId="167" fontId="17" fillId="5" borderId="23" xfId="0" applyNumberFormat="1" applyFont="1" applyFill="1" applyBorder="1" applyAlignment="1">
      <alignment horizontal="center" vertical="center" wrapText="1"/>
    </xf>
    <xf numFmtId="3" fontId="28" fillId="18" borderId="24" xfId="0" applyNumberFormat="1" applyFont="1" applyFill="1" applyBorder="1" applyAlignment="1">
      <alignment horizontal="center" vertical="center" wrapText="1"/>
    </xf>
    <xf numFmtId="167" fontId="17" fillId="5" borderId="17" xfId="0" applyNumberFormat="1" applyFont="1" applyFill="1" applyBorder="1" applyAlignment="1">
      <alignment horizontal="center" vertical="center" wrapText="1"/>
    </xf>
    <xf numFmtId="167" fontId="17" fillId="5" borderId="5" xfId="0" applyNumberFormat="1" applyFont="1" applyFill="1" applyBorder="1" applyAlignment="1">
      <alignment horizontal="center" vertical="center" wrapText="1"/>
    </xf>
    <xf numFmtId="167" fontId="17" fillId="5" borderId="6" xfId="0" applyNumberFormat="1" applyFont="1" applyFill="1" applyBorder="1" applyAlignment="1">
      <alignment horizontal="center" vertical="center" wrapText="1"/>
    </xf>
    <xf numFmtId="0" fontId="63" fillId="5" borderId="14" xfId="0" applyFont="1" applyFill="1" applyBorder="1" applyAlignment="1">
      <alignment vertical="center" wrapText="1"/>
    </xf>
    <xf numFmtId="0" fontId="47" fillId="5" borderId="18" xfId="0" applyFont="1" applyFill="1" applyBorder="1" applyAlignment="1">
      <alignment vertical="center" wrapText="1"/>
    </xf>
    <xf numFmtId="0" fontId="18" fillId="5" borderId="18" xfId="65" applyFont="1" applyFill="1" applyBorder="1" applyAlignment="1">
      <alignment wrapText="1"/>
    </xf>
    <xf numFmtId="0" fontId="9" fillId="5" borderId="18" xfId="0" applyFont="1" applyFill="1" applyBorder="1" applyAlignment="1"/>
    <xf numFmtId="3" fontId="17" fillId="6" borderId="19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Alignment="1">
      <alignment horizontal="center" vertical="center" wrapText="1"/>
    </xf>
    <xf numFmtId="3" fontId="17" fillId="6" borderId="12" xfId="0" applyNumberFormat="1" applyFont="1" applyFill="1" applyBorder="1" applyAlignment="1">
      <alignment horizontal="center" vertical="center" wrapText="1"/>
    </xf>
    <xf numFmtId="3" fontId="17" fillId="6" borderId="7" xfId="0" applyNumberFormat="1" applyFont="1" applyFill="1" applyBorder="1" applyAlignment="1">
      <alignment horizontal="center" vertical="center" wrapText="1"/>
    </xf>
    <xf numFmtId="3" fontId="17" fillId="6" borderId="9" xfId="0" applyNumberFormat="1" applyFont="1" applyFill="1" applyBorder="1" applyAlignment="1">
      <alignment horizontal="center" vertical="center" wrapText="1"/>
    </xf>
    <xf numFmtId="3" fontId="17" fillId="6" borderId="10" xfId="0" applyNumberFormat="1" applyFont="1" applyFill="1" applyBorder="1" applyAlignment="1">
      <alignment horizontal="center" vertical="center" wrapText="1"/>
    </xf>
    <xf numFmtId="0" fontId="17" fillId="5" borderId="18" xfId="65" applyFont="1" applyFill="1" applyBorder="1" applyAlignment="1">
      <alignment horizontal="center" vertical="top" wrapText="1"/>
    </xf>
    <xf numFmtId="3" fontId="17" fillId="5" borderId="18" xfId="0" applyNumberFormat="1" applyFont="1" applyFill="1" applyBorder="1" applyAlignment="1">
      <alignment horizontal="center" vertical="center" wrapText="1"/>
    </xf>
    <xf numFmtId="167" fontId="17" fillId="5" borderId="11" xfId="0" applyNumberFormat="1" applyFont="1" applyFill="1" applyBorder="1" applyAlignment="1">
      <alignment horizontal="center" vertical="center"/>
    </xf>
    <xf numFmtId="167" fontId="9" fillId="5" borderId="126" xfId="0" applyNumberFormat="1" applyFont="1" applyFill="1" applyBorder="1" applyAlignment="1">
      <alignment horizontal="center" vertical="center"/>
    </xf>
    <xf numFmtId="167" fontId="9" fillId="5" borderId="128" xfId="0" applyNumberFormat="1" applyFont="1" applyFill="1" applyBorder="1" applyAlignment="1">
      <alignment horizontal="center" vertical="center"/>
    </xf>
    <xf numFmtId="0" fontId="17" fillId="5" borderId="20" xfId="65" applyFont="1" applyFill="1" applyBorder="1" applyAlignment="1">
      <alignment horizontal="center" vertical="top" wrapText="1"/>
    </xf>
    <xf numFmtId="3" fontId="17" fillId="5" borderId="43" xfId="0" applyNumberFormat="1" applyFont="1" applyFill="1" applyBorder="1" applyAlignment="1">
      <alignment horizontal="center" vertical="center" wrapText="1"/>
    </xf>
    <xf numFmtId="3" fontId="17" fillId="5" borderId="20" xfId="0" applyNumberFormat="1" applyFont="1" applyFill="1" applyBorder="1" applyAlignment="1">
      <alignment horizontal="center" vertical="center" wrapText="1"/>
    </xf>
    <xf numFmtId="0" fontId="16" fillId="5" borderId="14" xfId="0" applyFont="1" applyFill="1" applyBorder="1" applyAlignment="1">
      <alignment vertical="center" wrapText="1"/>
    </xf>
    <xf numFmtId="0" fontId="9" fillId="5" borderId="18" xfId="0" applyFont="1" applyFill="1" applyBorder="1" applyAlignment="1">
      <alignment vertical="center" wrapText="1"/>
    </xf>
    <xf numFmtId="0" fontId="9" fillId="5" borderId="18" xfId="65" applyFill="1" applyBorder="1" applyAlignment="1">
      <alignment horizontal="left" vertical="center" wrapText="1"/>
    </xf>
    <xf numFmtId="0" fontId="17" fillId="5" borderId="30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17" fillId="6" borderId="15" xfId="0" applyFont="1" applyFill="1" applyBorder="1" applyAlignment="1">
      <alignment horizontal="center" vertical="center" wrapText="1"/>
    </xf>
    <xf numFmtId="0" fontId="17" fillId="6" borderId="16" xfId="0" applyFont="1" applyFill="1" applyBorder="1" applyAlignment="1">
      <alignment horizontal="center" vertical="center" wrapText="1"/>
    </xf>
    <xf numFmtId="0" fontId="67" fillId="5" borderId="67" xfId="0" applyFont="1" applyFill="1" applyBorder="1" applyAlignment="1">
      <alignment horizontal="left" vertical="center" wrapText="1"/>
    </xf>
    <xf numFmtId="0" fontId="13" fillId="3" borderId="78" xfId="0" applyFont="1" applyFill="1" applyBorder="1" applyAlignment="1">
      <alignment horizontal="left" vertical="center"/>
    </xf>
    <xf numFmtId="0" fontId="13" fillId="3" borderId="77" xfId="0" applyFont="1" applyFill="1" applyBorder="1" applyAlignment="1">
      <alignment horizontal="left" vertical="center"/>
    </xf>
    <xf numFmtId="0" fontId="16" fillId="5" borderId="18" xfId="0" applyFont="1" applyFill="1" applyBorder="1" applyAlignment="1">
      <alignment vertical="center" wrapText="1"/>
    </xf>
    <xf numFmtId="0" fontId="17" fillId="5" borderId="81" xfId="0" applyFont="1" applyFill="1" applyBorder="1" applyAlignment="1">
      <alignment horizontal="center" vertical="center" wrapText="1"/>
    </xf>
    <xf numFmtId="0" fontId="17" fillId="5" borderId="82" xfId="0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0" fontId="17" fillId="5" borderId="6" xfId="0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19" fillId="0" borderId="12" xfId="0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vertical="top" wrapText="1"/>
    </xf>
    <xf numFmtId="0" fontId="19" fillId="0" borderId="9" xfId="0" applyFont="1" applyBorder="1" applyAlignment="1">
      <alignment horizontal="center" vertical="top" wrapText="1"/>
    </xf>
    <xf numFmtId="0" fontId="19" fillId="0" borderId="10" xfId="0" applyFont="1" applyBorder="1" applyAlignment="1">
      <alignment horizontal="center" vertical="top" wrapText="1"/>
    </xf>
    <xf numFmtId="11" fontId="67" fillId="5" borderId="67" xfId="0" applyNumberFormat="1" applyFont="1" applyFill="1" applyBorder="1" applyAlignment="1">
      <alignment horizontal="left" vertical="center" wrapText="1"/>
    </xf>
    <xf numFmtId="11" fontId="19" fillId="0" borderId="3" xfId="0" applyNumberFormat="1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11" fontId="63" fillId="5" borderId="32" xfId="0" applyNumberFormat="1" applyFont="1" applyFill="1" applyBorder="1" applyAlignment="1">
      <alignment vertical="center" wrapText="1"/>
    </xf>
    <xf numFmtId="0" fontId="9" fillId="5" borderId="45" xfId="0" applyFont="1" applyFill="1" applyBorder="1" applyAlignment="1">
      <alignment vertical="center" wrapText="1"/>
    </xf>
    <xf numFmtId="0" fontId="9" fillId="5" borderId="47" xfId="0" applyFont="1" applyFill="1" applyBorder="1" applyAlignment="1">
      <alignment vertical="center" wrapText="1"/>
    </xf>
    <xf numFmtId="11" fontId="17" fillId="5" borderId="20" xfId="0" applyNumberFormat="1" applyFont="1" applyFill="1" applyBorder="1" applyAlignment="1">
      <alignment horizontal="center" vertical="top" wrapText="1"/>
    </xf>
    <xf numFmtId="0" fontId="9" fillId="5" borderId="20" xfId="0" applyFont="1" applyFill="1" applyBorder="1" applyAlignment="1">
      <alignment horizontal="center" vertical="top" wrapText="1"/>
    </xf>
    <xf numFmtId="11" fontId="17" fillId="6" borderId="19" xfId="0" applyNumberFormat="1" applyFont="1" applyFill="1" applyBorder="1" applyAlignment="1">
      <alignment horizontal="center" vertical="center" wrapText="1"/>
    </xf>
    <xf numFmtId="11" fontId="17" fillId="6" borderId="0" xfId="0" applyNumberFormat="1" applyFont="1" applyFill="1" applyAlignment="1">
      <alignment horizontal="center" vertical="center" wrapText="1"/>
    </xf>
    <xf numFmtId="11" fontId="17" fillId="6" borderId="12" xfId="0" applyNumberFormat="1" applyFont="1" applyFill="1" applyBorder="1" applyAlignment="1">
      <alignment horizontal="center" vertical="center" wrapText="1"/>
    </xf>
    <xf numFmtId="11" fontId="17" fillId="5" borderId="18" xfId="0" applyNumberFormat="1" applyFont="1" applyFill="1" applyBorder="1" applyAlignment="1">
      <alignment horizontal="center" vertical="top" wrapText="1"/>
    </xf>
    <xf numFmtId="0" fontId="9" fillId="5" borderId="18" xfId="0" applyFont="1" applyFill="1" applyBorder="1" applyAlignment="1">
      <alignment horizontal="center" vertical="top" wrapText="1"/>
    </xf>
    <xf numFmtId="11" fontId="16" fillId="5" borderId="32" xfId="0" applyNumberFormat="1" applyFont="1" applyFill="1" applyBorder="1" applyAlignment="1">
      <alignment vertical="center" wrapText="1"/>
    </xf>
    <xf numFmtId="0" fontId="9" fillId="5" borderId="44" xfId="0" applyFont="1" applyFill="1" applyBorder="1" applyAlignment="1">
      <alignment vertical="center" wrapText="1"/>
    </xf>
    <xf numFmtId="0" fontId="9" fillId="5" borderId="46" xfId="0" applyFont="1" applyFill="1" applyBorder="1" applyAlignment="1">
      <alignment vertical="center" wrapText="1"/>
    </xf>
    <xf numFmtId="11" fontId="17" fillId="6" borderId="3" xfId="0" applyNumberFormat="1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 wrapText="1"/>
    </xf>
    <xf numFmtId="0" fontId="9" fillId="6" borderId="16" xfId="0" applyFont="1" applyFill="1" applyBorder="1" applyAlignment="1">
      <alignment horizontal="center" vertical="center" wrapText="1"/>
    </xf>
    <xf numFmtId="11" fontId="17" fillId="5" borderId="17" xfId="0" applyNumberFormat="1" applyFont="1" applyFill="1" applyBorder="1" applyAlignment="1">
      <alignment horizontal="center" vertical="top" wrapText="1"/>
    </xf>
    <xf numFmtId="11" fontId="17" fillId="5" borderId="5" xfId="0" applyNumberFormat="1" applyFont="1" applyFill="1" applyBorder="1" applyAlignment="1">
      <alignment horizontal="center" vertical="top" wrapText="1"/>
    </xf>
    <xf numFmtId="11" fontId="17" fillId="5" borderId="6" xfId="0" applyNumberFormat="1" applyFont="1" applyFill="1" applyBorder="1" applyAlignment="1">
      <alignment horizontal="center" vertical="top" wrapText="1"/>
    </xf>
  </cellXfs>
  <cellStyles count="155">
    <cellStyle name="2x indented GHG Textfiels" xfId="68" xr:uid="{00000000-0005-0000-0000-000000000000}"/>
    <cellStyle name="2x indented GHG Textfiels 2" xfId="136" xr:uid="{848C171A-3C7D-4E87-B3E8-C540E14F18B3}"/>
    <cellStyle name="5x indented GHG Textfiels" xfId="69" xr:uid="{00000000-0005-0000-0000-000001000000}"/>
    <cellStyle name="Boden" xfId="70" xr:uid="{00000000-0005-0000-0000-000023000000}"/>
    <cellStyle name="Body text" xfId="71" xr:uid="{00000000-0005-0000-0000-000024000000}"/>
    <cellStyle name="Bold GHG Numbers (0.00)" xfId="72" xr:uid="{00000000-0005-0000-0000-000025000000}"/>
    <cellStyle name="Comma [0]_CAS Ciba" xfId="73" xr:uid="{00000000-0005-0000-0000-000026000000}"/>
    <cellStyle name="Comma_CAS Ciba" xfId="74" xr:uid="{00000000-0005-0000-0000-000027000000}"/>
    <cellStyle name="comment" xfId="75" xr:uid="{00000000-0005-0000-0000-000028000000}"/>
    <cellStyle name="Currency [0]_CAS Ciba" xfId="76" xr:uid="{00000000-0005-0000-0000-000029000000}"/>
    <cellStyle name="Currency_CAS Ciba" xfId="77" xr:uid="{00000000-0005-0000-0000-00002A000000}"/>
    <cellStyle name="Dezimal 2" xfId="131" xr:uid="{00000000-0005-0000-0000-00002B000000}"/>
    <cellStyle name="dt" xfId="78" xr:uid="{00000000-0005-0000-0000-00002C000000}"/>
    <cellStyle name="EcoTitel" xfId="79" xr:uid="{00000000-0005-0000-0000-00002D000000}"/>
    <cellStyle name="EcoZahl" xfId="80" xr:uid="{00000000-0005-0000-0000-00002E000000}"/>
    <cellStyle name="Eingabe 2" xfId="81" xr:uid="{00000000-0005-0000-0000-00002F000000}"/>
    <cellStyle name="Euro" xfId="82" xr:uid="{00000000-0005-0000-0000-000030000000}"/>
    <cellStyle name="header" xfId="83" xr:uid="{00000000-0005-0000-0000-000031000000}"/>
    <cellStyle name="Header Total" xfId="84" xr:uid="{00000000-0005-0000-0000-000032000000}"/>
    <cellStyle name="Headline" xfId="85" xr:uid="{00000000-0005-0000-0000-000033000000}"/>
    <cellStyle name="kg" xfId="86" xr:uid="{00000000-0005-0000-0000-000055000000}"/>
    <cellStyle name="Komma 2" xfId="87" xr:uid="{00000000-0005-0000-0000-000056000000}"/>
    <cellStyle name="Komma 3" xfId="67" xr:uid="{00000000-0005-0000-0000-000057000000}"/>
    <cellStyle name="Komma 3 2" xfId="88" xr:uid="{00000000-0005-0000-0000-000058000000}"/>
    <cellStyle name="Komma 3 2 2" xfId="137" xr:uid="{45F04C5A-ECE3-45CC-836D-E9224AAC85A2}"/>
    <cellStyle name="Komma 3 3" xfId="89" xr:uid="{00000000-0005-0000-0000-000059000000}"/>
    <cellStyle name="Komma 3 3 2" xfId="138" xr:uid="{8B08C4EF-CE92-41F5-8496-FF4DB70F674A}"/>
    <cellStyle name="Komma 3 4" xfId="90" xr:uid="{00000000-0005-0000-0000-00005A000000}"/>
    <cellStyle name="Komma 3 4 2" xfId="139" xr:uid="{E46A9638-3D5E-434A-B684-F7E38963CFFA}"/>
    <cellStyle name="Komma 3 5" xfId="91" xr:uid="{00000000-0005-0000-0000-00005B000000}"/>
    <cellStyle name="Komma 3 5 2" xfId="140" xr:uid="{23B59923-D880-4F1E-AAE7-9477B2CA7B4F}"/>
    <cellStyle name="Komma 3 6" xfId="135" xr:uid="{098016BC-E78C-4AAF-8A57-76CCF2768515}"/>
    <cellStyle name="Komma 4" xfId="92" xr:uid="{00000000-0005-0000-0000-00005C000000}"/>
    <cellStyle name="Komma 4 2" xfId="141" xr:uid="{6B8924B0-FEC5-41F0-8C23-3D4B543CF429}"/>
    <cellStyle name="l" xfId="93" xr:uid="{00000000-0005-0000-0000-00005D000000}"/>
    <cellStyle name="Lien hypertexte" xfId="31" builtinId="8" hidden="1"/>
    <cellStyle name="Lien hypertexte" xfId="51" builtinId="8" hidden="1"/>
    <cellStyle name="Lien hypertexte" xfId="55" builtinId="8" hidden="1"/>
    <cellStyle name="Lien hypertexte" xfId="57" builtinId="8" hidden="1"/>
    <cellStyle name="Lien hypertexte" xfId="63" builtinId="8" hidden="1"/>
    <cellStyle name="Lien hypertexte" xfId="47" builtinId="8" hidden="1"/>
    <cellStyle name="Lien hypertexte" xfId="49" builtinId="8" hidden="1"/>
    <cellStyle name="Lien hypertexte" xfId="41" builtinId="8" hidden="1"/>
    <cellStyle name="Lien hypertexte" xfId="43" builtinId="8" hidden="1"/>
    <cellStyle name="Lien hypertexte" xfId="59" builtinId="8" hidden="1"/>
    <cellStyle name="Lien hypertexte" xfId="53" builtinId="8" hidden="1"/>
    <cellStyle name="Lien hypertexte" xfId="13" builtinId="8" hidden="1"/>
    <cellStyle name="Lien hypertexte" xfId="37" builtinId="8" hidden="1"/>
    <cellStyle name="Lien hypertexte" xfId="61" builtinId="8" hidden="1"/>
    <cellStyle name="Lien hypertexte" xfId="45" builtinId="8" hidden="1"/>
    <cellStyle name="Lien hypertexte" xfId="17" builtinId="8" hidden="1"/>
    <cellStyle name="Lien hypertexte" xfId="19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33" builtinId="8" hidden="1"/>
    <cellStyle name="Lien hypertexte" xfId="35" builtinId="8" hidden="1"/>
    <cellStyle name="Lien hypertexte" xfId="29" builtinId="8" hidden="1"/>
    <cellStyle name="Lien hypertexte" xfId="132" builtinId="8" hidden="1"/>
    <cellStyle name="Lien hypertexte" xfId="15" builtinId="8" hidden="1"/>
    <cellStyle name="Lien hypertexte" xfId="3" builtinId="8" hidden="1"/>
    <cellStyle name="Lien hypertexte" xfId="7" builtinId="8" hidden="1"/>
    <cellStyle name="Lien hypertexte" xfId="1" builtinId="8" hidden="1"/>
    <cellStyle name="Lien hypertexte" xfId="5" builtinId="8" hidden="1"/>
    <cellStyle name="Lien hypertexte" xfId="9" builtinId="8" hidden="1"/>
    <cellStyle name="Lien hypertexte" xfId="11" builtinId="8" hidden="1"/>
    <cellStyle name="Lien hypertexte" xfId="21" builtinId="8" hidden="1"/>
    <cellStyle name="Lien hypertexte" xfId="39" builtinId="8" hidden="1"/>
    <cellStyle name="Lien hypertexte" xfId="151" builtinId="8"/>
    <cellStyle name="Lien hypertexte visité" xfId="4" builtinId="9" hidden="1"/>
    <cellStyle name="Lien hypertexte visité" xfId="6" builtinId="9" hidden="1"/>
    <cellStyle name="Lien hypertexte visité" xfId="2" builtinId="9" hidden="1"/>
    <cellStyle name="Lien hypertexte visité" xfId="62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44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133" builtinId="9" hidden="1"/>
    <cellStyle name="Lien hypertexte visité" xfId="28" builtinId="9" hidden="1"/>
    <cellStyle name="Lien hypertexte visité" xfId="64" builtinId="9" hidden="1"/>
    <cellStyle name="Lien hypertexte visité" xfId="54" builtinId="9" hidden="1"/>
    <cellStyle name="Lien hypertexte visité" xfId="2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22" builtinId="9" hidden="1"/>
    <cellStyle name="Lien hypertexte visité" xfId="52" builtinId="9" hidden="1"/>
    <cellStyle name="Lien hypertexte visité" xfId="36" builtinId="9" hidden="1"/>
    <cellStyle name="Lien hypertexte visité" xfId="14" builtinId="9" hidden="1"/>
    <cellStyle name="Lien hypertexte visité" xfId="58" builtinId="9" hidden="1"/>
    <cellStyle name="Lien hypertexte visité" xfId="60" builtinId="9" hidden="1"/>
    <cellStyle name="Lien hypertexte visité" xfId="56" builtinId="9" hidden="1"/>
    <cellStyle name="Luft" xfId="94" xr:uid="{00000000-0005-0000-0000-00005E000000}"/>
    <cellStyle name="m2" xfId="95" xr:uid="{00000000-0005-0000-0000-00005F000000}"/>
    <cellStyle name="m2a" xfId="96" xr:uid="{00000000-0005-0000-0000-000060000000}"/>
    <cellStyle name="m3" xfId="97" xr:uid="{00000000-0005-0000-0000-000061000000}"/>
    <cellStyle name="Milliers" xfId="152" builtinId="3"/>
    <cellStyle name="Niels" xfId="98" xr:uid="{00000000-0005-0000-0000-000062000000}"/>
    <cellStyle name="NielsProz" xfId="99" xr:uid="{00000000-0005-0000-0000-000063000000}"/>
    <cellStyle name="NielsProzent" xfId="100" xr:uid="{00000000-0005-0000-0000-000064000000}"/>
    <cellStyle name="Normal" xfId="0" builtinId="0"/>
    <cellStyle name="Normal 2" xfId="153" xr:uid="{A92189FE-7334-4BC7-9290-7779C157724D}"/>
    <cellStyle name="Normal 3" xfId="154" xr:uid="{E010EA56-4DF3-4A90-99D9-04CD256139C6}"/>
    <cellStyle name="Normal GHG Numbers (0.00)" xfId="101" xr:uid="{00000000-0005-0000-0000-000065000000}"/>
    <cellStyle name="Normal GHG Numbers (0.00) 2" xfId="142" xr:uid="{02F83879-5A1D-4A0A-883B-DE341FC8941A}"/>
    <cellStyle name="Normal GHG Textfiels Bold" xfId="102" xr:uid="{00000000-0005-0000-0000-000066000000}"/>
    <cellStyle name="Normal GHG Textfiels Bold 2" xfId="143" xr:uid="{0F23BE44-D13E-4085-88BD-111565B51CFF}"/>
    <cellStyle name="Normal GHG whole table" xfId="103" xr:uid="{00000000-0005-0000-0000-000067000000}"/>
    <cellStyle name="Normal GHG whole table 2" xfId="144" xr:uid="{CA534947-B776-4999-8F47-540D6505E19B}"/>
    <cellStyle name="NormalTabelle" xfId="104" xr:uid="{00000000-0005-0000-0000-000069000000}"/>
    <cellStyle name="Pourcentage" xfId="134" builtinId="5"/>
    <cellStyle name="Prozent 2" xfId="105" xr:uid="{00000000-0005-0000-0000-00006A000000}"/>
    <cellStyle name="Prozent 3" xfId="106" xr:uid="{00000000-0005-0000-0000-00006B000000}"/>
    <cellStyle name="Prozent 3 2" xfId="145" xr:uid="{D68555C6-DFD0-4C7A-8712-DFED4CE54C77}"/>
    <cellStyle name="Prozent 4" xfId="107" xr:uid="{00000000-0005-0000-0000-00006C000000}"/>
    <cellStyle name="Prozent 4 2" xfId="146" xr:uid="{8433D7A1-FC3B-4557-ADB6-B27F332EDA62}"/>
    <cellStyle name="prozent+" xfId="108" xr:uid="{00000000-0005-0000-0000-00006D000000}"/>
    <cellStyle name="Prüfung" xfId="109" xr:uid="{00000000-0005-0000-0000-00006E000000}"/>
    <cellStyle name="Scientific" xfId="110" xr:uid="{00000000-0005-0000-0000-00006F000000}"/>
    <cellStyle name="Stand. 2" xfId="66" xr:uid="{00000000-0005-0000-0000-000070000000}"/>
    <cellStyle name="Standard 2" xfId="111" xr:uid="{00000000-0005-0000-0000-000072000000}"/>
    <cellStyle name="Standard 2 2" xfId="65" xr:uid="{00000000-0005-0000-0000-000073000000}"/>
    <cellStyle name="Standard 2 3" xfId="112" xr:uid="{00000000-0005-0000-0000-000074000000}"/>
    <cellStyle name="Standard 3" xfId="113" xr:uid="{00000000-0005-0000-0000-000075000000}"/>
    <cellStyle name="Standard 4" xfId="114" xr:uid="{00000000-0005-0000-0000-000076000000}"/>
    <cellStyle name="Standard 4 2" xfId="147" xr:uid="{CD23E0FA-0F20-4714-BE3D-7D0189694D54}"/>
    <cellStyle name="Standard 5" xfId="115" xr:uid="{00000000-0005-0000-0000-000077000000}"/>
    <cellStyle name="Standard 5 2" xfId="148" xr:uid="{C2A2B349-973B-42EE-B70F-54D5F3BDF704}"/>
    <cellStyle name="Standard 6" xfId="116" xr:uid="{00000000-0005-0000-0000-000078000000}"/>
    <cellStyle name="Standard 6 2" xfId="149" xr:uid="{AECDFC29-E6A4-4F63-8B68-1D8BE8FE5CD3}"/>
    <cellStyle name="Standard 7" xfId="117" xr:uid="{00000000-0005-0000-0000-000079000000}"/>
    <cellStyle name="Standard 7 2" xfId="150" xr:uid="{9D1BF7EF-F4AD-4346-863F-94632B0A8AC9}"/>
    <cellStyle name="Standard 8" xfId="118" xr:uid="{00000000-0005-0000-0000-00007A000000}"/>
    <cellStyle name="text" xfId="119" xr:uid="{00000000-0005-0000-0000-00007B000000}"/>
    <cellStyle name="Text-Manual" xfId="120" xr:uid="{00000000-0005-0000-0000-00007C000000}"/>
    <cellStyle name="Title" xfId="121" xr:uid="{00000000-0005-0000-0000-00007D000000}"/>
    <cellStyle name="unit" xfId="122" xr:uid="{00000000-0005-0000-0000-00007E000000}"/>
    <cellStyle name="Wasser" xfId="123" xr:uid="{00000000-0005-0000-0000-00007F000000}"/>
    <cellStyle name="Wasseremission" xfId="124" xr:uid="{00000000-0005-0000-0000-000080000000}"/>
    <cellStyle name="wis" xfId="125" xr:uid="{00000000-0005-0000-0000-000081000000}"/>
    <cellStyle name="wissenschaft" xfId="126" xr:uid="{00000000-0005-0000-0000-000082000000}"/>
    <cellStyle name="wissenschaft+" xfId="129" xr:uid="{00000000-0005-0000-0000-000085000000}"/>
    <cellStyle name="wissenschaft-Eingabe" xfId="127" xr:uid="{00000000-0005-0000-0000-000083000000}"/>
    <cellStyle name="wissenschaft-Eingabe 2" xfId="128" xr:uid="{00000000-0005-0000-0000-000084000000}"/>
    <cellStyle name="zkh" xfId="130" xr:uid="{00000000-0005-0000-0000-000086000000}"/>
  </cellStyles>
  <dxfs count="551">
    <dxf>
      <numFmt numFmtId="205" formatCode="#,##0.000"/>
    </dxf>
    <dxf>
      <numFmt numFmtId="4" formatCode="#,##0.00"/>
    </dxf>
    <dxf>
      <numFmt numFmtId="165" formatCode="0.0"/>
    </dxf>
    <dxf>
      <font>
        <color theme="0" tint="-0.24994659260841701"/>
      </font>
      <numFmt numFmtId="1" formatCode="0"/>
      <fill>
        <patternFill>
          <bgColor theme="0" tint="-0.24994659260841701"/>
        </patternFill>
      </fill>
    </dxf>
    <dxf>
      <numFmt numFmtId="205" formatCode="#,##0.000"/>
    </dxf>
    <dxf>
      <numFmt numFmtId="4" formatCode="#,##0.00"/>
    </dxf>
    <dxf>
      <numFmt numFmtId="165" formatCode="0.0"/>
    </dxf>
    <dxf>
      <font>
        <color theme="0" tint="-0.24994659260841701"/>
      </font>
      <numFmt numFmtId="1" formatCode="0"/>
      <fill>
        <patternFill>
          <bgColor theme="0" tint="-0.24994659260841701"/>
        </patternFill>
      </fill>
    </dxf>
    <dxf>
      <numFmt numFmtId="205" formatCode="#,##0.000"/>
    </dxf>
    <dxf>
      <numFmt numFmtId="4" formatCode="#,##0.00"/>
    </dxf>
    <dxf>
      <numFmt numFmtId="165" formatCode="0.0"/>
    </dxf>
    <dxf>
      <font>
        <color theme="0" tint="-0.24994659260841701"/>
      </font>
      <numFmt numFmtId="1" formatCode="0"/>
      <fill>
        <patternFill>
          <bgColor theme="0" tint="-0.24994659260841701"/>
        </patternFill>
      </fill>
    </dxf>
    <dxf>
      <numFmt numFmtId="205" formatCode="#,##0.000"/>
    </dxf>
    <dxf>
      <numFmt numFmtId="4" formatCode="#,##0.00"/>
    </dxf>
    <dxf>
      <numFmt numFmtId="165" formatCode="0.0"/>
    </dxf>
    <dxf>
      <font>
        <color theme="0" tint="-0.24994659260841701"/>
      </font>
      <numFmt numFmtId="1" formatCode="0"/>
      <fill>
        <patternFill>
          <bgColor theme="0" tint="-0.24994659260841701"/>
        </patternFill>
      </fill>
    </dxf>
    <dxf>
      <numFmt numFmtId="205" formatCode="#,##0.000"/>
    </dxf>
    <dxf>
      <numFmt numFmtId="4" formatCode="#,##0.00"/>
    </dxf>
    <dxf>
      <numFmt numFmtId="165" formatCode="0.0"/>
    </dxf>
    <dxf>
      <font>
        <color theme="0" tint="-0.24994659260841701"/>
      </font>
      <numFmt numFmtId="1" formatCode="0"/>
      <fill>
        <patternFill>
          <bgColor theme="0" tint="-0.24994659260841701"/>
        </patternFill>
      </fill>
    </dxf>
    <dxf>
      <numFmt numFmtId="205" formatCode="#,##0.000"/>
    </dxf>
    <dxf>
      <numFmt numFmtId="4" formatCode="#,##0.00"/>
    </dxf>
    <dxf>
      <numFmt numFmtId="165" formatCode="0.0"/>
    </dxf>
    <dxf>
      <font>
        <color theme="0" tint="-0.24994659260841701"/>
      </font>
      <numFmt numFmtId="1" formatCode="0"/>
      <fill>
        <patternFill>
          <bgColor theme="0" tint="-0.24994659260841701"/>
        </patternFill>
      </fill>
    </dxf>
    <dxf>
      <numFmt numFmtId="205" formatCode="#,##0.000"/>
    </dxf>
    <dxf>
      <numFmt numFmtId="4" formatCode="#,##0.00"/>
    </dxf>
    <dxf>
      <numFmt numFmtId="165" formatCode="0.0"/>
    </dxf>
    <dxf>
      <font>
        <color theme="0" tint="-0.24994659260841701"/>
      </font>
      <numFmt numFmtId="1" formatCode="0"/>
      <fill>
        <patternFill>
          <bgColor theme="0" tint="-0.24994659260841701"/>
        </patternFill>
      </fill>
    </dxf>
    <dxf>
      <numFmt numFmtId="205" formatCode="#,##0.000"/>
    </dxf>
    <dxf>
      <numFmt numFmtId="4" formatCode="#,##0.00"/>
    </dxf>
    <dxf>
      <numFmt numFmtId="165" formatCode="0.0"/>
    </dxf>
    <dxf>
      <font>
        <color theme="0" tint="-0.24994659260841701"/>
      </font>
      <numFmt numFmtId="1" formatCode="0"/>
      <fill>
        <patternFill>
          <bgColor theme="0" tint="-0.24994659260841701"/>
        </patternFill>
      </fill>
    </dxf>
    <dxf>
      <numFmt numFmtId="205" formatCode="#,##0.000"/>
    </dxf>
    <dxf>
      <numFmt numFmtId="4" formatCode="#,##0.00"/>
    </dxf>
    <dxf>
      <numFmt numFmtId="165" formatCode="0.0"/>
    </dxf>
    <dxf>
      <font>
        <color theme="0" tint="-0.24994659260841701"/>
      </font>
      <numFmt numFmtId="1" formatCode="0"/>
      <fill>
        <patternFill>
          <bgColor theme="0" tint="-0.24994659260841701"/>
        </patternFill>
      </fill>
    </dxf>
    <dxf>
      <numFmt numFmtId="3" formatCode="#,##0"/>
    </dxf>
    <dxf>
      <numFmt numFmtId="3" formatCode="#,##0"/>
    </dxf>
    <dxf>
      <numFmt numFmtId="205" formatCode="#,##0.000"/>
    </dxf>
    <dxf>
      <numFmt numFmtId="4" formatCode="#,##0.00"/>
    </dxf>
    <dxf>
      <numFmt numFmtId="167" formatCode="#,##0.0"/>
    </dxf>
    <dxf>
      <numFmt numFmtId="1" formatCode="0"/>
    </dxf>
    <dxf>
      <numFmt numFmtId="205" formatCode="#,##0.000"/>
    </dxf>
    <dxf>
      <numFmt numFmtId="4" formatCode="#,##0.00"/>
    </dxf>
    <dxf>
      <numFmt numFmtId="167" formatCode="#,##0.0"/>
    </dxf>
    <dxf>
      <numFmt numFmtId="1" formatCode="0"/>
    </dxf>
    <dxf>
      <numFmt numFmtId="205" formatCode="#,##0.000"/>
    </dxf>
    <dxf>
      <numFmt numFmtId="4" formatCode="#,##0.00"/>
    </dxf>
    <dxf>
      <numFmt numFmtId="167" formatCode="#,##0.0"/>
    </dxf>
    <dxf>
      <numFmt numFmtId="1" formatCode="0"/>
    </dxf>
    <dxf>
      <numFmt numFmtId="205" formatCode="#,##0.000"/>
    </dxf>
    <dxf>
      <numFmt numFmtId="4" formatCode="#,##0.00"/>
    </dxf>
    <dxf>
      <numFmt numFmtId="167" formatCode="#,##0.0"/>
    </dxf>
    <dxf>
      <numFmt numFmtId="1" formatCode="0"/>
    </dxf>
    <dxf>
      <numFmt numFmtId="205" formatCode="#,##0.000"/>
    </dxf>
    <dxf>
      <numFmt numFmtId="4" formatCode="#,##0.00"/>
    </dxf>
    <dxf>
      <numFmt numFmtId="167" formatCode="#,##0.0"/>
    </dxf>
    <dxf>
      <numFmt numFmtId="3" formatCode="#,##0"/>
    </dxf>
    <dxf>
      <numFmt numFmtId="1" formatCode="0"/>
    </dxf>
    <dxf>
      <numFmt numFmtId="205" formatCode="#,##0.000"/>
    </dxf>
    <dxf>
      <numFmt numFmtId="4" formatCode="#,##0.00"/>
    </dxf>
    <dxf>
      <numFmt numFmtId="167" formatCode="#,##0.0"/>
    </dxf>
    <dxf>
      <numFmt numFmtId="3" formatCode="#,##0"/>
    </dxf>
    <dxf>
      <numFmt numFmtId="3" formatCode="#,##0"/>
    </dxf>
    <dxf>
      <numFmt numFmtId="205" formatCode="#,##0.000"/>
    </dxf>
    <dxf>
      <numFmt numFmtId="4" formatCode="#,##0.00"/>
    </dxf>
    <dxf>
      <numFmt numFmtId="167" formatCode="#,##0.0"/>
    </dxf>
    <dxf>
      <numFmt numFmtId="3" formatCode="#,##0"/>
    </dxf>
    <dxf>
      <numFmt numFmtId="3" formatCode="#,##0"/>
    </dxf>
    <dxf>
      <numFmt numFmtId="205" formatCode="#,##0.000"/>
    </dxf>
    <dxf>
      <numFmt numFmtId="4" formatCode="#,##0.00"/>
    </dxf>
    <dxf>
      <numFmt numFmtId="167" formatCode="#,##0.0"/>
    </dxf>
    <dxf>
      <numFmt numFmtId="3" formatCode="#,##0"/>
    </dxf>
    <dxf>
      <numFmt numFmtId="3" formatCode="#,##0"/>
    </dxf>
    <dxf>
      <numFmt numFmtId="205" formatCode="#,##0.000"/>
    </dxf>
    <dxf>
      <numFmt numFmtId="4" formatCode="#,##0.00"/>
    </dxf>
    <dxf>
      <numFmt numFmtId="167" formatCode="#,##0.0"/>
    </dxf>
    <dxf>
      <numFmt numFmtId="3" formatCode="#,##0"/>
    </dxf>
    <dxf>
      <numFmt numFmtId="3" formatCode="#,##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numFmt numFmtId="166" formatCode="0.000"/>
    </dxf>
    <dxf>
      <numFmt numFmtId="2" formatCode="0.00"/>
    </dxf>
    <dxf>
      <numFmt numFmtId="165" formatCode="0.0"/>
    </dxf>
    <dxf>
      <numFmt numFmtId="3" formatCode="#,##0"/>
    </dxf>
    <dxf>
      <numFmt numFmtId="1" formatCode="0"/>
    </dxf>
    <dxf>
      <font>
        <color theme="1"/>
      </font>
      <fill>
        <patternFill>
          <bgColor theme="9" tint="0.59996337778862885"/>
        </patternFill>
      </fill>
    </dxf>
    <dxf>
      <font>
        <color theme="1" tint="0.499984740745262"/>
      </font>
    </dxf>
    <dxf>
      <font>
        <color theme="1"/>
      </font>
      <fill>
        <patternFill>
          <fgColor auto="1"/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colors>
    <mruColors>
      <color rgb="FFCCECFF"/>
      <color rgb="FFFF7C80"/>
      <color rgb="FF000099"/>
      <color rgb="FFFF66F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 sz="1800" b="1" i="0" baseline="0">
                <a:solidFill>
                  <a:schemeClr val="tx1"/>
                </a:solidFill>
                <a:effectLst/>
              </a:rPr>
              <a:t>Impact carbone sur les différentes phases </a:t>
            </a:r>
            <a:endParaRPr lang="fr-CH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6341237605069968E-2"/>
          <c:y val="9.1713330530175358E-2"/>
          <c:w val="0.88786775684956587"/>
          <c:h val="0.756931233595800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Graphes_Background!$A$60:$B$60</c:f>
              <c:strCache>
                <c:ptCount val="2"/>
                <c:pt idx="0">
                  <c:v>Travaux préparatoires B06 / B07.02</c:v>
                </c:pt>
                <c:pt idx="1">
                  <c:v>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Graphes_Background!$C$59:$G$59</c:f>
              <c:strCache>
                <c:ptCount val="5"/>
                <c:pt idx="0">
                  <c:v>Budget "upfront" (fin de chantier)</c:v>
                </c:pt>
                <c:pt idx="1">
                  <c:v>Impact remplacements (20 ans)</c:v>
                </c:pt>
                <c:pt idx="2">
                  <c:v>Impact remplacements (30 ans)</c:v>
                </c:pt>
                <c:pt idx="3">
                  <c:v>Impact remplacements (40 ans)</c:v>
                </c:pt>
                <c:pt idx="4">
                  <c:v>Impact fin de vie (60ans)</c:v>
                </c:pt>
              </c:strCache>
            </c:strRef>
          </c:cat>
          <c:val>
            <c:numRef>
              <c:f>Graphes_Background!$C$60:$G$60</c:f>
              <c:numCache>
                <c:formatCode>0;\-0;;@</c:formatCode>
                <c:ptCount val="5"/>
                <c:pt idx="0">
                  <c:v>1.9914999999999998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A-44DA-A54A-FA63F2D2C782}"/>
            </c:ext>
          </c:extLst>
        </c:ser>
        <c:ser>
          <c:idx val="1"/>
          <c:order val="1"/>
          <c:tx>
            <c:strRef>
              <c:f>Graphes_Background!$A$61:$B$61</c:f>
              <c:strCache>
                <c:ptCount val="2"/>
                <c:pt idx="0">
                  <c:v>Enveloppe du bâtiment souterraine C01 / 02 / 04 - E01 - F01</c:v>
                </c:pt>
                <c:pt idx="1">
                  <c:v>51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;\-0;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Graphes_Background!$C$59:$G$59</c:f>
              <c:strCache>
                <c:ptCount val="5"/>
                <c:pt idx="0">
                  <c:v>Budget "upfront" (fin de chantier)</c:v>
                </c:pt>
                <c:pt idx="1">
                  <c:v>Impact remplacements (20 ans)</c:v>
                </c:pt>
                <c:pt idx="2">
                  <c:v>Impact remplacements (30 ans)</c:v>
                </c:pt>
                <c:pt idx="3">
                  <c:v>Impact remplacements (40 ans)</c:v>
                </c:pt>
                <c:pt idx="4">
                  <c:v>Impact fin de vie (60ans)</c:v>
                </c:pt>
              </c:strCache>
            </c:strRef>
          </c:cat>
          <c:val>
            <c:numRef>
              <c:f>Graphes_Background!$C$61:$G$61</c:f>
              <c:numCache>
                <c:formatCode>0;\-0;;@</c:formatCode>
                <c:ptCount val="5"/>
                <c:pt idx="0">
                  <c:v>45.460858638829919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5.3487234819532921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A-44DA-A54A-FA63F2D2C782}"/>
            </c:ext>
          </c:extLst>
        </c:ser>
        <c:ser>
          <c:idx val="4"/>
          <c:order val="2"/>
          <c:tx>
            <c:strRef>
              <c:f>Graphes_Background!$A$64:$B$64</c:f>
              <c:strCache>
                <c:ptCount val="2"/>
                <c:pt idx="0">
                  <c:v>Enveloppe du bâtiment hors terrain C02 / 04 - E02 / 03 - F01 / 02</c:v>
                </c:pt>
                <c:pt idx="1">
                  <c:v>146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Graphes_Background!$C$59:$G$59</c:f>
              <c:strCache>
                <c:ptCount val="5"/>
                <c:pt idx="0">
                  <c:v>Budget "upfront" (fin de chantier)</c:v>
                </c:pt>
                <c:pt idx="1">
                  <c:v>Impact remplacements (20 ans)</c:v>
                </c:pt>
                <c:pt idx="2">
                  <c:v>Impact remplacements (30 ans)</c:v>
                </c:pt>
                <c:pt idx="3">
                  <c:v>Impact remplacements (40 ans)</c:v>
                </c:pt>
                <c:pt idx="4">
                  <c:v>Impact fin de vie (60ans)</c:v>
                </c:pt>
              </c:strCache>
            </c:strRef>
          </c:cat>
          <c:val>
            <c:numRef>
              <c:f>Graphes_Background!$C$64:$G$64</c:f>
              <c:numCache>
                <c:formatCode>0;\-0;;@</c:formatCode>
                <c:ptCount val="5"/>
                <c:pt idx="0">
                  <c:v>71.111836939236127</c:v>
                </c:pt>
                <c:pt idx="1">
                  <c:v>0</c:v>
                </c:pt>
                <c:pt idx="2">
                  <c:v>26.651679246977547</c:v>
                </c:pt>
                <c:pt idx="3">
                  <c:v>39.899915610349552</c:v>
                </c:pt>
                <c:pt idx="4">
                  <c:v>8.4603114847576322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4A-44DA-A54A-FA63F2D2C782}"/>
            </c:ext>
          </c:extLst>
        </c:ser>
        <c:ser>
          <c:idx val="9"/>
          <c:order val="3"/>
          <c:tx>
            <c:strRef>
              <c:f>Graphes_Background!$A$69:$B$69</c:f>
              <c:strCache>
                <c:ptCount val="2"/>
                <c:pt idx="0">
                  <c:v>Eléments de construction intérieurs et extérieurs C02 / 04 - G02 / 03 / 04</c:v>
                </c:pt>
                <c:pt idx="1">
                  <c:v>175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Graphes_Background!$C$59:$G$59</c:f>
              <c:strCache>
                <c:ptCount val="5"/>
                <c:pt idx="0">
                  <c:v>Budget "upfront" (fin de chantier)</c:v>
                </c:pt>
                <c:pt idx="1">
                  <c:v>Impact remplacements (20 ans)</c:v>
                </c:pt>
                <c:pt idx="2">
                  <c:v>Impact remplacements (30 ans)</c:v>
                </c:pt>
                <c:pt idx="3">
                  <c:v>Impact remplacements (40 ans)</c:v>
                </c:pt>
                <c:pt idx="4">
                  <c:v>Impact fin de vie (60ans)</c:v>
                </c:pt>
              </c:strCache>
            </c:strRef>
          </c:cat>
          <c:val>
            <c:numRef>
              <c:f>Graphes_Background!$C$69:$G$69</c:f>
              <c:numCache>
                <c:formatCode>0;\-0;;@</c:formatCode>
                <c:ptCount val="5"/>
                <c:pt idx="0">
                  <c:v>104.22548648877815</c:v>
                </c:pt>
                <c:pt idx="1">
                  <c:v>0</c:v>
                </c:pt>
                <c:pt idx="2">
                  <c:v>56.806855099437655</c:v>
                </c:pt>
                <c:pt idx="3">
                  <c:v>2.3746209999999999</c:v>
                </c:pt>
                <c:pt idx="4">
                  <c:v>11.831262171526802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4A-44DA-A54A-FA63F2D2C782}"/>
            </c:ext>
          </c:extLst>
        </c:ser>
        <c:ser>
          <c:idx val="17"/>
          <c:order val="4"/>
          <c:tx>
            <c:strRef>
              <c:f>Graphes_Background!$A$77:$B$77</c:f>
              <c:strCache>
                <c:ptCount val="2"/>
                <c:pt idx="0">
                  <c:v>Installations CVSE D01 / 05 / 07 / 08 / 12</c:v>
                </c:pt>
                <c:pt idx="1">
                  <c:v>186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Graphes_Background!$C$59:$G$59</c:f>
              <c:strCache>
                <c:ptCount val="5"/>
                <c:pt idx="0">
                  <c:v>Budget "upfront" (fin de chantier)</c:v>
                </c:pt>
                <c:pt idx="1">
                  <c:v>Impact remplacements (20 ans)</c:v>
                </c:pt>
                <c:pt idx="2">
                  <c:v>Impact remplacements (30 ans)</c:v>
                </c:pt>
                <c:pt idx="3">
                  <c:v>Impact remplacements (40 ans)</c:v>
                </c:pt>
                <c:pt idx="4">
                  <c:v>Impact fin de vie (60ans)</c:v>
                </c:pt>
              </c:strCache>
            </c:strRef>
          </c:cat>
          <c:val>
            <c:numRef>
              <c:f>Graphes_Background!$C$77:$G$77</c:f>
              <c:numCache>
                <c:formatCode>0;\-0;;@</c:formatCode>
                <c:ptCount val="5"/>
                <c:pt idx="0">
                  <c:v>83.417461139896375</c:v>
                </c:pt>
                <c:pt idx="1">
                  <c:v>2.5787999999999998</c:v>
                </c:pt>
                <c:pt idx="2">
                  <c:v>87.416652849740927</c:v>
                </c:pt>
                <c:pt idx="3">
                  <c:v>4.3857948186528493</c:v>
                </c:pt>
                <c:pt idx="4">
                  <c:v>8.384986528497409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4A-44DA-A54A-FA63F2D2C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82426815"/>
        <c:axId val="1782415999"/>
      </c:barChart>
      <c:scatterChart>
        <c:scatterStyle val="lineMarker"/>
        <c:varyColors val="0"/>
        <c:ser>
          <c:idx val="21"/>
          <c:order val="5"/>
          <c:tx>
            <c:strRef>
              <c:f>Graphes_Background!$A$81:$B$81</c:f>
              <c:strCache>
                <c:ptCount val="2"/>
                <c:pt idx="0">
                  <c:v>Objectif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1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strRef>
              <c:f>Graphes_Background!$C$59:$G$59</c:f>
              <c:strCache>
                <c:ptCount val="5"/>
                <c:pt idx="0">
                  <c:v>Budget "upfront" (fin de chantier)</c:v>
                </c:pt>
                <c:pt idx="1">
                  <c:v>Impact remplacements (20 ans)</c:v>
                </c:pt>
                <c:pt idx="2">
                  <c:v>Impact remplacements (30 ans)</c:v>
                </c:pt>
                <c:pt idx="3">
                  <c:v>Impact remplacements (40 ans)</c:v>
                </c:pt>
                <c:pt idx="4">
                  <c:v>Impact fin de vie (60ans)</c:v>
                </c:pt>
              </c:strCache>
            </c:strRef>
          </c:xVal>
          <c:yVal>
            <c:numRef>
              <c:f>Graphes_Background!$C$81:$G$81</c:f>
              <c:numCache>
                <c:formatCode>0;\-0;;@</c:formatCode>
                <c:ptCount val="5"/>
                <c:pt idx="0">
                  <c:v>500.09781828949548</c:v>
                </c:pt>
                <c:pt idx="1">
                  <c:v>17.571004426387681</c:v>
                </c:pt>
                <c:pt idx="2">
                  <c:v>122.99703098471375</c:v>
                </c:pt>
                <c:pt idx="3">
                  <c:v>35.142008852775362</c:v>
                </c:pt>
                <c:pt idx="4">
                  <c:v>84.47764187324826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4A-44DA-A54A-FA63F2D2C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2426815"/>
        <c:axId val="1782415999"/>
      </c:scatterChart>
      <c:catAx>
        <c:axId val="1782426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2415999"/>
        <c:crosses val="autoZero"/>
        <c:auto val="1"/>
        <c:lblAlgn val="ctr"/>
        <c:lblOffset val="100"/>
        <c:noMultiLvlLbl val="0"/>
      </c:catAx>
      <c:valAx>
        <c:axId val="178241599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 sz="1000" b="0" i="0" baseline="0">
                    <a:effectLst/>
                  </a:rPr>
                  <a:t> kgCO</a:t>
                </a:r>
                <a:r>
                  <a:rPr lang="fr-CH" sz="1000" b="0" i="0" baseline="-25000">
                    <a:effectLst/>
                  </a:rPr>
                  <a:t>2éq</a:t>
                </a:r>
                <a:r>
                  <a:rPr lang="fr-CH" sz="1000" b="0" i="0" baseline="0">
                    <a:effectLst/>
                  </a:rPr>
                  <a:t>/m</a:t>
                </a:r>
                <a:r>
                  <a:rPr lang="fr-CH" sz="1000" b="0" i="0" baseline="30000">
                    <a:effectLst/>
                  </a:rPr>
                  <a:t>2</a:t>
                </a:r>
                <a:r>
                  <a:rPr lang="fr-CH" sz="1000" b="0" i="0" baseline="-25000">
                    <a:effectLst/>
                  </a:rPr>
                  <a:t>SRE</a:t>
                </a:r>
                <a:endParaRPr lang="fr-CH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2426815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5906778127889381"/>
          <c:y val="0.10885933394678207"/>
          <c:w val="0.53569863106654891"/>
          <c:h val="0.264318517242945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1" i="0" baseline="0">
                <a:effectLst/>
              </a:rPr>
              <a:t>Impact carbone sur toute la durée de vie selon la classification ECCC </a:t>
            </a:r>
            <a:endParaRPr lang="fr-CH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Graphes_Background!$U$37</c:f>
              <c:strCache>
                <c:ptCount val="1"/>
                <c:pt idx="0">
                  <c:v>Travaux préparatoires B06 / B07.02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Graphes_Background!$S$38:$S$58</c15:sqref>
                  </c15:fullRef>
                </c:ext>
              </c:extLst>
              <c:f>Graphes_Background!$S$38:$S$56</c:f>
              <c:strCache>
                <c:ptCount val="19"/>
                <c:pt idx="0">
                  <c:v>Installations électriques</c:v>
                </c:pt>
                <c:pt idx="1">
                  <c:v>Fenetres et portes</c:v>
                </c:pt>
                <c:pt idx="2">
                  <c:v>Fondations, radiers</c:v>
                </c:pt>
                <c:pt idx="3">
                  <c:v>Parois intérieures</c:v>
                </c:pt>
                <c:pt idx="4">
                  <c:v>Revêtement intérieurs parois</c:v>
                </c:pt>
                <c:pt idx="5">
                  <c:v>Couvertures</c:v>
                </c:pt>
                <c:pt idx="6">
                  <c:v>Revetements extérieurs de facades</c:v>
                </c:pt>
                <c:pt idx="7">
                  <c:v>Installations de ventilation et de conditionnement d'air</c:v>
                </c:pt>
                <c:pt idx="8">
                  <c:v>Revetements de sols</c:v>
                </c:pt>
                <c:pt idx="9">
                  <c:v>Installations techniques de chauffage</c:v>
                </c:pt>
                <c:pt idx="10">
                  <c:v>Planchers internes</c:v>
                </c:pt>
                <c:pt idx="11">
                  <c:v>Installations techniques d'eau</c:v>
                </c:pt>
                <c:pt idx="12">
                  <c:v>Revetements plafonds</c:v>
                </c:pt>
                <c:pt idx="13">
                  <c:v>Toitures (structure porteuse)</c:v>
                </c:pt>
                <c:pt idx="14">
                  <c:v>Parois extérieures hors terrain</c:v>
                </c:pt>
                <c:pt idx="15">
                  <c:v>Balcons, avant-toits</c:v>
                </c:pt>
                <c:pt idx="16">
                  <c:v>Fouilles</c:v>
                </c:pt>
                <c:pt idx="17">
                  <c:v>Parois extérieures souterraines</c:v>
                </c:pt>
                <c:pt idx="18">
                  <c:v>Toitures souterraines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Graphes_Background!$U$38:$U$58</c15:sqref>
                  </c15:fullRef>
                </c:ext>
              </c:extLst>
              <c:f>Graphes_Background!$U$38:$U$56</c:f>
              <c:numCache>
                <c:formatCode>0;\-0;;@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1.9914999999999998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7-457C-A5F5-53D4B6F2DF88}"/>
            </c:ext>
          </c:extLst>
        </c:ser>
        <c:ser>
          <c:idx val="1"/>
          <c:order val="1"/>
          <c:tx>
            <c:strRef>
              <c:f>Graphes_Background!$V$37</c:f>
              <c:strCache>
                <c:ptCount val="1"/>
                <c:pt idx="0">
                  <c:v>Enveloppe du bâtiment souterraine C01 / 02 / 04 - E01 - F01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Graphes_Background!$S$38:$S$58</c15:sqref>
                  </c15:fullRef>
                </c:ext>
              </c:extLst>
              <c:f>Graphes_Background!$S$38:$S$56</c:f>
              <c:strCache>
                <c:ptCount val="19"/>
                <c:pt idx="0">
                  <c:v>Installations électriques</c:v>
                </c:pt>
                <c:pt idx="1">
                  <c:v>Fenetres et portes</c:v>
                </c:pt>
                <c:pt idx="2">
                  <c:v>Fondations, radiers</c:v>
                </c:pt>
                <c:pt idx="3">
                  <c:v>Parois intérieures</c:v>
                </c:pt>
                <c:pt idx="4">
                  <c:v>Revêtement intérieurs parois</c:v>
                </c:pt>
                <c:pt idx="5">
                  <c:v>Couvertures</c:v>
                </c:pt>
                <c:pt idx="6">
                  <c:v>Revetements extérieurs de facades</c:v>
                </c:pt>
                <c:pt idx="7">
                  <c:v>Installations de ventilation et de conditionnement d'air</c:v>
                </c:pt>
                <c:pt idx="8">
                  <c:v>Revetements de sols</c:v>
                </c:pt>
                <c:pt idx="9">
                  <c:v>Installations techniques de chauffage</c:v>
                </c:pt>
                <c:pt idx="10">
                  <c:v>Planchers internes</c:v>
                </c:pt>
                <c:pt idx="11">
                  <c:v>Installations techniques d'eau</c:v>
                </c:pt>
                <c:pt idx="12">
                  <c:v>Revetements plafonds</c:v>
                </c:pt>
                <c:pt idx="13">
                  <c:v>Toitures (structure porteuse)</c:v>
                </c:pt>
                <c:pt idx="14">
                  <c:v>Parois extérieures hors terrain</c:v>
                </c:pt>
                <c:pt idx="15">
                  <c:v>Balcons, avant-toits</c:v>
                </c:pt>
                <c:pt idx="16">
                  <c:v>Fouilles</c:v>
                </c:pt>
                <c:pt idx="17">
                  <c:v>Parois extérieures souterraines</c:v>
                </c:pt>
                <c:pt idx="18">
                  <c:v>Toitures souterraines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Graphes_Background!$V$38:$V$58</c15:sqref>
                  </c15:fullRef>
                </c:ext>
              </c:extLst>
              <c:f>Graphes_Background!$V$38:$V$56</c:f>
              <c:numCache>
                <c:formatCode>0;\-0;;@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50.809582120783205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7-457C-A5F5-53D4B6F2DF88}"/>
            </c:ext>
          </c:extLst>
        </c:ser>
        <c:ser>
          <c:idx val="2"/>
          <c:order val="2"/>
          <c:tx>
            <c:strRef>
              <c:f>Graphes_Background!$W$37</c:f>
              <c:strCache>
                <c:ptCount val="1"/>
                <c:pt idx="0">
                  <c:v>Enveloppe du bâtiment hors terrain C02 / 04 - E02 / 03 - F01 / 02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Graphes_Background!$S$38:$S$58</c15:sqref>
                  </c15:fullRef>
                </c:ext>
              </c:extLst>
              <c:f>Graphes_Background!$S$38:$S$56</c:f>
              <c:strCache>
                <c:ptCount val="19"/>
                <c:pt idx="0">
                  <c:v>Installations électriques</c:v>
                </c:pt>
                <c:pt idx="1">
                  <c:v>Fenetres et portes</c:v>
                </c:pt>
                <c:pt idx="2">
                  <c:v>Fondations, radiers</c:v>
                </c:pt>
                <c:pt idx="3">
                  <c:v>Parois intérieures</c:v>
                </c:pt>
                <c:pt idx="4">
                  <c:v>Revêtement intérieurs parois</c:v>
                </c:pt>
                <c:pt idx="5">
                  <c:v>Couvertures</c:v>
                </c:pt>
                <c:pt idx="6">
                  <c:v>Revetements extérieurs de facades</c:v>
                </c:pt>
                <c:pt idx="7">
                  <c:v>Installations de ventilation et de conditionnement d'air</c:v>
                </c:pt>
                <c:pt idx="8">
                  <c:v>Revetements de sols</c:v>
                </c:pt>
                <c:pt idx="9">
                  <c:v>Installations techniques de chauffage</c:v>
                </c:pt>
                <c:pt idx="10">
                  <c:v>Planchers internes</c:v>
                </c:pt>
                <c:pt idx="11">
                  <c:v>Installations techniques d'eau</c:v>
                </c:pt>
                <c:pt idx="12">
                  <c:v>Revetements plafonds</c:v>
                </c:pt>
                <c:pt idx="13">
                  <c:v>Toitures (structure porteuse)</c:v>
                </c:pt>
                <c:pt idx="14">
                  <c:v>Parois extérieures hors terrain</c:v>
                </c:pt>
                <c:pt idx="15">
                  <c:v>Balcons, avant-toits</c:v>
                </c:pt>
                <c:pt idx="16">
                  <c:v>Fouilles</c:v>
                </c:pt>
                <c:pt idx="17">
                  <c:v>Parois extérieures souterraines</c:v>
                </c:pt>
                <c:pt idx="18">
                  <c:v>Toitures souterraines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Graphes_Background!$W$38:$W$58</c15:sqref>
                  </c15:fullRef>
                </c:ext>
              </c:extLst>
              <c:f>Graphes_Background!$W$38:$W$56</c:f>
              <c:numCache>
                <c:formatCode>0;\-0;;@</c:formatCode>
                <c:ptCount val="19"/>
                <c:pt idx="0">
                  <c:v>0</c:v>
                </c:pt>
                <c:pt idx="1">
                  <c:v>53.303358493955095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40.189421120713448</c:v>
                </c:pt>
                <c:pt idx="6">
                  <c:v>39.610410099985664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7.6379233333333332</c:v>
                </c:pt>
                <c:pt idx="14">
                  <c:v>5.3826302333333338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87-457C-A5F5-53D4B6F2DF88}"/>
            </c:ext>
          </c:extLst>
        </c:ser>
        <c:ser>
          <c:idx val="3"/>
          <c:order val="3"/>
          <c:tx>
            <c:strRef>
              <c:f>Graphes_Background!$X$37</c:f>
              <c:strCache>
                <c:ptCount val="1"/>
                <c:pt idx="0">
                  <c:v>Eléments de construction intérieurs et extérieurs C02 / 04 - G02 / 03 / 04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Graphes_Background!$S$38:$S$58</c15:sqref>
                  </c15:fullRef>
                </c:ext>
              </c:extLst>
              <c:f>Graphes_Background!$S$38:$S$56</c:f>
              <c:strCache>
                <c:ptCount val="19"/>
                <c:pt idx="0">
                  <c:v>Installations électriques</c:v>
                </c:pt>
                <c:pt idx="1">
                  <c:v>Fenetres et portes</c:v>
                </c:pt>
                <c:pt idx="2">
                  <c:v>Fondations, radiers</c:v>
                </c:pt>
                <c:pt idx="3">
                  <c:v>Parois intérieures</c:v>
                </c:pt>
                <c:pt idx="4">
                  <c:v>Revêtement intérieurs parois</c:v>
                </c:pt>
                <c:pt idx="5">
                  <c:v>Couvertures</c:v>
                </c:pt>
                <c:pt idx="6">
                  <c:v>Revetements extérieurs de facades</c:v>
                </c:pt>
                <c:pt idx="7">
                  <c:v>Installations de ventilation et de conditionnement d'air</c:v>
                </c:pt>
                <c:pt idx="8">
                  <c:v>Revetements de sols</c:v>
                </c:pt>
                <c:pt idx="9">
                  <c:v>Installations techniques de chauffage</c:v>
                </c:pt>
                <c:pt idx="10">
                  <c:v>Planchers internes</c:v>
                </c:pt>
                <c:pt idx="11">
                  <c:v>Installations techniques d'eau</c:v>
                </c:pt>
                <c:pt idx="12">
                  <c:v>Revetements plafonds</c:v>
                </c:pt>
                <c:pt idx="13">
                  <c:v>Toitures (structure porteuse)</c:v>
                </c:pt>
                <c:pt idx="14">
                  <c:v>Parois extérieures hors terrain</c:v>
                </c:pt>
                <c:pt idx="15">
                  <c:v>Balcons, avant-toits</c:v>
                </c:pt>
                <c:pt idx="16">
                  <c:v>Fouilles</c:v>
                </c:pt>
                <c:pt idx="17">
                  <c:v>Parois extérieures souterraines</c:v>
                </c:pt>
                <c:pt idx="18">
                  <c:v>Toitures souterraines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Graphes_Background!$X$38:$X$58</c15:sqref>
                  </c15:fullRef>
                </c:ext>
              </c:extLst>
              <c:f>Graphes_Background!$X$38:$X$56</c:f>
              <c:numCache>
                <c:formatCode>0;\-0;;@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50.101569875965382</c:v>
                </c:pt>
                <c:pt idx="4">
                  <c:v>43.476249238341964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35.661653333333334</c:v>
                </c:pt>
                <c:pt idx="9">
                  <c:v>0</c:v>
                </c:pt>
                <c:pt idx="10">
                  <c:v>31.167673312101911</c:v>
                </c:pt>
                <c:pt idx="11">
                  <c:v>0</c:v>
                </c:pt>
                <c:pt idx="12">
                  <c:v>10.081837</c:v>
                </c:pt>
                <c:pt idx="13">
                  <c:v>0</c:v>
                </c:pt>
                <c:pt idx="14">
                  <c:v>0</c:v>
                </c:pt>
                <c:pt idx="15">
                  <c:v>4.7492419999999997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87-457C-A5F5-53D4B6F2DF88}"/>
            </c:ext>
          </c:extLst>
        </c:ser>
        <c:ser>
          <c:idx val="4"/>
          <c:order val="4"/>
          <c:tx>
            <c:strRef>
              <c:f>Graphes_Background!$Y$37</c:f>
              <c:strCache>
                <c:ptCount val="1"/>
                <c:pt idx="0">
                  <c:v>Installations CVSE D01 / 05 / 07 / 08 / 12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Graphes_Background!$S$38:$S$58</c15:sqref>
                  </c15:fullRef>
                </c:ext>
              </c:extLst>
              <c:f>Graphes_Background!$S$38:$S$56</c:f>
              <c:strCache>
                <c:ptCount val="19"/>
                <c:pt idx="0">
                  <c:v>Installations électriques</c:v>
                </c:pt>
                <c:pt idx="1">
                  <c:v>Fenetres et portes</c:v>
                </c:pt>
                <c:pt idx="2">
                  <c:v>Fondations, radiers</c:v>
                </c:pt>
                <c:pt idx="3">
                  <c:v>Parois intérieures</c:v>
                </c:pt>
                <c:pt idx="4">
                  <c:v>Revêtement intérieurs parois</c:v>
                </c:pt>
                <c:pt idx="5">
                  <c:v>Couvertures</c:v>
                </c:pt>
                <c:pt idx="6">
                  <c:v>Revetements extérieurs de facades</c:v>
                </c:pt>
                <c:pt idx="7">
                  <c:v>Installations de ventilation et de conditionnement d'air</c:v>
                </c:pt>
                <c:pt idx="8">
                  <c:v>Revetements de sols</c:v>
                </c:pt>
                <c:pt idx="9">
                  <c:v>Installations techniques de chauffage</c:v>
                </c:pt>
                <c:pt idx="10">
                  <c:v>Planchers internes</c:v>
                </c:pt>
                <c:pt idx="11">
                  <c:v>Installations techniques d'eau</c:v>
                </c:pt>
                <c:pt idx="12">
                  <c:v>Revetements plafonds</c:v>
                </c:pt>
                <c:pt idx="13">
                  <c:v>Toitures (structure porteuse)</c:v>
                </c:pt>
                <c:pt idx="14">
                  <c:v>Parois extérieures hors terrain</c:v>
                </c:pt>
                <c:pt idx="15">
                  <c:v>Balcons, avant-toits</c:v>
                </c:pt>
                <c:pt idx="16">
                  <c:v>Fouilles</c:v>
                </c:pt>
                <c:pt idx="17">
                  <c:v>Parois extérieures souterraines</c:v>
                </c:pt>
                <c:pt idx="18">
                  <c:v>Toitures souterraines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Graphes_Background!$Y$38:$Y$58</c15:sqref>
                  </c15:fullRef>
                </c:ext>
              </c:extLst>
              <c:f>Graphes_Background!$Y$38:$Y$56</c:f>
              <c:numCache>
                <c:formatCode>0;\-0;;@</c:formatCode>
                <c:ptCount val="19"/>
                <c:pt idx="0">
                  <c:v>92.055440414507785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37.165999999999997</c:v>
                </c:pt>
                <c:pt idx="8">
                  <c:v>0</c:v>
                </c:pt>
                <c:pt idx="9">
                  <c:v>31.882254922279792</c:v>
                </c:pt>
                <c:pt idx="10">
                  <c:v>0</c:v>
                </c:pt>
                <c:pt idx="11">
                  <c:v>25.08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87-457C-A5F5-53D4B6F2D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43304927"/>
        <c:axId val="1143315327"/>
      </c:barChart>
      <c:lineChart>
        <c:grouping val="standard"/>
        <c:varyColors val="0"/>
        <c:ser>
          <c:idx val="5"/>
          <c:order val="5"/>
          <c:tx>
            <c:strRef>
              <c:f>Graphes_Background!$Z$37</c:f>
              <c:strCache>
                <c:ptCount val="1"/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Graphes_Background!$S$38:$S$58</c15:sqref>
                  </c15:fullRef>
                </c:ext>
              </c:extLst>
              <c:f>Graphes_Background!$S$38:$S$56</c:f>
              <c:strCache>
                <c:ptCount val="19"/>
                <c:pt idx="0">
                  <c:v>Installations électriques</c:v>
                </c:pt>
                <c:pt idx="1">
                  <c:v>Fenetres et portes</c:v>
                </c:pt>
                <c:pt idx="2">
                  <c:v>Fondations, radiers</c:v>
                </c:pt>
                <c:pt idx="3">
                  <c:v>Parois intérieures</c:v>
                </c:pt>
                <c:pt idx="4">
                  <c:v>Revêtement intérieurs parois</c:v>
                </c:pt>
                <c:pt idx="5">
                  <c:v>Couvertures</c:v>
                </c:pt>
                <c:pt idx="6">
                  <c:v>Revetements extérieurs de facades</c:v>
                </c:pt>
                <c:pt idx="7">
                  <c:v>Installations de ventilation et de conditionnement d'air</c:v>
                </c:pt>
                <c:pt idx="8">
                  <c:v>Revetements de sols</c:v>
                </c:pt>
                <c:pt idx="9">
                  <c:v>Installations techniques de chauffage</c:v>
                </c:pt>
                <c:pt idx="10">
                  <c:v>Planchers internes</c:v>
                </c:pt>
                <c:pt idx="11">
                  <c:v>Installations techniques d'eau</c:v>
                </c:pt>
                <c:pt idx="12">
                  <c:v>Revetements plafonds</c:v>
                </c:pt>
                <c:pt idx="13">
                  <c:v>Toitures (structure porteuse)</c:v>
                </c:pt>
                <c:pt idx="14">
                  <c:v>Parois extérieures hors terrain</c:v>
                </c:pt>
                <c:pt idx="15">
                  <c:v>Balcons, avant-toits</c:v>
                </c:pt>
                <c:pt idx="16">
                  <c:v>Fouilles</c:v>
                </c:pt>
                <c:pt idx="17">
                  <c:v>Parois extérieures souterraines</c:v>
                </c:pt>
                <c:pt idx="18">
                  <c:v>Toitures souterraines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Graphes_Background!$Z$38:$Z$58</c15:sqref>
                  </c15:fullRef>
                </c:ext>
              </c:extLst>
              <c:f>Graphes_Background!$Z$38:$Z$56</c:f>
              <c:numCache>
                <c:formatCode>0;\-0;;@</c:formatCode>
                <c:ptCount val="19"/>
                <c:pt idx="0">
                  <c:v>0.16428299290395748</c:v>
                </c:pt>
                <c:pt idx="1">
                  <c:v>0.25940866093388809</c:v>
                </c:pt>
                <c:pt idx="2">
                  <c:v>0.35008391251506649</c:v>
                </c:pt>
                <c:pt idx="3">
                  <c:v>0.43949563887636023</c:v>
                </c:pt>
                <c:pt idx="4">
                  <c:v>0.51708375656883276</c:v>
                </c:pt>
                <c:pt idx="5">
                  <c:v>0.58880617031275517</c:v>
                </c:pt>
                <c:pt idx="6">
                  <c:v>0.65949527561796695</c:v>
                </c:pt>
                <c:pt idx="7">
                  <c:v>0.72582206398349447</c:v>
                </c:pt>
                <c:pt idx="8">
                  <c:v>0.78946418133281393</c:v>
                </c:pt>
                <c:pt idx="9">
                  <c:v>0.84636154921867324</c:v>
                </c:pt>
                <c:pt idx="10">
                  <c:v>0.90198366813428654</c:v>
                </c:pt>
                <c:pt idx="11">
                  <c:v>0.94674166878561916</c:v>
                </c:pt>
                <c:pt idx="12">
                  <c:v>0.96473380861865865</c:v>
                </c:pt>
                <c:pt idx="13">
                  <c:v>0.97836451745151998</c:v>
                </c:pt>
                <c:pt idx="14">
                  <c:v>0.98797040929719049</c:v>
                </c:pt>
                <c:pt idx="15">
                  <c:v>0.99644595062611141</c:v>
                </c:pt>
                <c:pt idx="16">
                  <c:v>1.0000000000000002</c:v>
                </c:pt>
                <c:pt idx="17">
                  <c:v>1.0000000000000002</c:v>
                </c:pt>
                <c:pt idx="18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87-457C-A5F5-53D4B6F2D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304095"/>
        <c:axId val="1143315743"/>
      </c:lineChart>
      <c:catAx>
        <c:axId val="1143304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43315327"/>
        <c:crosses val="autoZero"/>
        <c:auto val="1"/>
        <c:lblAlgn val="ctr"/>
        <c:lblOffset val="100"/>
        <c:noMultiLvlLbl val="0"/>
      </c:catAx>
      <c:valAx>
        <c:axId val="1143315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 sz="1000" b="0" i="0" baseline="0">
                    <a:effectLst/>
                  </a:rPr>
                  <a:t> kgCO</a:t>
                </a:r>
                <a:r>
                  <a:rPr lang="fr-CH" sz="1000" b="0" i="0" baseline="-25000">
                    <a:effectLst/>
                  </a:rPr>
                  <a:t>2éq</a:t>
                </a:r>
                <a:r>
                  <a:rPr lang="fr-CH" sz="1000" b="0" i="0" baseline="0">
                    <a:effectLst/>
                  </a:rPr>
                  <a:t>/m</a:t>
                </a:r>
                <a:r>
                  <a:rPr lang="fr-CH" sz="1000" b="0" i="0" baseline="30000">
                    <a:effectLst/>
                  </a:rPr>
                  <a:t>2</a:t>
                </a:r>
                <a:r>
                  <a:rPr lang="fr-CH" sz="1000" b="0" i="0" baseline="-25000">
                    <a:effectLst/>
                  </a:rPr>
                  <a:t>SRE</a:t>
                </a:r>
                <a:endParaRPr lang="fr-CH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;\-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43304927"/>
        <c:crosses val="autoZero"/>
        <c:crossBetween val="between"/>
      </c:valAx>
      <c:valAx>
        <c:axId val="1143315743"/>
        <c:scaling>
          <c:orientation val="minMax"/>
        </c:scaling>
        <c:delete val="0"/>
        <c:axPos val="r"/>
        <c:numFmt formatCode="0;\-0;;@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143304095"/>
        <c:crosses val="max"/>
        <c:crossBetween val="between"/>
      </c:valAx>
      <c:catAx>
        <c:axId val="1143304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331574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 sz="1800" b="1">
                <a:solidFill>
                  <a:schemeClr val="tx1"/>
                </a:solidFill>
              </a:rPr>
              <a:t>Impact carbone sur toute la durée de vie</a:t>
            </a:r>
            <a:r>
              <a:rPr lang="fr-CH" sz="1800" b="1" baseline="0">
                <a:solidFill>
                  <a:schemeClr val="tx1"/>
                </a:solidFill>
              </a:rPr>
              <a:t> selon les éléments du bâtiment</a:t>
            </a:r>
            <a:endParaRPr lang="fr-CH" sz="18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1576742808841142"/>
          <c:y val="1.2506267494618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1221580750673178E-2"/>
          <c:y val="0.12383549754472473"/>
          <c:w val="0.50572516140226398"/>
          <c:h val="0.814624460568046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'Outil détaillé'!$B$5</c:f>
              <c:strCache>
                <c:ptCount val="1"/>
                <c:pt idx="0">
                  <c:v>Travaux préparatoires B06 / B07.02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Graphes_Background!$E$2:$G$2</c:f>
              <c:numCache>
                <c:formatCode>0.0;\-0.0;;@</c:formatCode>
                <c:ptCount val="3"/>
                <c:pt idx="0">
                  <c:v>3.3191666666666661E-2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E-48EE-B795-AE5D5BF0C81E}"/>
            </c:ext>
          </c:extLst>
        </c:ser>
        <c:ser>
          <c:idx val="1"/>
          <c:order val="1"/>
          <c:tx>
            <c:strRef>
              <c:f>'Outil détaillé'!$B$10</c:f>
              <c:strCache>
                <c:ptCount val="1"/>
                <c:pt idx="0">
                  <c:v>Enveloppe du bâtiment souterraine C01 / 02 / 04 - E01 - F01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Graphes_Background!$E$3:$G$3</c:f>
              <c:numCache>
                <c:formatCode>0.0;\-0.0;;@</c:formatCode>
                <c:ptCount val="3"/>
                <c:pt idx="0">
                  <c:v>0.84682636867972005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E-48EE-B795-AE5D5BF0C81E}"/>
            </c:ext>
          </c:extLst>
        </c:ser>
        <c:ser>
          <c:idx val="2"/>
          <c:order val="2"/>
          <c:tx>
            <c:strRef>
              <c:f>'Outil détaillé'!$B$17</c:f>
              <c:strCache>
                <c:ptCount val="1"/>
                <c:pt idx="0">
                  <c:v>Enveloppe du bâtiment hors terrain C02 / 04 - E02 / 03 - F01 / 02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Graphes_Background!$E$6:$G$6</c:f>
              <c:numCache>
                <c:formatCode>0.0;\-0.0;;@</c:formatCode>
                <c:ptCount val="3"/>
                <c:pt idx="0">
                  <c:v>2.4353957213553477</c:v>
                </c:pt>
                <c:pt idx="2">
                  <c:v>-2.5246685793083725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7E-48EE-B795-AE5D5BF0C81E}"/>
            </c:ext>
          </c:extLst>
        </c:ser>
        <c:ser>
          <c:idx val="3"/>
          <c:order val="3"/>
          <c:tx>
            <c:strRef>
              <c:f>'Outil détaillé'!$B$30</c:f>
              <c:strCache>
                <c:ptCount val="1"/>
                <c:pt idx="0">
                  <c:v>Eléments de construction intérieurs et extérieurs C02 / 04 - G02 / 03 / 04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Graphes_Background!$E$11:$G$11</c:f>
              <c:numCache>
                <c:formatCode>0.0;\-0.0;;@</c:formatCode>
                <c:ptCount val="3"/>
                <c:pt idx="0">
                  <c:v>2.920637079329043</c:v>
                </c:pt>
                <c:pt idx="2">
                  <c:v>-2.7325694194837844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7E-48EE-B795-AE5D5BF0C81E}"/>
            </c:ext>
          </c:extLst>
        </c:ser>
        <c:ser>
          <c:idx val="4"/>
          <c:order val="4"/>
          <c:tx>
            <c:strRef>
              <c:f>'Outil détaillé'!$B$60</c:f>
              <c:strCache>
                <c:ptCount val="1"/>
                <c:pt idx="0">
                  <c:v>Installations CVSE D01 / 05 / 07 / 08 / 12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Graphes_Background!$E$19:$G$19</c:f>
              <c:numCache>
                <c:formatCode>0.0;\-0.0;;@</c:formatCode>
                <c:ptCount val="3"/>
                <c:pt idx="0">
                  <c:v>3.1030615889464599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7E-48EE-B795-AE5D5BF0C81E}"/>
            </c:ext>
          </c:extLst>
        </c:ser>
        <c:ser>
          <c:idx val="6"/>
          <c:order val="5"/>
          <c:tx>
            <c:strRef>
              <c:f>Graphes_Background!$B$23</c:f>
              <c:strCache>
                <c:ptCount val="1"/>
                <c:pt idx="0">
                  <c:v>Chauffage PAC</c:v>
                </c:pt>
              </c:strCache>
            </c:strRef>
          </c:tx>
          <c:spPr>
            <a:pattFill prst="dkUpDiag">
              <a:fgClr>
                <a:schemeClr val="accent3">
                  <a:lumMod val="60000"/>
                  <a:lumOff val="40000"/>
                </a:schemeClr>
              </a:fgClr>
              <a:bgClr>
                <a:schemeClr val="bg1"/>
              </a:bgClr>
            </a:patt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Graphes_Background!$E$23:$G$23</c:f>
              <c:numCache>
                <c:formatCode>0.0;\-0.0;;@</c:formatCode>
                <c:ptCount val="3"/>
                <c:pt idx="1">
                  <c:v>0.56976744186046502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7E-48EE-B795-AE5D5BF0C81E}"/>
            </c:ext>
          </c:extLst>
        </c:ser>
        <c:ser>
          <c:idx val="7"/>
          <c:order val="6"/>
          <c:tx>
            <c:strRef>
              <c:f>Graphes_Background!$B$24</c:f>
              <c:strCache>
                <c:ptCount val="1"/>
                <c:pt idx="0">
                  <c:v>Eau chaude sanitaire PAC</c:v>
                </c:pt>
              </c:strCache>
            </c:strRef>
          </c:tx>
          <c:spPr>
            <a:pattFill prst="dkUpDiag">
              <a:fgClr>
                <a:schemeClr val="accent2">
                  <a:lumMod val="60000"/>
                  <a:lumOff val="40000"/>
                </a:schemeClr>
              </a:fgClr>
              <a:bgClr>
                <a:schemeClr val="bg1"/>
              </a:bgClr>
            </a:patt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Graphes_Background!$E$24:$G$24</c:f>
              <c:numCache>
                <c:formatCode>0.0;\-0.0;;@</c:formatCode>
                <c:ptCount val="3"/>
                <c:pt idx="1">
                  <c:v>0.67574944485566257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7E-48EE-B795-AE5D5BF0C81E}"/>
            </c:ext>
          </c:extLst>
        </c:ser>
        <c:ser>
          <c:idx val="8"/>
          <c:order val="7"/>
          <c:tx>
            <c:strRef>
              <c:f>Graphes_Background!$B$25</c:f>
              <c:strCache>
                <c:ptCount val="1"/>
                <c:pt idx="0">
                  <c:v>Climatisation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Graphes_Background!$E$25:$G$25</c:f>
              <c:numCache>
                <c:formatCode>0.0;\-0.0;;@</c:formatCode>
                <c:ptCount val="3"/>
                <c:pt idx="1">
                  <c:v>0.8125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7E-48EE-B795-AE5D5BF0C81E}"/>
            </c:ext>
          </c:extLst>
        </c:ser>
        <c:ser>
          <c:idx val="9"/>
          <c:order val="8"/>
          <c:tx>
            <c:strRef>
              <c:f>Graphes_Background!$B$26</c:f>
              <c:strCache>
                <c:ptCount val="1"/>
                <c:pt idx="0">
                  <c:v>Eclairage</c:v>
                </c:pt>
              </c:strCache>
            </c:strRef>
          </c:tx>
          <c:spPr>
            <a:pattFill prst="dkUpDiag">
              <a:fgClr>
                <a:schemeClr val="accent4">
                  <a:lumMod val="40000"/>
                  <a:lumOff val="60000"/>
                </a:schemeClr>
              </a:fgClr>
              <a:bgClr>
                <a:schemeClr val="bg1"/>
              </a:bgClr>
            </a:patt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Graphes_Background!$E$26:$G$26</c:f>
              <c:numCache>
                <c:formatCode>0.0;\-0.0;;@</c:formatCode>
                <c:ptCount val="3"/>
                <c:pt idx="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7E-48EE-B795-AE5D5BF0C81E}"/>
            </c:ext>
          </c:extLst>
        </c:ser>
        <c:ser>
          <c:idx val="10"/>
          <c:order val="9"/>
          <c:tx>
            <c:strRef>
              <c:f>Graphes_Background!$B$27</c:f>
              <c:strCache>
                <c:ptCount val="1"/>
                <c:pt idx="0">
                  <c:v>Ventilation</c:v>
                </c:pt>
              </c:strCache>
            </c:strRef>
          </c:tx>
          <c:spPr>
            <a:pattFill prst="dkUpDiag">
              <a:fgClr>
                <a:schemeClr val="accent4">
                  <a:lumMod val="75000"/>
                </a:schemeClr>
              </a:fgClr>
              <a:bgClr>
                <a:schemeClr val="bg1"/>
              </a:bgClr>
            </a:patt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Graphes_Background!$E$27:$G$27</c:f>
              <c:numCache>
                <c:formatCode>0.0;\-0.0;;@</c:formatCode>
                <c:ptCount val="3"/>
                <c:pt idx="1">
                  <c:v>8.7499999999999994E-2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7E-48EE-B795-AE5D5BF0C81E}"/>
            </c:ext>
          </c:extLst>
        </c:ser>
        <c:ser>
          <c:idx val="11"/>
          <c:order val="10"/>
          <c:tx>
            <c:strRef>
              <c:f>Graphes_Background!$B$28</c:f>
              <c:strCache>
                <c:ptCount val="1"/>
                <c:pt idx="0">
                  <c:v>Appareils</c:v>
                </c:pt>
              </c:strCache>
            </c:strRef>
          </c:tx>
          <c:spPr>
            <a:pattFill prst="dkUpDiag">
              <a:fgClr>
                <a:schemeClr val="accent6">
                  <a:lumMod val="60000"/>
                  <a:lumOff val="40000"/>
                </a:schemeClr>
              </a:fgClr>
              <a:bgClr>
                <a:schemeClr val="bg1"/>
              </a:bgClr>
            </a:patt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Graphes_Background!$E$28:$G$28</c:f>
              <c:numCache>
                <c:formatCode>0.0;\-0.0;;@</c:formatCode>
                <c:ptCount val="3"/>
                <c:pt idx="1">
                  <c:v>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7E-48EE-B795-AE5D5BF0C81E}"/>
            </c:ext>
          </c:extLst>
        </c:ser>
        <c:ser>
          <c:idx val="12"/>
          <c:order val="11"/>
          <c:tx>
            <c:strRef>
              <c:f>Graphes_Background!$B$29</c:f>
              <c:strCache>
                <c:ptCount val="1"/>
                <c:pt idx="0">
                  <c:v>Installation techniques</c:v>
                </c:pt>
              </c:strCache>
            </c:strRef>
          </c:tx>
          <c:spPr>
            <a:pattFill prst="dkUpDiag">
              <a:fgClr>
                <a:srgbClr val="FF7C80"/>
              </a:fgClr>
              <a:bgClr>
                <a:schemeClr val="bg1"/>
              </a:bgClr>
            </a:pattFill>
            <a:ln w="3175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pattFill prst="dkUpDiag">
                <a:fgClr>
                  <a:srgbClr val="FF7C80"/>
                </a:fgClr>
                <a:bgClr>
                  <a:schemeClr val="bg1"/>
                </a:bgClr>
              </a:pattFill>
              <a:ln w="12700" cap="flat" cmpd="sng" algn="ctr">
                <a:noFill/>
                <a:prstDash val="solid"/>
                <a:miter lim="800000"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7E-48EE-B795-AE5D5BF0C8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Graphes_Background!$E$29:$G$29</c:f>
              <c:numCache>
                <c:formatCode>0.0;\-0.0;;@</c:formatCode>
                <c:ptCount val="3"/>
                <c:pt idx="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27E-48EE-B795-AE5D5BF0C81E}"/>
            </c:ext>
          </c:extLst>
        </c:ser>
        <c:ser>
          <c:idx val="5"/>
          <c:order val="12"/>
          <c:tx>
            <c:strRef>
              <c:f>Graphes_Background!$B$31</c:f>
              <c:strCache>
                <c:ptCount val="1"/>
                <c:pt idx="0">
                  <c:v>PV réinjectée réseau</c:v>
                </c:pt>
              </c:strCache>
            </c:strRef>
          </c:tx>
          <c:spPr>
            <a:noFill/>
            <a:ln w="1270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cat>
          <c:val>
            <c:numRef>
              <c:f>Graphes_Background!$E$31:$G$31</c:f>
              <c:numCache>
                <c:formatCode>0.0;\-0.0;;@</c:formatCode>
                <c:ptCount val="3"/>
                <c:pt idx="1">
                  <c:v>-0.41101972196539632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7E-48EE-B795-AE5D5BF0C81E}"/>
            </c:ext>
          </c:extLst>
        </c:ser>
        <c:ser>
          <c:idx val="13"/>
          <c:order val="13"/>
          <c:tx>
            <c:strRef>
              <c:f>Graphes_Background!$B$30</c:f>
              <c:strCache>
                <c:ptCount val="1"/>
                <c:pt idx="0">
                  <c:v>Auto-consommation PV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7E-48EE-B795-AE5D5BF0C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Graphes_Background!$E$30:$G$30</c:f>
              <c:numCache>
                <c:formatCode>0.0;\-0.0;;@</c:formatCode>
                <c:ptCount val="3"/>
                <c:pt idx="1">
                  <c:v>-1.9433307892592819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27E-48EE-B795-AE5D5BF0C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870736639"/>
        <c:axId val="1870737471"/>
      </c:barChart>
      <c:scatterChart>
        <c:scatterStyle val="lineMarker"/>
        <c:varyColors val="0"/>
        <c:ser>
          <c:idx val="14"/>
          <c:order val="14"/>
          <c:tx>
            <c:strRef>
              <c:f>Graphes_Background!$B$33</c:f>
              <c:strCache>
                <c:ptCount val="1"/>
                <c:pt idx="0">
                  <c:v>Objectifs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3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dash"/>
              <c:size val="13"/>
              <c:spPr>
                <a:solidFill>
                  <a:srgbClr val="FF0000"/>
                </a:solidFill>
                <a:ln w="317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7E-48EE-B795-AE5D5BF0C81E}"/>
              </c:ext>
            </c:extLst>
          </c:dPt>
          <c:xVal>
            <c:strRef>
              <c:f>Graphes_Background!$E$1:$G$1</c:f>
              <c:strCache>
                <c:ptCount val="3"/>
                <c:pt idx="0">
                  <c:v>Construction</c:v>
                </c:pt>
                <c:pt idx="1">
                  <c:v>Exploitation</c:v>
                </c:pt>
                <c:pt idx="2">
                  <c:v>Carbone biogène</c:v>
                </c:pt>
              </c:strCache>
            </c:strRef>
          </c:xVal>
          <c:yVal>
            <c:numRef>
              <c:f>Graphes_Background!$E$33:$G$33</c:f>
              <c:numCache>
                <c:formatCode>_(* #,##0.00_);_(* \(#,##0.00\);_(* "-"??_);_(@_)</c:formatCode>
                <c:ptCount val="3"/>
                <c:pt idx="0" formatCode="0.0;\-0.0;;@">
                  <c:v>12.810362694300517</c:v>
                </c:pt>
                <c:pt idx="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27E-48EE-B795-AE5D5BF0C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0736639"/>
        <c:axId val="1870737471"/>
      </c:scatterChart>
      <c:catAx>
        <c:axId val="1870736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70737471"/>
        <c:crosses val="autoZero"/>
        <c:auto val="1"/>
        <c:lblAlgn val="ctr"/>
        <c:lblOffset val="100"/>
        <c:noMultiLvlLbl val="0"/>
      </c:catAx>
      <c:valAx>
        <c:axId val="1870737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0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 sz="1000" b="0" i="0" baseline="0">
                    <a:effectLst/>
                  </a:rPr>
                  <a:t> kgCO</a:t>
                </a:r>
                <a:r>
                  <a:rPr lang="fr-CH" sz="1000" b="0" i="0" baseline="-25000">
                    <a:effectLst/>
                  </a:rPr>
                  <a:t>2éq</a:t>
                </a:r>
                <a:r>
                  <a:rPr lang="fr-CH" sz="1000" b="0" i="0" baseline="0">
                    <a:effectLst/>
                  </a:rPr>
                  <a:t>/m</a:t>
                </a:r>
                <a:r>
                  <a:rPr lang="fr-CH" sz="1000" b="0" i="0" baseline="30000">
                    <a:effectLst/>
                  </a:rPr>
                  <a:t>2</a:t>
                </a:r>
                <a:r>
                  <a:rPr lang="fr-CH" sz="1000" b="0" i="0" baseline="-25000">
                    <a:effectLst/>
                  </a:rPr>
                  <a:t>SRE</a:t>
                </a:r>
                <a:r>
                  <a:rPr lang="fr-CH" sz="1000" b="0" i="0" baseline="0">
                    <a:effectLst/>
                  </a:rPr>
                  <a:t>.an</a:t>
                </a:r>
                <a:endParaRPr lang="fr-CH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0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;\-0.0;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870736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412918233300172"/>
          <c:y val="0.16999396911953357"/>
          <c:w val="0.38082750081768374"/>
          <c:h val="0.77712190548869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span"/>
    <c:showDLblsOverMax val="0"/>
    <c:extLst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800" b="1" i="0" baseline="0">
                <a:effectLst/>
              </a:rPr>
              <a:t>Impact carbone par catégorie de matériaux</a:t>
            </a:r>
            <a:endParaRPr lang="fr-CH">
              <a:effectLst/>
            </a:endParaRPr>
          </a:p>
        </c:rich>
      </c:tx>
      <c:layout>
        <c:manualLayout>
          <c:xMode val="edge"/>
          <c:yMode val="edge"/>
          <c:x val="0.24225516753126555"/>
          <c:y val="2.77777412649385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'List of materials'!$U$1</c:f>
              <c:strCache>
                <c:ptCount val="1"/>
                <c:pt idx="0">
                  <c:v>kgCO2eq/m2.y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'List of materials'!$T$2:$T$41</c:f>
              <c:strCache>
                <c:ptCount val="36"/>
                <c:pt idx="0">
                  <c:v>Laine de roche</c:v>
                </c:pt>
                <c:pt idx="1">
                  <c:v>PV</c:v>
                </c:pt>
                <c:pt idx="2">
                  <c:v>Béton pour bâtiment (sans armature)</c:v>
                </c:pt>
                <c:pt idx="3">
                  <c:v>Installation CVC</c:v>
                </c:pt>
                <c:pt idx="4">
                  <c:v>Enduit en plâtre et en ciment</c:v>
                </c:pt>
                <c:pt idx="5">
                  <c:v>Installation électrique</c:v>
                </c:pt>
                <c:pt idx="6">
                  <c:v>Installation sanitaire</c:v>
                </c:pt>
                <c:pt idx="7">
                  <c:v>Protection solaire, stores vénitiens avec moteur 4</c:v>
                </c:pt>
                <c:pt idx="8">
                  <c:v>Triple vitrage, U&lt;0.6 W/m2K, épaisseur 40 mm 3</c:v>
                </c:pt>
                <c:pt idx="9">
                  <c:v>Acier d'armature</c:v>
                </c:pt>
                <c:pt idx="10">
                  <c:v>Bois massif épicéa / sapin / mélèze, séché à l'air, brut</c:v>
                </c:pt>
                <c:pt idx="11">
                  <c:v>Tuile en terre cuite</c:v>
                </c:pt>
                <c:pt idx="12">
                  <c:v>Bois massif 3 et 5 plis</c:v>
                </c:pt>
                <c:pt idx="13">
                  <c:v>Plaque de plâtre armé de fibres</c:v>
                </c:pt>
                <c:pt idx="14">
                  <c:v>Cadre de fenêtre en bois</c:v>
                </c:pt>
                <c:pt idx="15">
                  <c:v>Bois massif épicéa / sapin / mélèze, séché en cellule, raboté</c:v>
                </c:pt>
                <c:pt idx="16">
                  <c:v>Tôle d'acier, zinguée</c:v>
                </c:pt>
                <c:pt idx="17">
                  <c:v>Enduit, diluable à l'eau, 2 couches</c:v>
                </c:pt>
                <c:pt idx="18">
                  <c:v>Parquet, 2 plis, vitrifié d'usine, 11 mm</c:v>
                </c:pt>
                <c:pt idx="19">
                  <c:v>Dalle en céramique/grès, 9 mm</c:v>
                </c:pt>
                <c:pt idx="20">
                  <c:v>Plaque de plâtre cartonnée</c:v>
                </c:pt>
                <c:pt idx="21">
                  <c:v>Béton maigre (sans armature)</c:v>
                </c:pt>
                <c:pt idx="22">
                  <c:v>Colle bicomposant</c:v>
                </c:pt>
                <c:pt idx="23">
                  <c:v>Polyamide (PA) renforcé par des fibres de verre </c:v>
                </c:pt>
                <c:pt idx="24">
                  <c:v>Enduit minéral</c:v>
                </c:pt>
                <c:pt idx="25">
                  <c:v>Sondes géothermiques</c:v>
                </c:pt>
                <c:pt idx="26">
                  <c:v>Capteurs solaires</c:v>
                </c:pt>
                <c:pt idx="27">
                  <c:v>Voile de polyéthylène (PE)</c:v>
                </c:pt>
                <c:pt idx="28">
                  <c:v>Tôle d'acier nickel-chrome 18/8, nue</c:v>
                </c:pt>
                <c:pt idx="29">
                  <c:v>Colle de construction/mortier d'enrobage minéral(e) </c:v>
                </c:pt>
                <c:pt idx="30">
                  <c:v>Enduit en plâtre et chaux</c:v>
                </c:pt>
                <c:pt idx="31">
                  <c:v>Polystyrène extrudé (XPS)</c:v>
                </c:pt>
                <c:pt idx="32">
                  <c:v>Portes extérieures aluminium, avec vitrage</c:v>
                </c:pt>
                <c:pt idx="33">
                  <c:v>Feuille de polyéthylène (PE)</c:v>
                </c:pt>
                <c:pt idx="34">
                  <c:v>Vol.excavation</c:v>
                </c:pt>
                <c:pt idx="35">
                  <c:v>0</c:v>
                </c:pt>
              </c:strCache>
            </c:strRef>
          </c:cat>
          <c:val>
            <c:numRef>
              <c:f>'List of materials'!$U$2:$U$41</c:f>
              <c:numCache>
                <c:formatCode>General</c:formatCode>
                <c:ptCount val="40"/>
                <c:pt idx="0">
                  <c:v>68.196127652042179</c:v>
                </c:pt>
                <c:pt idx="1">
                  <c:v>66.15544041450778</c:v>
                </c:pt>
                <c:pt idx="2">
                  <c:v>62.284241566079594</c:v>
                </c:pt>
                <c:pt idx="3">
                  <c:v>61.952399999999997</c:v>
                </c:pt>
                <c:pt idx="4">
                  <c:v>34.536523933678751</c:v>
                </c:pt>
                <c:pt idx="5">
                  <c:v>25.9</c:v>
                </c:pt>
                <c:pt idx="6">
                  <c:v>25.08</c:v>
                </c:pt>
                <c:pt idx="7">
                  <c:v>21.069460000000003</c:v>
                </c:pt>
                <c:pt idx="8">
                  <c:v>18.579912</c:v>
                </c:pt>
                <c:pt idx="9">
                  <c:v>16.77417742314335</c:v>
                </c:pt>
                <c:pt idx="10">
                  <c:v>15.305473076719695</c:v>
                </c:pt>
                <c:pt idx="11">
                  <c:v>14.845599921762576</c:v>
                </c:pt>
                <c:pt idx="12">
                  <c:v>14.071709396131261</c:v>
                </c:pt>
                <c:pt idx="13">
                  <c:v>13.2384</c:v>
                </c:pt>
                <c:pt idx="14">
                  <c:v>12.714753333333334</c:v>
                </c:pt>
                <c:pt idx="15">
                  <c:v>12.020118715000002</c:v>
                </c:pt>
                <c:pt idx="16">
                  <c:v>9.6472246420601255</c:v>
                </c:pt>
                <c:pt idx="17">
                  <c:v>7.7071616870466331</c:v>
                </c:pt>
                <c:pt idx="18">
                  <c:v>7.2771999999999988</c:v>
                </c:pt>
                <c:pt idx="19">
                  <c:v>7.2439999999999998</c:v>
                </c:pt>
                <c:pt idx="20">
                  <c:v>6.4111249999999984</c:v>
                </c:pt>
                <c:pt idx="21">
                  <c:v>4.6556896296296308</c:v>
                </c:pt>
                <c:pt idx="22">
                  <c:v>4.5145333333333326</c:v>
                </c:pt>
                <c:pt idx="23">
                  <c:v>4.035568674666667</c:v>
                </c:pt>
                <c:pt idx="24">
                  <c:v>3.837755350949914</c:v>
                </c:pt>
                <c:pt idx="25">
                  <c:v>3.613989637305699</c:v>
                </c:pt>
                <c:pt idx="26">
                  <c:v>3.4818652849740932</c:v>
                </c:pt>
                <c:pt idx="27">
                  <c:v>3.2943685095670174</c:v>
                </c:pt>
                <c:pt idx="28">
                  <c:v>2.6174959259189996</c:v>
                </c:pt>
                <c:pt idx="29">
                  <c:v>2.1096400000000002</c:v>
                </c:pt>
                <c:pt idx="30">
                  <c:v>1.7662400000000003</c:v>
                </c:pt>
                <c:pt idx="31">
                  <c:v>1.7268000000000001</c:v>
                </c:pt>
                <c:pt idx="32">
                  <c:v>0.93923316062176165</c:v>
                </c:pt>
                <c:pt idx="33">
                  <c:v>0.75101723016186517</c:v>
                </c:pt>
                <c:pt idx="34">
                  <c:v>0.14433333333333334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0-47E7-820A-B7A7F49C0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12237888"/>
        <c:axId val="1412250784"/>
      </c:barChart>
      <c:lineChart>
        <c:grouping val="standard"/>
        <c:varyColors val="0"/>
        <c:ser>
          <c:idx val="1"/>
          <c:order val="1"/>
          <c:tx>
            <c:strRef>
              <c:f>'List of materials'!$V$1</c:f>
              <c:strCache>
                <c:ptCount val="1"/>
                <c:pt idx="0">
                  <c:v>%total kgCO2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'List of materials'!$T$2:$T$41</c:f>
              <c:strCache>
                <c:ptCount val="36"/>
                <c:pt idx="0">
                  <c:v>Laine de roche</c:v>
                </c:pt>
                <c:pt idx="1">
                  <c:v>PV</c:v>
                </c:pt>
                <c:pt idx="2">
                  <c:v>Béton pour bâtiment (sans armature)</c:v>
                </c:pt>
                <c:pt idx="3">
                  <c:v>Installation CVC</c:v>
                </c:pt>
                <c:pt idx="4">
                  <c:v>Enduit en plâtre et en ciment</c:v>
                </c:pt>
                <c:pt idx="5">
                  <c:v>Installation électrique</c:v>
                </c:pt>
                <c:pt idx="6">
                  <c:v>Installation sanitaire</c:v>
                </c:pt>
                <c:pt idx="7">
                  <c:v>Protection solaire, stores vénitiens avec moteur 4</c:v>
                </c:pt>
                <c:pt idx="8">
                  <c:v>Triple vitrage, U&lt;0.6 W/m2K, épaisseur 40 mm 3</c:v>
                </c:pt>
                <c:pt idx="9">
                  <c:v>Acier d'armature</c:v>
                </c:pt>
                <c:pt idx="10">
                  <c:v>Bois massif épicéa / sapin / mélèze, séché à l'air, brut</c:v>
                </c:pt>
                <c:pt idx="11">
                  <c:v>Tuile en terre cuite</c:v>
                </c:pt>
                <c:pt idx="12">
                  <c:v>Bois massif 3 et 5 plis</c:v>
                </c:pt>
                <c:pt idx="13">
                  <c:v>Plaque de plâtre armé de fibres</c:v>
                </c:pt>
                <c:pt idx="14">
                  <c:v>Cadre de fenêtre en bois</c:v>
                </c:pt>
                <c:pt idx="15">
                  <c:v>Bois massif épicéa / sapin / mélèze, séché en cellule, raboté</c:v>
                </c:pt>
                <c:pt idx="16">
                  <c:v>Tôle d'acier, zinguée</c:v>
                </c:pt>
                <c:pt idx="17">
                  <c:v>Enduit, diluable à l'eau, 2 couches</c:v>
                </c:pt>
                <c:pt idx="18">
                  <c:v>Parquet, 2 plis, vitrifié d'usine, 11 mm</c:v>
                </c:pt>
                <c:pt idx="19">
                  <c:v>Dalle en céramique/grès, 9 mm</c:v>
                </c:pt>
                <c:pt idx="20">
                  <c:v>Plaque de plâtre cartonnée</c:v>
                </c:pt>
                <c:pt idx="21">
                  <c:v>Béton maigre (sans armature)</c:v>
                </c:pt>
                <c:pt idx="22">
                  <c:v>Colle bicomposant</c:v>
                </c:pt>
                <c:pt idx="23">
                  <c:v>Polyamide (PA) renforcé par des fibres de verre </c:v>
                </c:pt>
                <c:pt idx="24">
                  <c:v>Enduit minéral</c:v>
                </c:pt>
                <c:pt idx="25">
                  <c:v>Sondes géothermiques</c:v>
                </c:pt>
                <c:pt idx="26">
                  <c:v>Capteurs solaires</c:v>
                </c:pt>
                <c:pt idx="27">
                  <c:v>Voile de polyéthylène (PE)</c:v>
                </c:pt>
                <c:pt idx="28">
                  <c:v>Tôle d'acier nickel-chrome 18/8, nue</c:v>
                </c:pt>
                <c:pt idx="29">
                  <c:v>Colle de construction/mortier d'enrobage minéral(e) </c:v>
                </c:pt>
                <c:pt idx="30">
                  <c:v>Enduit en plâtre et chaux</c:v>
                </c:pt>
                <c:pt idx="31">
                  <c:v>Polystyrène extrudé (XPS)</c:v>
                </c:pt>
                <c:pt idx="32">
                  <c:v>Portes extérieures aluminium, avec vitrage</c:v>
                </c:pt>
                <c:pt idx="33">
                  <c:v>Feuille de polyéthylène (PE)</c:v>
                </c:pt>
                <c:pt idx="34">
                  <c:v>Vol.excavation</c:v>
                </c:pt>
                <c:pt idx="35">
                  <c:v>0</c:v>
                </c:pt>
              </c:strCache>
            </c:strRef>
          </c:cat>
          <c:val>
            <c:numRef>
              <c:f>'List of materials'!$V$2:$V$41</c:f>
              <c:numCache>
                <c:formatCode>General</c:formatCode>
                <c:ptCount val="40"/>
                <c:pt idx="0">
                  <c:v>12.210596075052715</c:v>
                </c:pt>
                <c:pt idx="1">
                  <c:v>24.055804723708036</c:v>
                </c:pt>
                <c:pt idx="2">
                  <c:v>35.207870710282158</c:v>
                </c:pt>
                <c:pt idx="3">
                  <c:v>46.300520077998016</c:v>
                </c:pt>
                <c:pt idx="4">
                  <c:v>52.484324908416617</c:v>
                </c:pt>
                <c:pt idx="5">
                  <c:v>57.121750070699932</c:v>
                </c:pt>
                <c:pt idx="6">
                  <c:v>61.61235327803837</c:v>
                </c:pt>
                <c:pt idx="7">
                  <c:v>65.384864627834574</c:v>
                </c:pt>
                <c:pt idx="8">
                  <c:v>68.711619508985521</c:v>
                </c:pt>
                <c:pt idx="9">
                  <c:v>71.715055511251535</c:v>
                </c:pt>
                <c:pt idx="10">
                  <c:v>74.455518289885887</c:v>
                </c:pt>
                <c:pt idx="11">
                  <c:v>77.113640244572096</c:v>
                </c:pt>
                <c:pt idx="12">
                  <c:v>79.633196199396721</c:v>
                </c:pt>
                <c:pt idx="13">
                  <c:v>82.003547136399476</c:v>
                </c:pt>
                <c:pt idx="14">
                  <c:v>84.280138527913977</c:v>
                </c:pt>
                <c:pt idx="15">
                  <c:v>86.432354782067392</c:v>
                </c:pt>
                <c:pt idx="16">
                  <c:v>88.159701589066984</c:v>
                </c:pt>
                <c:pt idx="17">
                  <c:v>89.53967786463825</c:v>
                </c:pt>
                <c:pt idx="18">
                  <c:v>90.84266899942466</c:v>
                </c:pt>
                <c:pt idx="19">
                  <c:v>92.139715635547446</c:v>
                </c:pt>
                <c:pt idx="20">
                  <c:v>93.287635032981569</c:v>
                </c:pt>
                <c:pt idx="21">
                  <c:v>94.121241683028899</c:v>
                </c:pt>
                <c:pt idx="22">
                  <c:v>94.929574133838429</c:v>
                </c:pt>
                <c:pt idx="23">
                  <c:v>95.652147404727287</c:v>
                </c:pt>
                <c:pt idx="24">
                  <c:v>96.339301969637816</c:v>
                </c:pt>
                <c:pt idx="25">
                  <c:v>96.986391022930192</c:v>
                </c:pt>
                <c:pt idx="26">
                  <c:v>97.609823057069946</c:v>
                </c:pt>
                <c:pt idx="27">
                  <c:v>98.199683575220519</c:v>
                </c:pt>
                <c:pt idx="28">
                  <c:v>98.668349269005489</c:v>
                </c:pt>
                <c:pt idx="29">
                  <c:v>99.046082767822455</c:v>
                </c:pt>
                <c:pt idx="30">
                  <c:v>99.362330096727135</c:v>
                </c:pt>
                <c:pt idx="31">
                  <c:v>99.671515647701298</c:v>
                </c:pt>
                <c:pt idx="32">
                  <c:v>99.839686438910491</c:v>
                </c:pt>
                <c:pt idx="33">
                  <c:v>99.974156948580799</c:v>
                </c:pt>
                <c:pt idx="34">
                  <c:v>99.999999999999957</c:v>
                </c:pt>
                <c:pt idx="35">
                  <c:v>99.999999999999957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0-47E7-820A-B7A7F49C0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237888"/>
        <c:axId val="1412250784"/>
      </c:lineChart>
      <c:scatterChart>
        <c:scatterStyle val="lineMarker"/>
        <c:varyColors val="0"/>
        <c:ser>
          <c:idx val="2"/>
          <c:order val="2"/>
          <c:tx>
            <c:strRef>
              <c:f>'List of materials'!$W$1</c:f>
              <c:strCache>
                <c:ptCount val="1"/>
                <c:pt idx="0">
                  <c:v>Tonnes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8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'List of materials'!$T$2:$T$41</c:f>
              <c:strCache>
                <c:ptCount val="36"/>
                <c:pt idx="0">
                  <c:v>Laine de roche</c:v>
                </c:pt>
                <c:pt idx="1">
                  <c:v>PV</c:v>
                </c:pt>
                <c:pt idx="2">
                  <c:v>Béton pour bâtiment (sans armature)</c:v>
                </c:pt>
                <c:pt idx="3">
                  <c:v>Installation CVC</c:v>
                </c:pt>
                <c:pt idx="4">
                  <c:v>Enduit en plâtre et en ciment</c:v>
                </c:pt>
                <c:pt idx="5">
                  <c:v>Installation électrique</c:v>
                </c:pt>
                <c:pt idx="6">
                  <c:v>Installation sanitaire</c:v>
                </c:pt>
                <c:pt idx="7">
                  <c:v>Protection solaire, stores vénitiens avec moteur 4</c:v>
                </c:pt>
                <c:pt idx="8">
                  <c:v>Triple vitrage, U&lt;0.6 W/m2K, épaisseur 40 mm 3</c:v>
                </c:pt>
                <c:pt idx="9">
                  <c:v>Acier d'armature</c:v>
                </c:pt>
                <c:pt idx="10">
                  <c:v>Bois massif épicéa / sapin / mélèze, séché à l'air, brut</c:v>
                </c:pt>
                <c:pt idx="11">
                  <c:v>Tuile en terre cuite</c:v>
                </c:pt>
                <c:pt idx="12">
                  <c:v>Bois massif 3 et 5 plis</c:v>
                </c:pt>
                <c:pt idx="13">
                  <c:v>Plaque de plâtre armé de fibres</c:v>
                </c:pt>
                <c:pt idx="14">
                  <c:v>Cadre de fenêtre en bois</c:v>
                </c:pt>
                <c:pt idx="15">
                  <c:v>Bois massif épicéa / sapin / mélèze, séché en cellule, raboté</c:v>
                </c:pt>
                <c:pt idx="16">
                  <c:v>Tôle d'acier, zinguée</c:v>
                </c:pt>
                <c:pt idx="17">
                  <c:v>Enduit, diluable à l'eau, 2 couches</c:v>
                </c:pt>
                <c:pt idx="18">
                  <c:v>Parquet, 2 plis, vitrifié d'usine, 11 mm</c:v>
                </c:pt>
                <c:pt idx="19">
                  <c:v>Dalle en céramique/grès, 9 mm</c:v>
                </c:pt>
                <c:pt idx="20">
                  <c:v>Plaque de plâtre cartonnée</c:v>
                </c:pt>
                <c:pt idx="21">
                  <c:v>Béton maigre (sans armature)</c:v>
                </c:pt>
                <c:pt idx="22">
                  <c:v>Colle bicomposant</c:v>
                </c:pt>
                <c:pt idx="23">
                  <c:v>Polyamide (PA) renforcé par des fibres de verre </c:v>
                </c:pt>
                <c:pt idx="24">
                  <c:v>Enduit minéral</c:v>
                </c:pt>
                <c:pt idx="25">
                  <c:v>Sondes géothermiques</c:v>
                </c:pt>
                <c:pt idx="26">
                  <c:v>Capteurs solaires</c:v>
                </c:pt>
                <c:pt idx="27">
                  <c:v>Voile de polyéthylène (PE)</c:v>
                </c:pt>
                <c:pt idx="28">
                  <c:v>Tôle d'acier nickel-chrome 18/8, nue</c:v>
                </c:pt>
                <c:pt idx="29">
                  <c:v>Colle de construction/mortier d'enrobage minéral(e) </c:v>
                </c:pt>
                <c:pt idx="30">
                  <c:v>Enduit en plâtre et chaux</c:v>
                </c:pt>
                <c:pt idx="31">
                  <c:v>Polystyrène extrudé (XPS)</c:v>
                </c:pt>
                <c:pt idx="32">
                  <c:v>Portes extérieures aluminium, avec vitrage</c:v>
                </c:pt>
                <c:pt idx="33">
                  <c:v>Feuille de polyéthylène (PE)</c:v>
                </c:pt>
                <c:pt idx="34">
                  <c:v>Vol.excavation</c:v>
                </c:pt>
                <c:pt idx="35">
                  <c:v>0</c:v>
                </c:pt>
              </c:strCache>
            </c:strRef>
          </c:xVal>
          <c:yVal>
            <c:numRef>
              <c:f>'List of materials'!$W$2:$W$41</c:f>
              <c:numCache>
                <c:formatCode>General</c:formatCode>
                <c:ptCount val="40"/>
                <c:pt idx="0">
                  <c:v>28.972302297435547</c:v>
                </c:pt>
                <c:pt idx="1">
                  <c:v>0</c:v>
                </c:pt>
                <c:pt idx="2">
                  <c:v>593.32964571832986</c:v>
                </c:pt>
                <c:pt idx="3">
                  <c:v>0</c:v>
                </c:pt>
                <c:pt idx="4">
                  <c:v>63.192540000000008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20.615233333333329</c:v>
                </c:pt>
                <c:pt idx="10">
                  <c:v>107.56235024807256</c:v>
                </c:pt>
                <c:pt idx="11">
                  <c:v>18.57143365893296</c:v>
                </c:pt>
                <c:pt idx="12">
                  <c:v>28.935008666666668</c:v>
                </c:pt>
                <c:pt idx="13">
                  <c:v>11.58</c:v>
                </c:pt>
                <c:pt idx="14">
                  <c:v>0</c:v>
                </c:pt>
                <c:pt idx="15">
                  <c:v>50.72544453750001</c:v>
                </c:pt>
                <c:pt idx="16">
                  <c:v>1.0374099640052352</c:v>
                </c:pt>
                <c:pt idx="17">
                  <c:v>1.5910034999999998</c:v>
                </c:pt>
                <c:pt idx="18">
                  <c:v>2.747033333333333</c:v>
                </c:pt>
                <c:pt idx="19">
                  <c:v>3.4740000000000002</c:v>
                </c:pt>
                <c:pt idx="20">
                  <c:v>10.253125000000001</c:v>
                </c:pt>
                <c:pt idx="21">
                  <c:v>71.540453703703704</c:v>
                </c:pt>
                <c:pt idx="22">
                  <c:v>0.45033333333333331</c:v>
                </c:pt>
                <c:pt idx="23">
                  <c:v>0.16917131933333332</c:v>
                </c:pt>
                <c:pt idx="24">
                  <c:v>12.287438333333334</c:v>
                </c:pt>
                <c:pt idx="25">
                  <c:v>0</c:v>
                </c:pt>
                <c:pt idx="26">
                  <c:v>0</c:v>
                </c:pt>
                <c:pt idx="27">
                  <c:v>0.28233264757834559</c:v>
                </c:pt>
                <c:pt idx="28">
                  <c:v>0.30676785474999996</c:v>
                </c:pt>
                <c:pt idx="29">
                  <c:v>2.5089999999999999</c:v>
                </c:pt>
                <c:pt idx="30">
                  <c:v>5.4040000000000008</c:v>
                </c:pt>
                <c:pt idx="31">
                  <c:v>5.79E-2</c:v>
                </c:pt>
                <c:pt idx="32">
                  <c:v>0</c:v>
                </c:pt>
                <c:pt idx="33">
                  <c:v>6.6857161172158661E-2</c:v>
                </c:pt>
                <c:pt idx="34">
                  <c:v>386</c:v>
                </c:pt>
                <c:pt idx="3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8D0-47E7-820A-B7A7F49C0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95072"/>
        <c:axId val="207197984"/>
      </c:scatterChart>
      <c:catAx>
        <c:axId val="141223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12250784"/>
        <c:crosses val="autoZero"/>
        <c:auto val="1"/>
        <c:lblAlgn val="ctr"/>
        <c:lblOffset val="100"/>
        <c:noMultiLvlLbl val="0"/>
      </c:catAx>
      <c:valAx>
        <c:axId val="141225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 sz="1000" b="0" i="0" baseline="0">
                    <a:effectLst/>
                  </a:rPr>
                  <a:t> kgCO</a:t>
                </a:r>
                <a:r>
                  <a:rPr lang="fr-CH" sz="1000" b="0" i="0" baseline="-25000">
                    <a:effectLst/>
                  </a:rPr>
                  <a:t>2éq</a:t>
                </a:r>
                <a:r>
                  <a:rPr lang="fr-CH" sz="1000" b="0" i="0" baseline="0">
                    <a:effectLst/>
                  </a:rPr>
                  <a:t>/m</a:t>
                </a:r>
                <a:r>
                  <a:rPr lang="fr-CH" sz="1000" b="0" i="0" baseline="30000">
                    <a:effectLst/>
                  </a:rPr>
                  <a:t>2</a:t>
                </a:r>
                <a:r>
                  <a:rPr lang="fr-CH" sz="1000" b="0" i="0" baseline="-25000">
                    <a:effectLst/>
                  </a:rPr>
                  <a:t>SRE</a:t>
                </a:r>
                <a:r>
                  <a:rPr lang="fr-CH" sz="1000" b="0" i="0" baseline="0">
                    <a:effectLst/>
                  </a:rPr>
                  <a:t> ou %</a:t>
                </a:r>
                <a:endParaRPr lang="fr-CH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12237888"/>
        <c:crosses val="autoZero"/>
        <c:crossBetween val="between"/>
      </c:valAx>
      <c:valAx>
        <c:axId val="207197984"/>
        <c:scaling>
          <c:orientation val="minMax"/>
          <c:max val="13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>
                    <a:solidFill>
                      <a:schemeClr val="accent2"/>
                    </a:solidFill>
                  </a:rPr>
                  <a:t>Tonnes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195072"/>
        <c:crosses val="max"/>
        <c:crossBetween val="midCat"/>
      </c:valAx>
      <c:valAx>
        <c:axId val="20719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1979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1000"/>
            <c:backward val="2"/>
            <c:dispRSqr val="0"/>
            <c:dispEq val="1"/>
            <c:trendlineLbl>
              <c:layout>
                <c:manualLayout>
                  <c:x val="1.1596675415573054E-3"/>
                  <c:y val="-0.160448745990084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</c:trendlineLbl>
          </c:trendline>
          <c:xVal>
            <c:numRef>
              <c:f>'Proposition calcul PV'!$E$2:$E$11</c:f>
              <c:numCache>
                <c:formatCode>0</c:formatCode>
                <c:ptCount val="10"/>
                <c:pt idx="0">
                  <c:v>45.416227608008427</c:v>
                </c:pt>
                <c:pt idx="1">
                  <c:v>90.832455216016854</c:v>
                </c:pt>
                <c:pt idx="2">
                  <c:v>113.55110642781877</c:v>
                </c:pt>
                <c:pt idx="3">
                  <c:v>136.26975763962065</c:v>
                </c:pt>
                <c:pt idx="4">
                  <c:v>227.10221285563753</c:v>
                </c:pt>
                <c:pt idx="5">
                  <c:v>454.20442571127506</c:v>
                </c:pt>
                <c:pt idx="6">
                  <c:v>567.75553213909382</c:v>
                </c:pt>
                <c:pt idx="9">
                  <c:v>15.537130497476568</c:v>
                </c:pt>
              </c:numCache>
            </c:numRef>
          </c:xVal>
          <c:yVal>
            <c:numRef>
              <c:f>'Proposition calcul PV'!$F$2:$F$11</c:f>
              <c:numCache>
                <c:formatCode>0</c:formatCode>
                <c:ptCount val="10"/>
                <c:pt idx="0">
                  <c:v>80.7</c:v>
                </c:pt>
                <c:pt idx="1">
                  <c:v>58.9</c:v>
                </c:pt>
                <c:pt idx="2">
                  <c:v>51.8</c:v>
                </c:pt>
                <c:pt idx="3">
                  <c:v>46.2</c:v>
                </c:pt>
                <c:pt idx="4">
                  <c:v>32.6</c:v>
                </c:pt>
                <c:pt idx="5">
                  <c:v>19.2</c:v>
                </c:pt>
                <c:pt idx="6">
                  <c:v>16.100000000000001</c:v>
                </c:pt>
                <c:pt idx="9">
                  <c:v>98.9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FC-49E2-8D75-E70613E71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934096"/>
        <c:axId val="1087934928"/>
      </c:scatterChart>
      <c:valAx>
        <c:axId val="1087934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87934928"/>
        <c:crosses val="autoZero"/>
        <c:crossBetween val="midCat"/>
      </c:valAx>
      <c:valAx>
        <c:axId val="108793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87934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'Baumaterialien Matériaux'!$Z$11:$Z$34</c:f>
              <c:numCache>
                <c:formatCode>0</c:formatCode>
                <c:ptCount val="24"/>
                <c:pt idx="0">
                  <c:v>861</c:v>
                </c:pt>
                <c:pt idx="1">
                  <c:v>821</c:v>
                </c:pt>
                <c:pt idx="2">
                  <c:v>535</c:v>
                </c:pt>
                <c:pt idx="3">
                  <c:v>121</c:v>
                </c:pt>
                <c:pt idx="4">
                  <c:v>270</c:v>
                </c:pt>
                <c:pt idx="5">
                  <c:v>187</c:v>
                </c:pt>
                <c:pt idx="6">
                  <c:v>197</c:v>
                </c:pt>
                <c:pt idx="7">
                  <c:v>423</c:v>
                </c:pt>
                <c:pt idx="8">
                  <c:v>809</c:v>
                </c:pt>
                <c:pt idx="9">
                  <c:v>169</c:v>
                </c:pt>
                <c:pt idx="10">
                  <c:v>95.7</c:v>
                </c:pt>
                <c:pt idx="11">
                  <c:v>187</c:v>
                </c:pt>
                <c:pt idx="12">
                  <c:v>31.4</c:v>
                </c:pt>
                <c:pt idx="13">
                  <c:v>163</c:v>
                </c:pt>
                <c:pt idx="14">
                  <c:v>244</c:v>
                </c:pt>
                <c:pt idx="15">
                  <c:v>379</c:v>
                </c:pt>
                <c:pt idx="16">
                  <c:v>76.400000000000006</c:v>
                </c:pt>
                <c:pt idx="17">
                  <c:v>95.9</c:v>
                </c:pt>
                <c:pt idx="18">
                  <c:v>6.74</c:v>
                </c:pt>
                <c:pt idx="19">
                  <c:v>29.2</c:v>
                </c:pt>
                <c:pt idx="20">
                  <c:v>5.1500000000000001E-3</c:v>
                </c:pt>
                <c:pt idx="21">
                  <c:v>6.0200000000000002E-3</c:v>
                </c:pt>
                <c:pt idx="22">
                  <c:v>6.9899999999999997E-3</c:v>
                </c:pt>
                <c:pt idx="23">
                  <c:v>8.0400000000000003E-3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4-432B-BC97-F2691D06B89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'Baumaterialien Matériaux'!$AF$11:$AF$34</c:f>
              <c:numCache>
                <c:formatCode>0</c:formatCode>
                <c:ptCount val="24"/>
                <c:pt idx="0">
                  <c:v>210</c:v>
                </c:pt>
                <c:pt idx="1">
                  <c:v>195</c:v>
                </c:pt>
                <c:pt idx="2">
                  <c:v>140</c:v>
                </c:pt>
                <c:pt idx="3">
                  <c:v>31</c:v>
                </c:pt>
                <c:pt idx="4">
                  <c:v>78.400000000000006</c:v>
                </c:pt>
                <c:pt idx="5">
                  <c:v>55.8</c:v>
                </c:pt>
                <c:pt idx="6">
                  <c:v>56.7</c:v>
                </c:pt>
                <c:pt idx="7">
                  <c:v>125</c:v>
                </c:pt>
                <c:pt idx="8">
                  <c:v>226</c:v>
                </c:pt>
                <c:pt idx="9">
                  <c:v>52.5</c:v>
                </c:pt>
                <c:pt idx="10">
                  <c:v>29.4</c:v>
                </c:pt>
                <c:pt idx="11">
                  <c:v>59.6</c:v>
                </c:pt>
                <c:pt idx="12">
                  <c:v>9.51</c:v>
                </c:pt>
                <c:pt idx="13">
                  <c:v>41.8</c:v>
                </c:pt>
                <c:pt idx="14">
                  <c:v>62.4</c:v>
                </c:pt>
                <c:pt idx="15">
                  <c:v>96.9</c:v>
                </c:pt>
                <c:pt idx="16">
                  <c:v>19.5</c:v>
                </c:pt>
                <c:pt idx="17">
                  <c:v>24.8</c:v>
                </c:pt>
                <c:pt idx="18">
                  <c:v>1.71</c:v>
                </c:pt>
                <c:pt idx="19">
                  <c:v>7.44</c:v>
                </c:pt>
                <c:pt idx="20">
                  <c:v>1.8799999999999999E-3</c:v>
                </c:pt>
                <c:pt idx="21">
                  <c:v>2.2000000000000001E-3</c:v>
                </c:pt>
                <c:pt idx="22">
                  <c:v>2.5500000000000002E-3</c:v>
                </c:pt>
                <c:pt idx="23">
                  <c:v>2.9299999999999999E-3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4-432B-BC97-F2691D06B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788479"/>
        <c:axId val="950787647"/>
      </c:barChart>
      <c:catAx>
        <c:axId val="95078847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0787647"/>
        <c:crosses val="autoZero"/>
        <c:auto val="1"/>
        <c:lblAlgn val="ctr"/>
        <c:lblOffset val="100"/>
        <c:noMultiLvlLbl val="0"/>
      </c:catAx>
      <c:valAx>
        <c:axId val="950787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0788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kumimoji="0" lang="fr-CH" sz="1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>
                    <a:lumMod val="75000"/>
                    <a:lumOff val="25000"/>
                  </a:sysClr>
                </a:solidFill>
                <a:effectLst/>
                <a:uLnTx/>
                <a:uFillTx/>
                <a:latin typeface="Calibri"/>
              </a:rPr>
              <a:t>Détail de la phase construction décomposée selon la classification ECCC avec leurs valeurs en </a:t>
            </a:r>
            <a:r>
              <a:rPr lang="fr-CH" sz="16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/>
                <a:ea typeface="Calibri" panose="020F0502020204030204" pitchFamily="34" charset="0"/>
                <a:cs typeface="Calibri" panose="020F0502020204030204" pitchFamily="34" charset="0"/>
              </a:rPr>
              <a:t>kgCO</a:t>
            </a:r>
            <a:r>
              <a:rPr lang="fr-CH" sz="1600" b="1" i="0" u="none" strike="noStrike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/>
                <a:ea typeface="Calibri" panose="020F0502020204030204" pitchFamily="34" charset="0"/>
                <a:cs typeface="Calibri" panose="020F0502020204030204" pitchFamily="34" charset="0"/>
              </a:rPr>
              <a:t>2éq</a:t>
            </a:r>
            <a:r>
              <a:rPr lang="fr-CH" sz="16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/>
                <a:ea typeface="Calibri" panose="020F0502020204030204" pitchFamily="34" charset="0"/>
                <a:cs typeface="Calibri" panose="020F0502020204030204" pitchFamily="34" charset="0"/>
              </a:rPr>
              <a:t>/m</a:t>
            </a:r>
            <a:r>
              <a:rPr lang="fr-CH" sz="1600" b="1" i="0" u="none" strike="noStrike" baseline="3000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/>
                <a:ea typeface="Calibri" panose="020F0502020204030204" pitchFamily="34" charset="0"/>
                <a:cs typeface="Calibri" panose="020F0502020204030204" pitchFamily="34" charset="0"/>
              </a:rPr>
              <a:t>2</a:t>
            </a:r>
            <a:r>
              <a:rPr lang="fr-CH" sz="1600" b="1" i="0" u="none" strike="noStrike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/>
                <a:ea typeface="Calibri" panose="020F0502020204030204" pitchFamily="34" charset="0"/>
                <a:cs typeface="Calibri" panose="020F0502020204030204" pitchFamily="34" charset="0"/>
              </a:rPr>
              <a:t>SRE</a:t>
            </a:r>
            <a:r>
              <a:rPr lang="fr-CH" sz="16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/>
                <a:ea typeface="Calibri" panose="020F0502020204030204" pitchFamily="34" charset="0"/>
                <a:cs typeface="Calibri" panose="020F0502020204030204" pitchFamily="34" charset="0"/>
              </a:rPr>
              <a:t>.an</a:t>
            </a:r>
          </a:p>
        </cx:rich>
      </cx:tx>
    </cx:title>
    <cx:plotArea>
      <cx:plotAreaRegion>
        <cx:plotSurface>
          <cx:spPr>
            <a:ln>
              <a:noFill/>
            </a:ln>
          </cx:spPr>
        </cx:plotSurface>
        <cx:series layoutId="sunburst" uniqueId="{53442358-CBBC-4C04-AD96-0D61FEB29D9B}" formatIdx="0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200" b="0" i="0">
                    <a:solidFill>
                      <a:srgbClr val="000000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/>
              </a:p>
            </cx:txPr>
            <cx:visibility seriesName="0" categoryName="1" value="1"/>
            <cx:separator>; </cx:separator>
            <cx:dataLabelHidden idx="0"/>
            <cx:dataLabelHidden idx="2"/>
            <cx:dataLabelHidden idx="6"/>
            <cx:dataLabelHidden idx="12"/>
            <cx:dataLabelHidden idx="21"/>
          </cx:dataLabels>
          <cx:dataId val="0"/>
        </cx:series>
      </cx:plotAreaRegion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7" Type="http://schemas.openxmlformats.org/officeDocument/2006/relationships/image" Target="../media/image27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Relationship Id="rId6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2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504826</xdr:colOff>
      <xdr:row>12</xdr:row>
      <xdr:rowOff>85725</xdr:rowOff>
    </xdr:from>
    <xdr:to>
      <xdr:col>14</xdr:col>
      <xdr:colOff>57150</xdr:colOff>
      <xdr:row>14</xdr:row>
      <xdr:rowOff>115576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1E0E6DF2-472F-42A8-BE67-05E6A2C08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1" y="2895600"/>
          <a:ext cx="1228724" cy="429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581025</xdr:colOff>
      <xdr:row>0</xdr:row>
      <xdr:rowOff>676325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E5196A0-6F8C-4C37-A734-1E76CDF08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"/>
          <a:ext cx="1619250" cy="666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415637</xdr:colOff>
      <xdr:row>24</xdr:row>
      <xdr:rowOff>16688</xdr:rowOff>
    </xdr:from>
    <xdr:to>
      <xdr:col>24</xdr:col>
      <xdr:colOff>515728</xdr:colOff>
      <xdr:row>27</xdr:row>
      <xdr:rowOff>102386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D402850-2556-42A3-B92A-9580CAA28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54364" y="5870233"/>
          <a:ext cx="1728000" cy="709153"/>
        </a:xfrm>
        <a:prstGeom prst="rect">
          <a:avLst/>
        </a:prstGeom>
      </xdr:spPr>
    </xdr:pic>
    <xdr:clientData/>
  </xdr:twoCellAnchor>
  <xdr:twoCellAnchor editAs="oneCell">
    <xdr:from>
      <xdr:col>21</xdr:col>
      <xdr:colOff>794994</xdr:colOff>
      <xdr:row>8</xdr:row>
      <xdr:rowOff>17319</xdr:rowOff>
    </xdr:from>
    <xdr:to>
      <xdr:col>24</xdr:col>
      <xdr:colOff>585052</xdr:colOff>
      <xdr:row>12</xdr:row>
      <xdr:rowOff>15796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339B17C-DF3E-41F3-8407-15516EE59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19767" y="2615046"/>
          <a:ext cx="2231922" cy="829750"/>
        </a:xfrm>
        <a:prstGeom prst="rect">
          <a:avLst/>
        </a:prstGeom>
      </xdr:spPr>
    </xdr:pic>
    <xdr:clientData/>
  </xdr:twoCellAnchor>
  <xdr:oneCellAnchor>
    <xdr:from>
      <xdr:col>22</xdr:col>
      <xdr:colOff>294408</xdr:colOff>
      <xdr:row>33</xdr:row>
      <xdr:rowOff>138544</xdr:rowOff>
    </xdr:from>
    <xdr:ext cx="1935871" cy="719689"/>
    <xdr:pic>
      <xdr:nvPicPr>
        <xdr:cNvPr id="6" name="Image 5">
          <a:extLst>
            <a:ext uri="{FF2B5EF4-FFF2-40B4-BE49-F238E27FC236}">
              <a16:creationId xmlns:a16="http://schemas.microsoft.com/office/drawing/2014/main" id="{C59612B2-35C5-4421-BAC0-3137534FE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133135" y="6823362"/>
          <a:ext cx="1935871" cy="719689"/>
        </a:xfrm>
        <a:prstGeom prst="rect">
          <a:avLst/>
        </a:prstGeom>
      </xdr:spPr>
    </xdr:pic>
    <xdr:clientData/>
  </xdr:oneCellAnchor>
  <xdr:twoCellAnchor editAs="oneCell">
    <xdr:from>
      <xdr:col>22</xdr:col>
      <xdr:colOff>97983</xdr:colOff>
      <xdr:row>12</xdr:row>
      <xdr:rowOff>155864</xdr:rowOff>
    </xdr:from>
    <xdr:to>
      <xdr:col>24</xdr:col>
      <xdr:colOff>328724</xdr:colOff>
      <xdr:row>16</xdr:row>
      <xdr:rowOff>22707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23BE0C6-E5FE-4FC9-AB5A-242F8EAA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36710" y="3584864"/>
          <a:ext cx="1858650" cy="663479"/>
        </a:xfrm>
        <a:prstGeom prst="rect">
          <a:avLst/>
        </a:prstGeom>
      </xdr:spPr>
    </xdr:pic>
    <xdr:clientData/>
  </xdr:twoCellAnchor>
  <xdr:twoCellAnchor editAs="oneCell">
    <xdr:from>
      <xdr:col>22</xdr:col>
      <xdr:colOff>198428</xdr:colOff>
      <xdr:row>16</xdr:row>
      <xdr:rowOff>204355</xdr:rowOff>
    </xdr:from>
    <xdr:to>
      <xdr:col>24</xdr:col>
      <xdr:colOff>429169</xdr:colOff>
      <xdr:row>20</xdr:row>
      <xdr:rowOff>71197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9A39848-20D5-480D-9C5C-4708F1F8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037155" y="4429991"/>
          <a:ext cx="1858650" cy="663479"/>
        </a:xfrm>
        <a:prstGeom prst="rect">
          <a:avLst/>
        </a:prstGeom>
      </xdr:spPr>
    </xdr:pic>
    <xdr:clientData/>
  </xdr:twoCellAnchor>
  <xdr:twoCellAnchor editAs="oneCell">
    <xdr:from>
      <xdr:col>21</xdr:col>
      <xdr:colOff>190500</xdr:colOff>
      <xdr:row>44</xdr:row>
      <xdr:rowOff>0</xdr:rowOff>
    </xdr:from>
    <xdr:to>
      <xdr:col>24</xdr:col>
      <xdr:colOff>739903</xdr:colOff>
      <xdr:row>47</xdr:row>
      <xdr:rowOff>116130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35B4CBB-2619-4E5C-AF51-E6F89D11C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215273" y="8988136"/>
          <a:ext cx="2991267" cy="704948"/>
        </a:xfrm>
        <a:prstGeom prst="rect">
          <a:avLst/>
        </a:prstGeom>
      </xdr:spPr>
    </xdr:pic>
    <xdr:clientData/>
  </xdr:twoCellAnchor>
  <xdr:twoCellAnchor editAs="oneCell">
    <xdr:from>
      <xdr:col>21</xdr:col>
      <xdr:colOff>173182</xdr:colOff>
      <xdr:row>54</xdr:row>
      <xdr:rowOff>0</xdr:rowOff>
    </xdr:from>
    <xdr:to>
      <xdr:col>25</xdr:col>
      <xdr:colOff>3895</xdr:colOff>
      <xdr:row>57</xdr:row>
      <xdr:rowOff>201866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3E1AAD3-F6A7-4007-B86F-4045711B0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197955" y="9975272"/>
          <a:ext cx="3086531" cy="790685"/>
        </a:xfrm>
        <a:prstGeom prst="rect">
          <a:avLst/>
        </a:prstGeom>
      </xdr:spPr>
    </xdr:pic>
    <xdr:clientData/>
  </xdr:twoCellAnchor>
  <xdr:twoCellAnchor editAs="oneCell">
    <xdr:from>
      <xdr:col>21</xdr:col>
      <xdr:colOff>525556</xdr:colOff>
      <xdr:row>39</xdr:row>
      <xdr:rowOff>51955</xdr:rowOff>
    </xdr:from>
    <xdr:to>
      <xdr:col>24</xdr:col>
      <xdr:colOff>772885</xdr:colOff>
      <xdr:row>42</xdr:row>
      <xdr:rowOff>136943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D4C8B77-E4EE-42C4-9A40-E725F12F6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50329" y="8001000"/>
          <a:ext cx="2689193" cy="708443"/>
        </a:xfrm>
        <a:prstGeom prst="rect">
          <a:avLst/>
        </a:prstGeom>
      </xdr:spPr>
    </xdr:pic>
    <xdr:clientData/>
  </xdr:twoCellAnchor>
  <xdr:twoCellAnchor editAs="oneCell">
    <xdr:from>
      <xdr:col>21</xdr:col>
      <xdr:colOff>415635</xdr:colOff>
      <xdr:row>49</xdr:row>
      <xdr:rowOff>74866</xdr:rowOff>
    </xdr:from>
    <xdr:to>
      <xdr:col>24</xdr:col>
      <xdr:colOff>654645</xdr:colOff>
      <xdr:row>52</xdr:row>
      <xdr:rowOff>872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87FF2A6-3527-4076-9392-83D4B9970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440408" y="10067457"/>
          <a:ext cx="2680874" cy="4455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243840</xdr:colOff>
      <xdr:row>14</xdr:row>
      <xdr:rowOff>45720</xdr:rowOff>
    </xdr:from>
    <xdr:to>
      <xdr:col>40</xdr:col>
      <xdr:colOff>662940</xdr:colOff>
      <xdr:row>29</xdr:row>
      <xdr:rowOff>160020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93D2098-D49F-4602-80D7-DB24DE1BD6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</xdr:colOff>
      <xdr:row>0</xdr:row>
      <xdr:rowOff>11430</xdr:rowOff>
    </xdr:from>
    <xdr:to>
      <xdr:col>2</xdr:col>
      <xdr:colOff>567690</xdr:colOff>
      <xdr:row>2</xdr:row>
      <xdr:rowOff>15290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F1B44CB-6E73-4A5B-B6A3-7DC6388BB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" y="11430"/>
          <a:ext cx="1628775" cy="674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507467</xdr:colOff>
      <xdr:row>69</xdr:row>
      <xdr:rowOff>33618</xdr:rowOff>
    </xdr:from>
    <xdr:to>
      <xdr:col>14</xdr:col>
      <xdr:colOff>5116</xdr:colOff>
      <xdr:row>99</xdr:row>
      <xdr:rowOff>74439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Graphique 5">
              <a:extLst>
                <a:ext uri="{FF2B5EF4-FFF2-40B4-BE49-F238E27FC236}">
                  <a16:creationId xmlns:a16="http://schemas.microsoft.com/office/drawing/2014/main" id="{178D853C-ABC1-4A79-BB1A-9BCFA1BC2AD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03642" y="16102293"/>
              <a:ext cx="6755699" cy="60415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CH" sz="1100"/>
                <a:t>Ce graphique n’est pas disponible dans votre version d’Excel.
La modification de cette forme ou l’enregistrement de ce classeur dans un autre format de fichier endommagera le graphique de façon irréparable.</a:t>
              </a:r>
            </a:p>
          </xdr:txBody>
        </xdr:sp>
      </mc:Fallback>
    </mc:AlternateContent>
    <xdr:clientData/>
  </xdr:twoCellAnchor>
  <xdr:twoCellAnchor>
    <xdr:from>
      <xdr:col>7</xdr:col>
      <xdr:colOff>581025</xdr:colOff>
      <xdr:row>44</xdr:row>
      <xdr:rowOff>9525</xdr:rowOff>
    </xdr:from>
    <xdr:to>
      <xdr:col>13</xdr:col>
      <xdr:colOff>593912</xdr:colOff>
      <xdr:row>66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A8711F6F-5A7C-49E1-BE66-28737D34C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87407</xdr:colOff>
      <xdr:row>105</xdr:row>
      <xdr:rowOff>33617</xdr:rowOff>
    </xdr:from>
    <xdr:to>
      <xdr:col>13</xdr:col>
      <xdr:colOff>811307</xdr:colOff>
      <xdr:row>129</xdr:row>
      <xdr:rowOff>179295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6E59C319-6DA0-40B3-8439-229A63DBA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718458</xdr:colOff>
      <xdr:row>67</xdr:row>
      <xdr:rowOff>57150</xdr:rowOff>
    </xdr:from>
    <xdr:to>
      <xdr:col>8</xdr:col>
      <xdr:colOff>295275</xdr:colOff>
      <xdr:row>100</xdr:row>
      <xdr:rowOff>134470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DA0176-C526-4EDC-83F3-91BE8E06B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40822</xdr:colOff>
      <xdr:row>0</xdr:row>
      <xdr:rowOff>1</xdr:rowOff>
    </xdr:from>
    <xdr:to>
      <xdr:col>1</xdr:col>
      <xdr:colOff>1342670</xdr:colOff>
      <xdr:row>2</xdr:row>
      <xdr:rowOff>21215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B6B5433C-35BF-4141-AFAB-DB6E1A127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822" y="1"/>
          <a:ext cx="2301077" cy="958698"/>
        </a:xfrm>
        <a:prstGeom prst="rect">
          <a:avLst/>
        </a:prstGeom>
      </xdr:spPr>
    </xdr:pic>
    <xdr:clientData/>
  </xdr:twoCellAnchor>
  <xdr:twoCellAnchor>
    <xdr:from>
      <xdr:col>0</xdr:col>
      <xdr:colOff>515470</xdr:colOff>
      <xdr:row>105</xdr:row>
      <xdr:rowOff>33618</xdr:rowOff>
    </xdr:from>
    <xdr:to>
      <xdr:col>8</xdr:col>
      <xdr:colOff>2487706</xdr:colOff>
      <xdr:row>129</xdr:row>
      <xdr:rowOff>179294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FA317907-482E-453F-BBDE-AC26470AB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762000</xdr:colOff>
      <xdr:row>7</xdr:row>
      <xdr:rowOff>64770</xdr:rowOff>
    </xdr:from>
    <xdr:to>
      <xdr:col>13</xdr:col>
      <xdr:colOff>304800</xdr:colOff>
      <xdr:row>21</xdr:row>
      <xdr:rowOff>7620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6029CA02-CEE5-4D7F-A183-FD319BC282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938893</xdr:colOff>
      <xdr:row>83</xdr:row>
      <xdr:rowOff>170699</xdr:rowOff>
    </xdr:from>
    <xdr:to>
      <xdr:col>19</xdr:col>
      <xdr:colOff>2582802</xdr:colOff>
      <xdr:row>111</xdr:row>
      <xdr:rowOff>96737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A937E71-BEB7-407D-8564-402A79916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89036" y="14186056"/>
          <a:ext cx="8507080" cy="56317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692075</xdr:colOff>
      <xdr:row>74</xdr:row>
      <xdr:rowOff>52891</xdr:rowOff>
    </xdr:from>
    <xdr:to>
      <xdr:col>4</xdr:col>
      <xdr:colOff>1901033</xdr:colOff>
      <xdr:row>106</xdr:row>
      <xdr:rowOff>187339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F57E95B-4EDA-47AE-87BF-F902E7C65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4928" y="15214450"/>
          <a:ext cx="5713499" cy="6571891"/>
        </a:xfrm>
        <a:prstGeom prst="rect">
          <a:avLst/>
        </a:prstGeom>
      </xdr:spPr>
    </xdr:pic>
    <xdr:clientData/>
  </xdr:twoCellAnchor>
  <xdr:twoCellAnchor editAs="oneCell">
    <xdr:from>
      <xdr:col>4</xdr:col>
      <xdr:colOff>2413747</xdr:colOff>
      <xdr:row>111</xdr:row>
      <xdr:rowOff>195879</xdr:rowOff>
    </xdr:from>
    <xdr:to>
      <xdr:col>6</xdr:col>
      <xdr:colOff>424995</xdr:colOff>
      <xdr:row>130</xdr:row>
      <xdr:rowOff>147790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66CD8C1-1F53-4209-8401-C85E3D344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2571" y="22820555"/>
          <a:ext cx="5721119" cy="3782418"/>
        </a:xfrm>
        <a:prstGeom prst="rect">
          <a:avLst/>
        </a:prstGeom>
      </xdr:spPr>
    </xdr:pic>
    <xdr:clientData/>
  </xdr:twoCellAnchor>
  <xdr:twoCellAnchor editAs="oneCell">
    <xdr:from>
      <xdr:col>4</xdr:col>
      <xdr:colOff>2343821</xdr:colOff>
      <xdr:row>74</xdr:row>
      <xdr:rowOff>94130</xdr:rowOff>
    </xdr:from>
    <xdr:to>
      <xdr:col>6</xdr:col>
      <xdr:colOff>691251</xdr:colOff>
      <xdr:row>93</xdr:row>
      <xdr:rowOff>40651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92498F1-14A0-475F-8619-62F73785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22645" y="15255689"/>
          <a:ext cx="6057301" cy="3778932"/>
        </a:xfrm>
        <a:prstGeom prst="rect">
          <a:avLst/>
        </a:prstGeom>
      </xdr:spPr>
    </xdr:pic>
    <xdr:clientData/>
  </xdr:twoCellAnchor>
  <xdr:twoCellAnchor editAs="oneCell">
    <xdr:from>
      <xdr:col>4</xdr:col>
      <xdr:colOff>2355475</xdr:colOff>
      <xdr:row>92</xdr:row>
      <xdr:rowOff>196102</xdr:rowOff>
    </xdr:from>
    <xdr:to>
      <xdr:col>6</xdr:col>
      <xdr:colOff>653499</xdr:colOff>
      <xdr:row>112</xdr:row>
      <xdr:rowOff>72501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4E5CE0B-5B93-4076-9511-EDF43C688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299" y="18988367"/>
          <a:ext cx="5996465" cy="3893371"/>
        </a:xfrm>
        <a:prstGeom prst="rect">
          <a:avLst/>
        </a:prstGeom>
      </xdr:spPr>
    </xdr:pic>
    <xdr:clientData/>
  </xdr:twoCellAnchor>
  <xdr:twoCellAnchor editAs="oneCell">
    <xdr:from>
      <xdr:col>15</xdr:col>
      <xdr:colOff>323138</xdr:colOff>
      <xdr:row>3</xdr:row>
      <xdr:rowOff>485510</xdr:rowOff>
    </xdr:from>
    <xdr:to>
      <xdr:col>29</xdr:col>
      <xdr:colOff>156746</xdr:colOff>
      <xdr:row>41</xdr:row>
      <xdr:rowOff>109765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8D79903-B138-415B-8176-DC017FEDD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782963" y="1609460"/>
          <a:ext cx="11835108" cy="7901480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0</xdr:row>
      <xdr:rowOff>0</xdr:rowOff>
    </xdr:from>
    <xdr:to>
      <xdr:col>2</xdr:col>
      <xdr:colOff>644450</xdr:colOff>
      <xdr:row>1</xdr:row>
      <xdr:rowOff>111068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0AF5574-3B2C-42D5-A840-CB2FD35E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7677" y="0"/>
          <a:ext cx="1490382" cy="6151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29</xdr:row>
      <xdr:rowOff>0</xdr:rowOff>
    </xdr:from>
    <xdr:to>
      <xdr:col>1</xdr:col>
      <xdr:colOff>2381652</xdr:colOff>
      <xdr:row>41</xdr:row>
      <xdr:rowOff>152923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8124761-C116-4375-A92A-DA8300482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5686926"/>
          <a:ext cx="7162800" cy="2275495"/>
        </a:xfrm>
        <a:prstGeom prst="rect">
          <a:avLst/>
        </a:prstGeom>
      </xdr:spPr>
    </xdr:pic>
    <xdr:clientData/>
  </xdr:twoCellAnchor>
  <xdr:twoCellAnchor editAs="oneCell">
    <xdr:from>
      <xdr:col>3</xdr:col>
      <xdr:colOff>3609473</xdr:colOff>
      <xdr:row>27</xdr:row>
      <xdr:rowOff>104273</xdr:rowOff>
    </xdr:from>
    <xdr:to>
      <xdr:col>10</xdr:col>
      <xdr:colOff>2506</xdr:colOff>
      <xdr:row>50</xdr:row>
      <xdr:rowOff>131984</xdr:rowOff>
    </xdr:to>
    <xdr:pic>
      <xdr:nvPicPr>
        <xdr:cNvPr id="3" name="Image 2" descr="Palplanches - Techniques concurrentes">
          <a:extLst>
            <a:ext uri="{FF2B5EF4-FFF2-40B4-BE49-F238E27FC236}">
              <a16:creationId xmlns:a16="http://schemas.microsoft.com/office/drawing/2014/main" id="{D6E80CC3-08DA-4915-89B8-5F928C45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1452" y="3481136"/>
          <a:ext cx="4580021" cy="4096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112295</xdr:rowOff>
    </xdr:from>
    <xdr:to>
      <xdr:col>19</xdr:col>
      <xdr:colOff>23362</xdr:colOff>
      <xdr:row>51</xdr:row>
      <xdr:rowOff>159412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E5A9FF0-3DCF-4100-9D67-942799A1D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3873" y="3489158"/>
          <a:ext cx="4550243" cy="429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56</xdr:row>
      <xdr:rowOff>47625</xdr:rowOff>
    </xdr:from>
    <xdr:to>
      <xdr:col>1</xdr:col>
      <xdr:colOff>2866575</xdr:colOff>
      <xdr:row>83</xdr:row>
      <xdr:rowOff>21953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AEB3084-1D9C-4F6F-A11A-C27A515CD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" y="10877550"/>
          <a:ext cx="7610025" cy="4860653"/>
        </a:xfrm>
        <a:prstGeom prst="rect">
          <a:avLst/>
        </a:prstGeom>
      </xdr:spPr>
    </xdr:pic>
    <xdr:clientData/>
  </xdr:twoCellAnchor>
  <xdr:twoCellAnchor editAs="oneCell">
    <xdr:from>
      <xdr:col>6</xdr:col>
      <xdr:colOff>30079</xdr:colOff>
      <xdr:row>56</xdr:row>
      <xdr:rowOff>10027</xdr:rowOff>
    </xdr:from>
    <xdr:to>
      <xdr:col>13</xdr:col>
      <xdr:colOff>10329</xdr:colOff>
      <xdr:row>74</xdr:row>
      <xdr:rowOff>85309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7F0FF25-6914-4DB3-A429-1422019C5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42421" y="10818395"/>
          <a:ext cx="5600000" cy="332380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56</xdr:row>
      <xdr:rowOff>0</xdr:rowOff>
    </xdr:from>
    <xdr:to>
      <xdr:col>27</xdr:col>
      <xdr:colOff>704432</xdr:colOff>
      <xdr:row>76</xdr:row>
      <xdr:rowOff>133383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8ADA7B0-CE26-4704-9544-B9AB2B75A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68500" y="10808368"/>
          <a:ext cx="7361905" cy="37428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194328</xdr:colOff>
      <xdr:row>0</xdr:row>
      <xdr:rowOff>9525</xdr:rowOff>
    </xdr:from>
    <xdr:to>
      <xdr:col>23</xdr:col>
      <xdr:colOff>270057</xdr:colOff>
      <xdr:row>8</xdr:row>
      <xdr:rowOff>116789</xdr:rowOff>
    </xdr:to>
    <xdr:pic>
      <xdr:nvPicPr>
        <xdr:cNvPr id="2" name="Image 1" descr="Le Radier, un système de fondation avec beaucoup de préjugés">
          <a:extLst>
            <a:ext uri="{FF2B5EF4-FFF2-40B4-BE49-F238E27FC236}">
              <a16:creationId xmlns:a16="http://schemas.microsoft.com/office/drawing/2014/main" id="{339214E8-9375-43E8-B1D8-C1A8CFCEC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25803" y="9525"/>
          <a:ext cx="3352329" cy="2602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230979</xdr:colOff>
      <xdr:row>10</xdr:row>
      <xdr:rowOff>68892</xdr:rowOff>
    </xdr:from>
    <xdr:to>
      <xdr:col>23</xdr:col>
      <xdr:colOff>299860</xdr:colOff>
      <xdr:row>21</xdr:row>
      <xdr:rowOff>98999</xdr:rowOff>
    </xdr:to>
    <xdr:pic>
      <xdr:nvPicPr>
        <xdr:cNvPr id="3" name="Image 2" descr="Radier thermique Jackon avec XPS">
          <a:extLst>
            <a:ext uri="{FF2B5EF4-FFF2-40B4-BE49-F238E27FC236}">
              <a16:creationId xmlns:a16="http://schemas.microsoft.com/office/drawing/2014/main" id="{C0C265E0-F64F-412F-8996-84CE509D0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2454" y="2935917"/>
          <a:ext cx="3345481" cy="2049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163163</xdr:colOff>
      <xdr:row>26</xdr:row>
      <xdr:rowOff>70213</xdr:rowOff>
    </xdr:from>
    <xdr:to>
      <xdr:col>24</xdr:col>
      <xdr:colOff>253634</xdr:colOff>
      <xdr:row>41</xdr:row>
      <xdr:rowOff>164916</xdr:rowOff>
    </xdr:to>
    <xdr:pic>
      <xdr:nvPicPr>
        <xdr:cNvPr id="4" name="Image 3" descr="Keller als weiße Wanne">
          <a:extLst>
            <a:ext uri="{FF2B5EF4-FFF2-40B4-BE49-F238E27FC236}">
              <a16:creationId xmlns:a16="http://schemas.microsoft.com/office/drawing/2014/main" id="{33C80598-254F-4D5A-A265-C4678B2B2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94638" y="6109063"/>
          <a:ext cx="4186221" cy="286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266373</xdr:colOff>
      <xdr:row>4</xdr:row>
      <xdr:rowOff>66261</xdr:rowOff>
    </xdr:from>
    <xdr:to>
      <xdr:col>22</xdr:col>
      <xdr:colOff>78758</xdr:colOff>
      <xdr:row>7</xdr:row>
      <xdr:rowOff>24412</xdr:rowOff>
    </xdr:to>
    <xdr:pic>
      <xdr:nvPicPr>
        <xdr:cNvPr id="5" name="Picture 50">
          <a:extLst>
            <a:ext uri="{FF2B5EF4-FFF2-40B4-BE49-F238E27FC236}">
              <a16:creationId xmlns:a16="http://schemas.microsoft.com/office/drawing/2014/main" id="{A6010C32-9C81-47E6-8C06-5746E8E39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0" t="53334" r="16608" b="6924"/>
        <a:stretch/>
      </xdr:blipFill>
      <xdr:spPr>
        <a:xfrm>
          <a:off x="22944156" y="1590261"/>
          <a:ext cx="2272320" cy="521368"/>
        </a:xfrm>
        <a:prstGeom prst="rect">
          <a:avLst/>
        </a:prstGeom>
      </xdr:spPr>
    </xdr:pic>
    <xdr:clientData/>
  </xdr:twoCellAnchor>
  <xdr:twoCellAnchor editAs="oneCell">
    <xdr:from>
      <xdr:col>19</xdr:col>
      <xdr:colOff>221521</xdr:colOff>
      <xdr:row>26</xdr:row>
      <xdr:rowOff>133556</xdr:rowOff>
    </xdr:from>
    <xdr:to>
      <xdr:col>22</xdr:col>
      <xdr:colOff>609585</xdr:colOff>
      <xdr:row>30</xdr:row>
      <xdr:rowOff>91109</xdr:rowOff>
    </xdr:to>
    <xdr:pic>
      <xdr:nvPicPr>
        <xdr:cNvPr id="6" name="Picture 50">
          <a:extLst>
            <a:ext uri="{FF2B5EF4-FFF2-40B4-BE49-F238E27FC236}">
              <a16:creationId xmlns:a16="http://schemas.microsoft.com/office/drawing/2014/main" id="{48288930-1873-4818-B0EA-4541EA1CB7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0" t="9670" r="16608" b="47876"/>
        <a:stretch/>
      </xdr:blipFill>
      <xdr:spPr>
        <a:xfrm>
          <a:off x="22899304" y="5856839"/>
          <a:ext cx="2847999" cy="686422"/>
        </a:xfrm>
        <a:prstGeom prst="rect">
          <a:avLst/>
        </a:prstGeom>
      </xdr:spPr>
    </xdr:pic>
    <xdr:clientData/>
  </xdr:twoCellAnchor>
  <xdr:twoCellAnchor editAs="oneCell">
    <xdr:from>
      <xdr:col>19</xdr:col>
      <xdr:colOff>200556</xdr:colOff>
      <xdr:row>8</xdr:row>
      <xdr:rowOff>57979</xdr:rowOff>
    </xdr:from>
    <xdr:to>
      <xdr:col>21</xdr:col>
      <xdr:colOff>767015</xdr:colOff>
      <xdr:row>9</xdr:row>
      <xdr:rowOff>173934</xdr:rowOff>
    </xdr:to>
    <xdr:pic>
      <xdr:nvPicPr>
        <xdr:cNvPr id="7" name="Picture 33">
          <a:extLst>
            <a:ext uri="{FF2B5EF4-FFF2-40B4-BE49-F238E27FC236}">
              <a16:creationId xmlns:a16="http://schemas.microsoft.com/office/drawing/2014/main" id="{BB9145AA-8DC2-439B-AB1A-7AD0D9992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938" t="50648" r="53576" b="38463"/>
        <a:stretch/>
      </xdr:blipFill>
      <xdr:spPr>
        <a:xfrm>
          <a:off x="22878339" y="2335696"/>
          <a:ext cx="2206415" cy="298173"/>
        </a:xfrm>
        <a:prstGeom prst="rect">
          <a:avLst/>
        </a:prstGeom>
      </xdr:spPr>
    </xdr:pic>
    <xdr:clientData/>
  </xdr:twoCellAnchor>
  <xdr:twoCellAnchor editAs="oneCell">
    <xdr:from>
      <xdr:col>19</xdr:col>
      <xdr:colOff>203864</xdr:colOff>
      <xdr:row>34</xdr:row>
      <xdr:rowOff>68036</xdr:rowOff>
    </xdr:from>
    <xdr:to>
      <xdr:col>22</xdr:col>
      <xdr:colOff>653143</xdr:colOff>
      <xdr:row>38</xdr:row>
      <xdr:rowOff>66261</xdr:rowOff>
    </xdr:to>
    <xdr:pic>
      <xdr:nvPicPr>
        <xdr:cNvPr id="14" name="Picture 33">
          <a:extLst>
            <a:ext uri="{FF2B5EF4-FFF2-40B4-BE49-F238E27FC236}">
              <a16:creationId xmlns:a16="http://schemas.microsoft.com/office/drawing/2014/main" id="{DE79DF06-CB96-47F8-A9FF-1303D19FD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938" t="4506" r="9266" b="50827"/>
        <a:stretch/>
      </xdr:blipFill>
      <xdr:spPr>
        <a:xfrm>
          <a:off x="22881647" y="7282188"/>
          <a:ext cx="2909214" cy="727095"/>
        </a:xfrm>
        <a:prstGeom prst="rect">
          <a:avLst/>
        </a:prstGeom>
      </xdr:spPr>
    </xdr:pic>
    <xdr:clientData/>
  </xdr:twoCellAnchor>
  <xdr:twoCellAnchor editAs="oneCell">
    <xdr:from>
      <xdr:col>22</xdr:col>
      <xdr:colOff>791978</xdr:colOff>
      <xdr:row>35</xdr:row>
      <xdr:rowOff>15537</xdr:rowOff>
    </xdr:from>
    <xdr:to>
      <xdr:col>24</xdr:col>
      <xdr:colOff>733147</xdr:colOff>
      <xdr:row>41</xdr:row>
      <xdr:rowOff>60673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78542C17-8330-47C2-9AA2-66F53AD0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83549" y="7363394"/>
          <a:ext cx="1574026" cy="1106493"/>
        </a:xfrm>
        <a:prstGeom prst="rect">
          <a:avLst/>
        </a:prstGeom>
      </xdr:spPr>
    </xdr:pic>
    <xdr:clientData/>
  </xdr:twoCellAnchor>
  <xdr:twoCellAnchor editAs="oneCell">
    <xdr:from>
      <xdr:col>19</xdr:col>
      <xdr:colOff>190500</xdr:colOff>
      <xdr:row>42</xdr:row>
      <xdr:rowOff>102145</xdr:rowOff>
    </xdr:from>
    <xdr:to>
      <xdr:col>21</xdr:col>
      <xdr:colOff>503217</xdr:colOff>
      <xdr:row>46</xdr:row>
      <xdr:rowOff>82826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A7C2EF-4EC8-471A-A02A-FD6F52186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102" r="17410" b="36621"/>
        <a:stretch/>
      </xdr:blipFill>
      <xdr:spPr>
        <a:xfrm>
          <a:off x="22868283" y="8790602"/>
          <a:ext cx="1952673" cy="726115"/>
        </a:xfrm>
        <a:prstGeom prst="rect">
          <a:avLst/>
        </a:prstGeom>
      </xdr:spPr>
    </xdr:pic>
    <xdr:clientData/>
  </xdr:twoCellAnchor>
  <xdr:twoCellAnchor editAs="oneCell">
    <xdr:from>
      <xdr:col>22</xdr:col>
      <xdr:colOff>238777</xdr:colOff>
      <xdr:row>42</xdr:row>
      <xdr:rowOff>174812</xdr:rowOff>
    </xdr:from>
    <xdr:to>
      <xdr:col>23</xdr:col>
      <xdr:colOff>641181</xdr:colOff>
      <xdr:row>48</xdr:row>
      <xdr:rowOff>173461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9EE7DF1-FDC7-4D59-BE0D-3050F5F2B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30348" y="8788133"/>
          <a:ext cx="1218832" cy="1087221"/>
        </a:xfrm>
        <a:prstGeom prst="rect">
          <a:avLst/>
        </a:prstGeom>
      </xdr:spPr>
    </xdr:pic>
    <xdr:clientData/>
  </xdr:twoCellAnchor>
  <xdr:twoCellAnchor editAs="oneCell">
    <xdr:from>
      <xdr:col>19</xdr:col>
      <xdr:colOff>624557</xdr:colOff>
      <xdr:row>125</xdr:row>
      <xdr:rowOff>162486</xdr:rowOff>
    </xdr:from>
    <xdr:to>
      <xdr:col>22</xdr:col>
      <xdr:colOff>399423</xdr:colOff>
      <xdr:row>128</xdr:row>
      <xdr:rowOff>74706</xdr:rowOff>
    </xdr:to>
    <xdr:pic>
      <xdr:nvPicPr>
        <xdr:cNvPr id="18" name="Picture 20">
          <a:extLst>
            <a:ext uri="{FF2B5EF4-FFF2-40B4-BE49-F238E27FC236}">
              <a16:creationId xmlns:a16="http://schemas.microsoft.com/office/drawing/2014/main" id="{2876FF07-B45F-4A62-A185-7F2C650C8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6461" t="48153" r="23665" b="25077"/>
        <a:stretch/>
      </xdr:blipFill>
      <xdr:spPr>
        <a:xfrm>
          <a:off x="25056182" y="22689111"/>
          <a:ext cx="2251366" cy="499595"/>
        </a:xfrm>
        <a:prstGeom prst="rect">
          <a:avLst/>
        </a:prstGeom>
      </xdr:spPr>
    </xdr:pic>
    <xdr:clientData/>
  </xdr:twoCellAnchor>
  <xdr:twoCellAnchor editAs="oneCell">
    <xdr:from>
      <xdr:col>19</xdr:col>
      <xdr:colOff>804956</xdr:colOff>
      <xdr:row>141</xdr:row>
      <xdr:rowOff>152213</xdr:rowOff>
    </xdr:from>
    <xdr:to>
      <xdr:col>22</xdr:col>
      <xdr:colOff>740437</xdr:colOff>
      <xdr:row>144</xdr:row>
      <xdr:rowOff>181161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19EA64C7-1078-45C3-96D8-B36936387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8290" t="40982" r="21568" b="28215"/>
        <a:stretch/>
      </xdr:blipFill>
      <xdr:spPr>
        <a:xfrm>
          <a:off x="25236581" y="25599838"/>
          <a:ext cx="2411981" cy="552823"/>
        </a:xfrm>
        <a:prstGeom prst="rect">
          <a:avLst/>
        </a:prstGeom>
      </xdr:spPr>
    </xdr:pic>
    <xdr:clientData/>
  </xdr:twoCellAnchor>
  <xdr:twoCellAnchor editAs="oneCell">
    <xdr:from>
      <xdr:col>19</xdr:col>
      <xdr:colOff>273611</xdr:colOff>
      <xdr:row>118</xdr:row>
      <xdr:rowOff>130574</xdr:rowOff>
    </xdr:from>
    <xdr:to>
      <xdr:col>22</xdr:col>
      <xdr:colOff>520141</xdr:colOff>
      <xdr:row>121</xdr:row>
      <xdr:rowOff>175558</xdr:rowOff>
    </xdr:to>
    <xdr:pic>
      <xdr:nvPicPr>
        <xdr:cNvPr id="21" name="Picture 23">
          <a:extLst>
            <a:ext uri="{FF2B5EF4-FFF2-40B4-BE49-F238E27FC236}">
              <a16:creationId xmlns:a16="http://schemas.microsoft.com/office/drawing/2014/main" id="{D56404BF-B967-4671-8E67-29A849122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0367" t="49489" r="20777" b="19459"/>
        <a:stretch/>
      </xdr:blipFill>
      <xdr:spPr>
        <a:xfrm>
          <a:off x="24705236" y="21323699"/>
          <a:ext cx="2723030" cy="600609"/>
        </a:xfrm>
        <a:prstGeom prst="rect">
          <a:avLst/>
        </a:prstGeom>
      </xdr:spPr>
    </xdr:pic>
    <xdr:clientData/>
  </xdr:twoCellAnchor>
  <xdr:twoCellAnchor editAs="oneCell">
    <xdr:from>
      <xdr:col>20</xdr:col>
      <xdr:colOff>17743</xdr:colOff>
      <xdr:row>130</xdr:row>
      <xdr:rowOff>108324</xdr:rowOff>
    </xdr:from>
    <xdr:to>
      <xdr:col>22</xdr:col>
      <xdr:colOff>741642</xdr:colOff>
      <xdr:row>133</xdr:row>
      <xdr:rowOff>94502</xdr:rowOff>
    </xdr:to>
    <xdr:pic>
      <xdr:nvPicPr>
        <xdr:cNvPr id="22" name="Picture 23">
          <a:extLst>
            <a:ext uri="{FF2B5EF4-FFF2-40B4-BE49-F238E27FC236}">
              <a16:creationId xmlns:a16="http://schemas.microsoft.com/office/drawing/2014/main" id="{202CCC8B-AC47-4D87-AFBB-72A0870F3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7791" t="51805" r="20777" b="19459"/>
        <a:stretch/>
      </xdr:blipFill>
      <xdr:spPr>
        <a:xfrm>
          <a:off x="25274868" y="23571574"/>
          <a:ext cx="2374899" cy="541803"/>
        </a:xfrm>
        <a:prstGeom prst="rect">
          <a:avLst/>
        </a:prstGeom>
      </xdr:spPr>
    </xdr:pic>
    <xdr:clientData/>
  </xdr:twoCellAnchor>
  <xdr:twoCellAnchor editAs="oneCell">
    <xdr:from>
      <xdr:col>19</xdr:col>
      <xdr:colOff>419337</xdr:colOff>
      <xdr:row>11</xdr:row>
      <xdr:rowOff>168491</xdr:rowOff>
    </xdr:from>
    <xdr:to>
      <xdr:col>21</xdr:col>
      <xdr:colOff>799583</xdr:colOff>
      <xdr:row>14</xdr:row>
      <xdr:rowOff>113389</xdr:rowOff>
    </xdr:to>
    <xdr:pic>
      <xdr:nvPicPr>
        <xdr:cNvPr id="24" name="Picture 50">
          <a:extLst>
            <a:ext uri="{FF2B5EF4-FFF2-40B4-BE49-F238E27FC236}">
              <a16:creationId xmlns:a16="http://schemas.microsoft.com/office/drawing/2014/main" id="{4ED6BCFB-4824-4E8D-A0CD-808BC497E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801" t="54344" r="16608" b="6924"/>
        <a:stretch/>
      </xdr:blipFill>
      <xdr:spPr>
        <a:xfrm>
          <a:off x="23186808" y="2889920"/>
          <a:ext cx="2023989" cy="478298"/>
        </a:xfrm>
        <a:prstGeom prst="rect">
          <a:avLst/>
        </a:prstGeom>
      </xdr:spPr>
    </xdr:pic>
    <xdr:clientData/>
  </xdr:twoCellAnchor>
  <xdr:twoCellAnchor editAs="oneCell">
    <xdr:from>
      <xdr:col>19</xdr:col>
      <xdr:colOff>314738</xdr:colOff>
      <xdr:row>16</xdr:row>
      <xdr:rowOff>8282</xdr:rowOff>
    </xdr:from>
    <xdr:to>
      <xdr:col>21</xdr:col>
      <xdr:colOff>723145</xdr:colOff>
      <xdr:row>18</xdr:row>
      <xdr:rowOff>146993</xdr:rowOff>
    </xdr:to>
    <xdr:pic>
      <xdr:nvPicPr>
        <xdr:cNvPr id="25" name="Picture 50">
          <a:extLst>
            <a:ext uri="{FF2B5EF4-FFF2-40B4-BE49-F238E27FC236}">
              <a16:creationId xmlns:a16="http://schemas.microsoft.com/office/drawing/2014/main" id="{6F29E219-3832-47A3-9350-BCC660802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928" t="53460" r="16608" b="6924"/>
        <a:stretch/>
      </xdr:blipFill>
      <xdr:spPr>
        <a:xfrm>
          <a:off x="22992521" y="3809999"/>
          <a:ext cx="2048363" cy="519711"/>
        </a:xfrm>
        <a:prstGeom prst="rect">
          <a:avLst/>
        </a:prstGeom>
      </xdr:spPr>
    </xdr:pic>
    <xdr:clientData/>
  </xdr:twoCellAnchor>
  <xdr:twoCellAnchor editAs="oneCell">
    <xdr:from>
      <xdr:col>19</xdr:col>
      <xdr:colOff>226942</xdr:colOff>
      <xdr:row>20</xdr:row>
      <xdr:rowOff>53008</xdr:rowOff>
    </xdr:from>
    <xdr:to>
      <xdr:col>21</xdr:col>
      <xdr:colOff>635349</xdr:colOff>
      <xdr:row>23</xdr:row>
      <xdr:rowOff>1219</xdr:rowOff>
    </xdr:to>
    <xdr:pic>
      <xdr:nvPicPr>
        <xdr:cNvPr id="26" name="Picture 50">
          <a:extLst>
            <a:ext uri="{FF2B5EF4-FFF2-40B4-BE49-F238E27FC236}">
              <a16:creationId xmlns:a16="http://schemas.microsoft.com/office/drawing/2014/main" id="{5D7B9DDA-391E-4EAD-9064-C6A1CD30A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928" t="53460" r="16608" b="6924"/>
        <a:stretch/>
      </xdr:blipFill>
      <xdr:spPr>
        <a:xfrm>
          <a:off x="22904725" y="4600160"/>
          <a:ext cx="2048363" cy="519711"/>
        </a:xfrm>
        <a:prstGeom prst="rect">
          <a:avLst/>
        </a:prstGeom>
      </xdr:spPr>
    </xdr:pic>
    <xdr:clientData/>
  </xdr:twoCellAnchor>
  <xdr:twoCellAnchor editAs="oneCell">
    <xdr:from>
      <xdr:col>19</xdr:col>
      <xdr:colOff>779318</xdr:colOff>
      <xdr:row>108</xdr:row>
      <xdr:rowOff>34636</xdr:rowOff>
    </xdr:from>
    <xdr:to>
      <xdr:col>21</xdr:col>
      <xdr:colOff>355503</xdr:colOff>
      <xdr:row>112</xdr:row>
      <xdr:rowOff>179243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6462B0-C82A-481D-B8B6-489177958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0" y="19223181"/>
          <a:ext cx="1204094" cy="906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44738</xdr:colOff>
      <xdr:row>154</xdr:row>
      <xdr:rowOff>111125</xdr:rowOff>
    </xdr:from>
    <xdr:to>
      <xdr:col>22</xdr:col>
      <xdr:colOff>514576</xdr:colOff>
      <xdr:row>160</xdr:row>
      <xdr:rowOff>23091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AEBBBA57-48B5-444F-8632-B0FF8D119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804" t="707" r="21568" b="61408"/>
        <a:stretch/>
      </xdr:blipFill>
      <xdr:spPr>
        <a:xfrm>
          <a:off x="23650863" y="27987625"/>
          <a:ext cx="3771838" cy="959716"/>
        </a:xfrm>
        <a:prstGeom prst="rect">
          <a:avLst/>
        </a:prstGeom>
      </xdr:spPr>
    </xdr:pic>
    <xdr:clientData/>
  </xdr:twoCellAnchor>
  <xdr:twoCellAnchor editAs="oneCell">
    <xdr:from>
      <xdr:col>17</xdr:col>
      <xdr:colOff>793750</xdr:colOff>
      <xdr:row>168</xdr:row>
      <xdr:rowOff>124114</xdr:rowOff>
    </xdr:from>
    <xdr:to>
      <xdr:col>22</xdr:col>
      <xdr:colOff>449634</xdr:colOff>
      <xdr:row>171</xdr:row>
      <xdr:rowOff>92364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AEB3F8F-2A7D-4832-9227-B2B7C3070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804" t="707" r="21568" b="77939"/>
        <a:stretch/>
      </xdr:blipFill>
      <xdr:spPr>
        <a:xfrm>
          <a:off x="23574375" y="30524739"/>
          <a:ext cx="3783384" cy="539750"/>
        </a:xfrm>
        <a:prstGeom prst="rect">
          <a:avLst/>
        </a:prstGeom>
      </xdr:spPr>
    </xdr:pic>
    <xdr:clientData/>
  </xdr:twoCellAnchor>
  <xdr:twoCellAnchor editAs="oneCell">
    <xdr:from>
      <xdr:col>19</xdr:col>
      <xdr:colOff>380999</xdr:colOff>
      <xdr:row>135</xdr:row>
      <xdr:rowOff>79196</xdr:rowOff>
    </xdr:from>
    <xdr:to>
      <xdr:col>22</xdr:col>
      <xdr:colOff>631555</xdr:colOff>
      <xdr:row>138</xdr:row>
      <xdr:rowOff>83134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6FC7630-9494-4021-9A02-98E847685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812624" y="24463196"/>
          <a:ext cx="2727056" cy="543688"/>
        </a:xfrm>
        <a:prstGeom prst="rect">
          <a:avLst/>
        </a:prstGeom>
      </xdr:spPr>
    </xdr:pic>
    <xdr:clientData/>
  </xdr:twoCellAnchor>
  <xdr:twoCellAnchor editAs="oneCell">
    <xdr:from>
      <xdr:col>18</xdr:col>
      <xdr:colOff>585107</xdr:colOff>
      <xdr:row>161</xdr:row>
      <xdr:rowOff>175587</xdr:rowOff>
    </xdr:from>
    <xdr:to>
      <xdr:col>22</xdr:col>
      <xdr:colOff>241512</xdr:colOff>
      <xdr:row>166</xdr:row>
      <xdr:rowOff>132636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9262DB5-509A-438F-A73C-CC1A8E7EA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191232" y="29480837"/>
          <a:ext cx="2958405" cy="846049"/>
        </a:xfrm>
        <a:prstGeom prst="rect">
          <a:avLst/>
        </a:prstGeom>
      </xdr:spPr>
    </xdr:pic>
    <xdr:clientData/>
  </xdr:twoCellAnchor>
  <xdr:twoCellAnchor editAs="oneCell">
    <xdr:from>
      <xdr:col>18</xdr:col>
      <xdr:colOff>793750</xdr:colOff>
      <xdr:row>175</xdr:row>
      <xdr:rowOff>146246</xdr:rowOff>
    </xdr:from>
    <xdr:to>
      <xdr:col>24</xdr:col>
      <xdr:colOff>763491</xdr:colOff>
      <xdr:row>178</xdr:row>
      <xdr:rowOff>167493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BB21284-8072-4889-9922-7AA76955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399875" y="31848621"/>
          <a:ext cx="4922741" cy="576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mailto:thomas.jusselme@hefr.ch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7" Type="http://schemas.openxmlformats.org/officeDocument/2006/relationships/comments" Target="../comments4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3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7" Type="http://schemas.openxmlformats.org/officeDocument/2006/relationships/comments" Target="../comments5.x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3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39.bin"/><Relationship Id="rId4" Type="http://schemas.openxmlformats.org/officeDocument/2006/relationships/hyperlink" Target="https://treeze.ch/projects/case-studies/building-and-construction/climat-1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4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42C08-7230-4125-8461-7FA47E5D7DE3}">
  <sheetPr codeName="Feuil1"/>
  <dimension ref="A1:S329"/>
  <sheetViews>
    <sheetView workbookViewId="0">
      <selection activeCell="D23" sqref="D23"/>
    </sheetView>
  </sheetViews>
  <sheetFormatPr baseColWidth="10" defaultColWidth="11" defaultRowHeight="15.75"/>
  <cols>
    <col min="1" max="1" width="2.625" style="279" customWidth="1"/>
    <col min="2" max="15" width="11" style="279"/>
  </cols>
  <sheetData>
    <row r="1" spans="2:19" s="279" customFormat="1" ht="54" customHeight="1">
      <c r="B1" s="1493" t="s">
        <v>0</v>
      </c>
      <c r="C1" s="1493"/>
      <c r="D1" s="1493"/>
      <c r="E1" s="1493"/>
      <c r="F1" s="1493"/>
      <c r="G1" s="1493"/>
      <c r="H1" s="1493"/>
      <c r="I1" s="1493"/>
      <c r="J1" s="1493"/>
      <c r="K1" s="1493"/>
      <c r="L1" s="1493"/>
      <c r="S1" s="1065"/>
    </row>
    <row r="2" spans="2:19" s="279" customFormat="1">
      <c r="B2" s="279" t="s">
        <v>3795</v>
      </c>
    </row>
    <row r="3" spans="2:19" s="279" customFormat="1">
      <c r="B3" s="279" t="s">
        <v>1</v>
      </c>
    </row>
    <row r="4" spans="2:19" s="279" customFormat="1"/>
    <row r="5" spans="2:19" s="279" customFormat="1">
      <c r="B5" s="279" t="s">
        <v>2</v>
      </c>
    </row>
    <row r="6" spans="2:19" s="279" customFormat="1">
      <c r="B6" s="279" t="s">
        <v>3</v>
      </c>
    </row>
    <row r="7" spans="2:19" s="279" customFormat="1">
      <c r="B7" s="279" t="s">
        <v>4</v>
      </c>
    </row>
    <row r="8" spans="2:19" s="279" customFormat="1"/>
    <row r="9" spans="2:19" s="279" customFormat="1" ht="18.600000000000001" customHeight="1">
      <c r="B9" s="279" t="s">
        <v>5</v>
      </c>
    </row>
    <row r="10" spans="2:19" s="279" customFormat="1"/>
    <row r="11" spans="2:19" s="279" customFormat="1">
      <c r="B11" s="279" t="s">
        <v>6</v>
      </c>
    </row>
    <row r="12" spans="2:19" s="279" customFormat="1">
      <c r="B12" s="279" t="s">
        <v>7</v>
      </c>
    </row>
    <row r="13" spans="2:19" s="279" customFormat="1"/>
    <row r="14" spans="2:19" s="279" customFormat="1">
      <c r="B14" s="279" t="s">
        <v>8</v>
      </c>
    </row>
    <row r="15" spans="2:19" s="279" customFormat="1"/>
    <row r="16" spans="2:19" s="279" customFormat="1">
      <c r="B16" s="279" t="s">
        <v>9</v>
      </c>
    </row>
    <row r="17" spans="2:11" s="279" customFormat="1">
      <c r="B17" s="279" t="s">
        <v>10</v>
      </c>
    </row>
    <row r="18" spans="2:11" s="279" customFormat="1"/>
    <row r="19" spans="2:11" s="279" customFormat="1">
      <c r="B19" s="279" t="s">
        <v>11</v>
      </c>
    </row>
    <row r="20" spans="2:11" s="279" customFormat="1">
      <c r="B20" s="279" t="s">
        <v>12</v>
      </c>
      <c r="C20" s="1066" t="s">
        <v>13</v>
      </c>
    </row>
    <row r="21" spans="2:11" s="279" customFormat="1"/>
    <row r="22" spans="2:11" s="279" customFormat="1">
      <c r="B22" s="279" t="s">
        <v>14</v>
      </c>
      <c r="D22" s="1067">
        <v>45370</v>
      </c>
      <c r="K22" s="1068"/>
    </row>
    <row r="23" spans="2:11" s="279" customFormat="1"/>
    <row r="24" spans="2:11" s="279" customFormat="1"/>
    <row r="25" spans="2:11" s="279" customFormat="1"/>
    <row r="26" spans="2:11" s="279" customFormat="1"/>
    <row r="27" spans="2:11" s="279" customFormat="1"/>
    <row r="28" spans="2:11" s="279" customFormat="1"/>
    <row r="29" spans="2:11" s="279" customFormat="1"/>
    <row r="30" spans="2:11" s="279" customFormat="1"/>
    <row r="31" spans="2:11" s="279" customFormat="1"/>
    <row r="32" spans="2:11" s="279" customFormat="1"/>
    <row r="33" s="279" customFormat="1"/>
    <row r="34" s="279" customFormat="1"/>
    <row r="35" s="279" customFormat="1"/>
    <row r="36" s="279" customFormat="1"/>
    <row r="37" s="279" customFormat="1"/>
    <row r="38" s="279" customFormat="1"/>
    <row r="39" s="279" customFormat="1"/>
    <row r="40" s="279" customFormat="1"/>
    <row r="41" s="279" customFormat="1"/>
    <row r="42" s="279" customFormat="1"/>
    <row r="43" s="279" customFormat="1"/>
    <row r="44" s="279" customFormat="1"/>
    <row r="45" s="279" customFormat="1"/>
    <row r="46" s="279" customFormat="1"/>
    <row r="47" s="279" customFormat="1"/>
    <row r="48" s="279" customFormat="1"/>
    <row r="49" s="279" customFormat="1"/>
    <row r="50" s="279" customFormat="1"/>
    <row r="51" s="279" customFormat="1"/>
    <row r="52" s="279" customFormat="1"/>
    <row r="53" s="279" customFormat="1"/>
    <row r="54" s="279" customFormat="1"/>
    <row r="55" s="279" customFormat="1"/>
    <row r="56" s="279" customFormat="1"/>
    <row r="57" s="279" customFormat="1"/>
    <row r="58" s="279" customFormat="1"/>
    <row r="59" s="279" customFormat="1"/>
    <row r="60" s="279" customFormat="1"/>
    <row r="61" s="279" customFormat="1"/>
    <row r="62" s="279" customFormat="1"/>
    <row r="63" s="279" customFormat="1"/>
    <row r="64" s="279" customFormat="1"/>
    <row r="65" s="279" customFormat="1"/>
    <row r="66" s="279" customFormat="1"/>
    <row r="67" s="279" customFormat="1"/>
    <row r="68" s="279" customFormat="1"/>
    <row r="69" s="279" customFormat="1"/>
    <row r="70" s="279" customFormat="1"/>
    <row r="71" s="279" customFormat="1"/>
    <row r="72" s="279" customFormat="1"/>
    <row r="73" s="279" customFormat="1"/>
    <row r="74" s="279" customFormat="1"/>
    <row r="75" s="279" customFormat="1"/>
    <row r="76" s="279" customFormat="1"/>
    <row r="77" s="279" customFormat="1"/>
    <row r="78" s="279" customFormat="1"/>
    <row r="79" s="279" customFormat="1"/>
    <row r="80" s="279" customFormat="1"/>
    <row r="81" s="279" customFormat="1"/>
    <row r="82" s="279" customFormat="1"/>
    <row r="83" s="279" customFormat="1"/>
    <row r="84" s="279" customFormat="1"/>
    <row r="85" s="279" customFormat="1"/>
    <row r="86" s="279" customFormat="1"/>
    <row r="87" s="279" customFormat="1"/>
    <row r="88" s="279" customFormat="1"/>
    <row r="89" s="279" customFormat="1"/>
    <row r="90" s="279" customFormat="1"/>
    <row r="91" s="279" customFormat="1"/>
    <row r="92" s="279" customFormat="1"/>
    <row r="93" s="279" customFormat="1"/>
    <row r="94" s="279" customFormat="1"/>
    <row r="95" s="279" customFormat="1"/>
    <row r="96" s="279" customFormat="1"/>
    <row r="97" s="279" customFormat="1"/>
    <row r="98" s="279" customFormat="1"/>
    <row r="99" s="279" customFormat="1"/>
    <row r="100" s="279" customFormat="1"/>
    <row r="101" s="279" customFormat="1"/>
    <row r="102" s="279" customFormat="1"/>
    <row r="103" s="279" customFormat="1"/>
    <row r="104" s="279" customFormat="1"/>
    <row r="105" s="279" customFormat="1"/>
    <row r="106" s="279" customFormat="1"/>
    <row r="107" s="279" customFormat="1"/>
    <row r="108" s="279" customFormat="1"/>
    <row r="109" s="279" customFormat="1"/>
    <row r="110" s="279" customFormat="1"/>
    <row r="111" s="279" customFormat="1"/>
    <row r="112" s="279" customFormat="1"/>
    <row r="113" s="279" customFormat="1"/>
    <row r="114" s="279" customFormat="1"/>
    <row r="115" s="279" customFormat="1"/>
    <row r="116" s="279" customFormat="1"/>
    <row r="117" s="279" customFormat="1"/>
    <row r="118" s="279" customFormat="1"/>
    <row r="119" s="279" customFormat="1"/>
    <row r="120" s="279" customFormat="1"/>
    <row r="121" s="279" customFormat="1"/>
    <row r="122" s="279" customFormat="1"/>
    <row r="123" s="279" customFormat="1"/>
    <row r="124" s="279" customFormat="1"/>
    <row r="125" s="279" customFormat="1"/>
    <row r="126" s="279" customFormat="1"/>
    <row r="127" s="279" customFormat="1"/>
    <row r="128" s="279" customFormat="1"/>
    <row r="129" s="279" customFormat="1"/>
    <row r="130" s="279" customFormat="1"/>
    <row r="131" s="279" customFormat="1"/>
    <row r="132" s="279" customFormat="1"/>
    <row r="133" s="279" customFormat="1"/>
    <row r="134" s="279" customFormat="1"/>
    <row r="135" s="279" customFormat="1"/>
    <row r="136" s="279" customFormat="1"/>
    <row r="137" s="279" customFormat="1"/>
    <row r="138" s="279" customFormat="1"/>
    <row r="139" s="279" customFormat="1"/>
    <row r="140" s="279" customFormat="1"/>
    <row r="141" s="279" customFormat="1"/>
    <row r="142" s="279" customFormat="1"/>
    <row r="143" s="279" customFormat="1"/>
    <row r="144" s="279" customFormat="1"/>
    <row r="145" s="279" customFormat="1"/>
    <row r="146" s="279" customFormat="1"/>
    <row r="147" s="279" customFormat="1"/>
    <row r="148" s="279" customFormat="1"/>
    <row r="149" s="279" customFormat="1"/>
    <row r="150" s="279" customFormat="1"/>
    <row r="151" s="279" customFormat="1"/>
    <row r="152" s="279" customFormat="1"/>
    <row r="153" s="279" customFormat="1"/>
    <row r="154" s="279" customFormat="1"/>
    <row r="155" s="279" customFormat="1"/>
    <row r="156" s="279" customFormat="1"/>
    <row r="157" s="279" customFormat="1"/>
    <row r="158" s="279" customFormat="1"/>
    <row r="159" s="279" customFormat="1"/>
    <row r="160" s="279" customFormat="1"/>
    <row r="161" s="279" customFormat="1"/>
    <row r="162" s="279" customFormat="1"/>
    <row r="163" s="279" customFormat="1"/>
    <row r="164" s="279" customFormat="1"/>
    <row r="165" s="279" customFormat="1"/>
    <row r="166" s="279" customFormat="1"/>
    <row r="167" s="279" customFormat="1"/>
    <row r="168" s="279" customFormat="1"/>
    <row r="169" s="279" customFormat="1"/>
    <row r="170" s="279" customFormat="1"/>
    <row r="171" s="279" customFormat="1"/>
    <row r="172" s="279" customFormat="1"/>
    <row r="173" s="279" customFormat="1"/>
    <row r="174" s="279" customFormat="1"/>
    <row r="175" s="279" customFormat="1"/>
    <row r="176" s="279" customFormat="1"/>
    <row r="177" s="279" customFormat="1"/>
    <row r="178" s="279" customFormat="1"/>
    <row r="179" s="279" customFormat="1"/>
    <row r="180" s="279" customFormat="1"/>
    <row r="181" s="279" customFormat="1"/>
    <row r="182" s="279" customFormat="1"/>
    <row r="183" s="279" customFormat="1"/>
    <row r="184" s="279" customFormat="1"/>
    <row r="185" s="279" customFormat="1"/>
    <row r="186" s="279" customFormat="1"/>
    <row r="187" s="279" customFormat="1"/>
    <row r="188" s="279" customFormat="1"/>
    <row r="189" s="279" customFormat="1"/>
    <row r="190" s="279" customFormat="1"/>
    <row r="191" s="279" customFormat="1"/>
    <row r="192" s="279" customFormat="1"/>
    <row r="193" s="279" customFormat="1"/>
    <row r="194" s="279" customFormat="1"/>
    <row r="195" s="279" customFormat="1"/>
    <row r="196" s="279" customFormat="1"/>
    <row r="197" s="279" customFormat="1"/>
    <row r="198" s="279" customFormat="1"/>
    <row r="199" s="279" customFormat="1"/>
    <row r="200" s="279" customFormat="1"/>
    <row r="201" s="279" customFormat="1"/>
    <row r="202" s="279" customFormat="1"/>
    <row r="203" s="279" customFormat="1"/>
    <row r="204" s="279" customFormat="1"/>
    <row r="205" s="279" customFormat="1"/>
    <row r="206" s="279" customFormat="1"/>
    <row r="207" s="279" customFormat="1"/>
    <row r="208" s="279" customFormat="1"/>
    <row r="209" s="279" customFormat="1"/>
    <row r="210" s="279" customFormat="1"/>
    <row r="211" s="279" customFormat="1"/>
    <row r="212" s="279" customFormat="1"/>
    <row r="213" s="279" customFormat="1"/>
    <row r="214" s="279" customFormat="1"/>
    <row r="215" s="279" customFormat="1"/>
    <row r="216" s="279" customFormat="1"/>
    <row r="217" s="279" customFormat="1"/>
    <row r="218" s="279" customFormat="1"/>
    <row r="219" s="279" customFormat="1"/>
    <row r="220" s="279" customFormat="1"/>
    <row r="221" s="279" customFormat="1"/>
    <row r="222" s="279" customFormat="1"/>
    <row r="223" s="279" customFormat="1"/>
    <row r="224" s="279" customFormat="1"/>
    <row r="225" s="279" customFormat="1"/>
    <row r="226" s="279" customFormat="1"/>
    <row r="227" s="279" customFormat="1"/>
    <row r="228" s="279" customFormat="1"/>
    <row r="229" s="279" customFormat="1"/>
    <row r="230" s="279" customFormat="1"/>
    <row r="231" s="279" customFormat="1"/>
    <row r="232" s="279" customFormat="1"/>
    <row r="233" s="279" customFormat="1"/>
    <row r="234" s="279" customFormat="1"/>
    <row r="235" s="279" customFormat="1"/>
    <row r="236" s="279" customFormat="1"/>
    <row r="237" s="279" customFormat="1"/>
    <row r="238" s="279" customFormat="1"/>
    <row r="239" s="279" customFormat="1"/>
    <row r="240" s="279" customFormat="1"/>
    <row r="241" s="279" customFormat="1"/>
    <row r="242" s="279" customFormat="1"/>
    <row r="243" s="279" customFormat="1"/>
    <row r="244" s="279" customFormat="1"/>
    <row r="245" s="279" customFormat="1"/>
    <row r="246" s="279" customFormat="1"/>
    <row r="247" s="279" customFormat="1"/>
    <row r="248" s="279" customFormat="1"/>
    <row r="249" s="279" customFormat="1"/>
    <row r="250" s="279" customFormat="1"/>
    <row r="251" s="279" customFormat="1"/>
    <row r="252" s="279" customFormat="1"/>
    <row r="253" s="279" customFormat="1"/>
    <row r="254" s="279" customFormat="1"/>
    <row r="255" s="279" customFormat="1"/>
    <row r="256" s="279" customFormat="1"/>
    <row r="257" s="279" customFormat="1"/>
    <row r="258" s="279" customFormat="1"/>
    <row r="259" s="279" customFormat="1"/>
    <row r="260" s="279" customFormat="1"/>
    <row r="261" s="279" customFormat="1"/>
    <row r="262" s="279" customFormat="1"/>
    <row r="263" s="279" customFormat="1"/>
    <row r="264" s="279" customFormat="1"/>
    <row r="265" s="279" customFormat="1"/>
    <row r="266" s="279" customFormat="1"/>
    <row r="267" s="279" customFormat="1"/>
    <row r="268" s="279" customFormat="1"/>
    <row r="269" s="279" customFormat="1"/>
    <row r="270" s="279" customFormat="1"/>
    <row r="271" s="279" customFormat="1"/>
    <row r="272" s="279" customFormat="1"/>
    <row r="273" s="279" customFormat="1"/>
    <row r="274" s="279" customFormat="1"/>
    <row r="275" s="279" customFormat="1"/>
    <row r="276" s="279" customFormat="1"/>
    <row r="277" s="279" customFormat="1"/>
    <row r="278" s="279" customFormat="1"/>
    <row r="279" s="279" customFormat="1"/>
    <row r="280" s="279" customFormat="1"/>
    <row r="281" s="279" customFormat="1"/>
    <row r="282" s="279" customFormat="1"/>
    <row r="283" s="279" customFormat="1"/>
    <row r="284" s="279" customFormat="1"/>
    <row r="285" s="279" customFormat="1"/>
    <row r="286" s="279" customFormat="1"/>
    <row r="287" s="279" customFormat="1"/>
    <row r="288" s="279" customFormat="1"/>
    <row r="289" s="279" customFormat="1"/>
    <row r="290" s="279" customFormat="1"/>
    <row r="291" s="279" customFormat="1"/>
    <row r="292" s="279" customFormat="1"/>
    <row r="293" s="279" customFormat="1"/>
    <row r="294" s="279" customFormat="1"/>
    <row r="295" s="279" customFormat="1"/>
    <row r="296" s="279" customFormat="1"/>
    <row r="297" s="279" customFormat="1"/>
    <row r="298" s="279" customFormat="1"/>
    <row r="299" s="279" customFormat="1"/>
    <row r="300" s="279" customFormat="1"/>
    <row r="301" s="279" customFormat="1"/>
    <row r="302" s="279" customFormat="1"/>
    <row r="303" s="279" customFormat="1"/>
    <row r="304" s="279" customFormat="1"/>
    <row r="305" s="279" customFormat="1"/>
    <row r="306" s="279" customFormat="1"/>
    <row r="307" s="279" customFormat="1"/>
    <row r="308" s="279" customFormat="1"/>
    <row r="309" s="279" customFormat="1"/>
    <row r="310" s="279" customFormat="1"/>
    <row r="311" s="279" customFormat="1"/>
    <row r="312" s="279" customFormat="1"/>
    <row r="313" s="279" customFormat="1"/>
    <row r="314" s="279" customFormat="1"/>
    <row r="315" s="279" customFormat="1"/>
    <row r="316" s="279" customFormat="1"/>
    <row r="317" s="279" customFormat="1"/>
    <row r="318" s="279" customFormat="1"/>
    <row r="319" s="279" customFormat="1"/>
    <row r="320" s="279" customFormat="1"/>
    <row r="321" s="279" customFormat="1"/>
    <row r="322" s="279" customFormat="1"/>
    <row r="323" s="279" customFormat="1"/>
    <row r="324" s="279" customFormat="1"/>
    <row r="325" s="279" customFormat="1"/>
    <row r="326" s="279" customFormat="1"/>
    <row r="327" s="279" customFormat="1"/>
    <row r="328" s="279" customFormat="1"/>
    <row r="329" s="279" customFormat="1"/>
  </sheetData>
  <customSheetViews>
    <customSheetView guid="{B32447E2-AB5B-4CBB-881B-FF11349CA4D6}" state="hidden">
      <selection activeCell="A15" sqref="A15"/>
      <pageMargins left="0" right="0" top="0" bottom="0" header="0" footer="0"/>
      <pageSetup paperSize="9" orientation="portrait" r:id="rId1"/>
    </customSheetView>
    <customSheetView guid="{9FA74287-E657-475B-BF4B-3C8C757714AE}" state="hidden">
      <selection activeCell="A15" sqref="A15"/>
      <pageMargins left="0" right="0" top="0" bottom="0" header="0" footer="0"/>
      <pageSetup paperSize="9" orientation="portrait" r:id="rId2"/>
    </customSheetView>
    <customSheetView guid="{54A7C567-FA7D-467E-B353-ECB5E61AE756}" topLeftCell="A4">
      <selection activeCell="B13" sqref="B13"/>
      <pageMargins left="0" right="0" top="0" bottom="0" header="0" footer="0"/>
      <pageSetup paperSize="9" orientation="portrait" r:id="rId3"/>
    </customSheetView>
  </customSheetViews>
  <mergeCells count="1">
    <mergeCell ref="B1:L1"/>
  </mergeCells>
  <hyperlinks>
    <hyperlink ref="C20" r:id="rId4" xr:uid="{D2FAEAE1-81D7-42BE-BD94-5F0A28A5BD4B}"/>
  </hyperlinks>
  <pageMargins left="0" right="0" top="0" bottom="0" header="0" footer="0"/>
  <pageSetup paperSize="9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77529-318E-456C-9722-99EF4D278577}">
  <sheetPr codeName="Feuil11">
    <tabColor theme="8" tint="0.39997558519241921"/>
  </sheetPr>
  <dimension ref="A1:BF180"/>
  <sheetViews>
    <sheetView topLeftCell="A64" workbookViewId="0"/>
  </sheetViews>
  <sheetFormatPr baseColWidth="10" defaultColWidth="11" defaultRowHeight="15.75"/>
  <cols>
    <col min="1" max="1" width="41.75" customWidth="1"/>
    <col min="2" max="2" width="14.125" bestFit="1" customWidth="1"/>
    <col min="5" max="5" width="17.125" customWidth="1"/>
    <col min="6" max="6" width="14.5" customWidth="1"/>
    <col min="8" max="8" width="12.25" bestFit="1" customWidth="1"/>
    <col min="10" max="10" width="18" customWidth="1"/>
    <col min="11" max="11" width="41.25" bestFit="1" customWidth="1"/>
    <col min="13" max="13" width="18" customWidth="1"/>
    <col min="14" max="14" width="30.25" bestFit="1" customWidth="1"/>
    <col min="15" max="15" width="26.25" customWidth="1"/>
    <col min="16" max="16" width="30.25" bestFit="1" customWidth="1"/>
    <col min="20" max="20" width="40.25" bestFit="1" customWidth="1"/>
  </cols>
  <sheetData>
    <row r="1" spans="1:18" s="951" customFormat="1" ht="24" thickBot="1">
      <c r="A1" s="970" t="s">
        <v>314</v>
      </c>
      <c r="B1" s="190"/>
      <c r="C1" s="190"/>
      <c r="D1" s="190"/>
      <c r="E1" s="190"/>
      <c r="F1" s="190"/>
      <c r="G1" s="190"/>
      <c r="H1" s="190"/>
      <c r="I1" s="190"/>
      <c r="J1"/>
      <c r="K1" s="1426" t="s">
        <v>315</v>
      </c>
      <c r="L1" s="1161"/>
      <c r="M1" s="1427"/>
      <c r="N1" s="1427"/>
      <c r="O1" s="1161"/>
      <c r="P1" s="1161"/>
      <c r="Q1" s="1426" t="s">
        <v>316</v>
      </c>
      <c r="R1" s="1161"/>
    </row>
    <row r="2" spans="1:18">
      <c r="A2" s="1516" t="s">
        <v>317</v>
      </c>
      <c r="B2" s="1518" t="s">
        <v>318</v>
      </c>
      <c r="C2" s="1515" t="s">
        <v>319</v>
      </c>
      <c r="D2" s="1517" t="s">
        <v>320</v>
      </c>
      <c r="E2" s="966" t="s">
        <v>321</v>
      </c>
      <c r="F2" s="967"/>
      <c r="G2" s="1515" t="s">
        <v>322</v>
      </c>
      <c r="H2" s="1515" t="s">
        <v>323</v>
      </c>
      <c r="I2" s="1515" t="s">
        <v>324</v>
      </c>
      <c r="K2" s="272" t="s">
        <v>325</v>
      </c>
      <c r="L2" s="190"/>
      <c r="M2" s="191"/>
    </row>
    <row r="3" spans="1:18">
      <c r="A3" s="1516"/>
      <c r="B3" s="1518"/>
      <c r="C3" s="1515"/>
      <c r="D3" s="1517"/>
      <c r="E3" s="1515" t="s">
        <v>326</v>
      </c>
      <c r="F3" s="1515" t="s">
        <v>327</v>
      </c>
      <c r="G3" s="1515"/>
      <c r="H3" s="1515"/>
      <c r="I3" s="1515"/>
      <c r="K3" s="273" t="s">
        <v>328</v>
      </c>
      <c r="L3">
        <v>450</v>
      </c>
      <c r="M3" s="169" t="s">
        <v>329</v>
      </c>
      <c r="P3" t="s">
        <v>330</v>
      </c>
    </row>
    <row r="4" spans="1:18">
      <c r="A4" s="1516"/>
      <c r="B4" s="1518"/>
      <c r="C4" s="1515"/>
      <c r="D4" s="1517"/>
      <c r="E4" s="1515"/>
      <c r="F4" s="1515"/>
      <c r="G4" s="1515"/>
      <c r="H4" s="1515"/>
      <c r="I4" s="1515"/>
      <c r="K4" s="273"/>
      <c r="M4" s="169"/>
      <c r="P4" t="s">
        <v>331</v>
      </c>
    </row>
    <row r="5" spans="1:18">
      <c r="A5" s="1516"/>
      <c r="B5" s="1518"/>
      <c r="C5" s="1515"/>
      <c r="D5" s="1517"/>
      <c r="E5" s="1515"/>
      <c r="F5" s="1515"/>
      <c r="G5" s="1515"/>
      <c r="H5" s="1515"/>
      <c r="I5" s="1515"/>
      <c r="K5" s="273" t="s">
        <v>332</v>
      </c>
      <c r="L5">
        <f>L3*'Outil simplifié'!K16</f>
        <v>4500</v>
      </c>
      <c r="M5" s="169" t="s">
        <v>202</v>
      </c>
      <c r="P5" t="s">
        <v>333</v>
      </c>
    </row>
    <row r="6" spans="1:18">
      <c r="A6" s="1516"/>
      <c r="B6" s="1518"/>
      <c r="C6" s="1515"/>
      <c r="D6" s="1517"/>
      <c r="E6" s="1515"/>
      <c r="F6" s="1515"/>
      <c r="G6" s="1515"/>
      <c r="H6" s="1515"/>
      <c r="I6" s="1515"/>
      <c r="K6" s="355" t="s">
        <v>334</v>
      </c>
      <c r="L6">
        <f>60%*C84</f>
        <v>11.88</v>
      </c>
      <c r="M6" s="169" t="s">
        <v>335</v>
      </c>
      <c r="P6" t="s">
        <v>336</v>
      </c>
      <c r="Q6">
        <v>1.012</v>
      </c>
      <c r="R6" t="s">
        <v>337</v>
      </c>
    </row>
    <row r="7" spans="1:18" ht="16.5" thickBot="1">
      <c r="A7" s="1516"/>
      <c r="B7" s="1518"/>
      <c r="C7" s="1515"/>
      <c r="D7" s="1517"/>
      <c r="E7" s="1515"/>
      <c r="F7" s="1515"/>
      <c r="G7" s="1515"/>
      <c r="H7" s="1515"/>
      <c r="I7" s="1515"/>
      <c r="K7" s="274" t="s">
        <v>338</v>
      </c>
      <c r="L7" s="187">
        <f>IF(L5/'Outil simplifié'!D12&gt;L6,L6,L5/'Outil simplifié'!D12)</f>
        <v>4.6632124352331603</v>
      </c>
      <c r="M7" s="188" t="s">
        <v>335</v>
      </c>
      <c r="P7" t="s">
        <v>339</v>
      </c>
      <c r="Q7">
        <v>0.45</v>
      </c>
    </row>
    <row r="8" spans="1:18">
      <c r="A8" s="1516"/>
      <c r="B8" s="1518"/>
      <c r="C8" s="1515"/>
      <c r="D8" s="1517"/>
      <c r="E8" s="1515"/>
      <c r="F8" s="1515"/>
      <c r="G8" s="1515"/>
      <c r="H8" s="1515"/>
      <c r="I8" s="1515"/>
    </row>
    <row r="9" spans="1:18" ht="16.5" thickBot="1">
      <c r="A9" s="1516"/>
      <c r="B9" s="1518"/>
      <c r="C9" s="1515"/>
      <c r="D9" s="1517"/>
      <c r="E9" s="1515"/>
      <c r="F9" s="1515"/>
      <c r="G9" s="1515"/>
      <c r="H9" s="1515"/>
      <c r="I9" s="1515"/>
    </row>
    <row r="10" spans="1:18">
      <c r="A10" s="335" t="s">
        <v>340</v>
      </c>
      <c r="B10" s="194">
        <f>'Energie Energie'!K99</f>
        <v>0.125</v>
      </c>
      <c r="C10" s="193"/>
      <c r="D10" s="946"/>
      <c r="E10" s="944"/>
      <c r="F10" s="944"/>
      <c r="G10" s="944"/>
      <c r="H10" s="193"/>
      <c r="I10" s="348"/>
      <c r="K10" s="272" t="s">
        <v>341</v>
      </c>
      <c r="L10" s="190"/>
      <c r="M10" s="191"/>
      <c r="P10" t="s">
        <v>342</v>
      </c>
    </row>
    <row r="11" spans="1:18">
      <c r="A11" s="335" t="s">
        <v>343</v>
      </c>
      <c r="B11" s="194">
        <f>'Energie Energie'!K100</f>
        <v>3.2199999999999999E-2</v>
      </c>
      <c r="C11" s="193"/>
      <c r="D11" s="946"/>
      <c r="E11" s="944"/>
      <c r="F11" s="944"/>
      <c r="G11" s="944"/>
      <c r="H11" s="193"/>
      <c r="I11" s="348"/>
      <c r="K11" s="347" t="s">
        <v>344</v>
      </c>
      <c r="L11" s="270">
        <f>140/1000</f>
        <v>0.14000000000000001</v>
      </c>
      <c r="M11" s="348" t="s">
        <v>345</v>
      </c>
      <c r="P11" t="s">
        <v>346</v>
      </c>
      <c r="Q11">
        <v>0.14699999999999999</v>
      </c>
    </row>
    <row r="12" spans="1:18">
      <c r="A12" s="335" t="s">
        <v>347</v>
      </c>
      <c r="B12" s="1196">
        <f>IF(C11=Liste!G16,'Energie Energie'!K107,'Energie Energie'!K106)</f>
        <v>3.4200000000000001E-2</v>
      </c>
      <c r="C12" s="193"/>
      <c r="D12" s="946"/>
      <c r="E12" s="944"/>
      <c r="F12" s="944"/>
      <c r="G12" s="944"/>
      <c r="H12" s="193"/>
      <c r="I12" s="348"/>
      <c r="K12" s="347" t="s">
        <v>348</v>
      </c>
      <c r="L12" s="270">
        <v>950</v>
      </c>
      <c r="M12" s="348" t="s">
        <v>349</v>
      </c>
      <c r="N12" s="965" t="s">
        <v>350</v>
      </c>
      <c r="P12" t="s">
        <v>235</v>
      </c>
      <c r="Q12">
        <v>0.127</v>
      </c>
    </row>
    <row r="13" spans="1:18">
      <c r="A13" s="335"/>
      <c r="B13" s="194"/>
      <c r="C13" s="193"/>
      <c r="D13" s="946"/>
      <c r="E13" s="944"/>
      <c r="F13" s="944"/>
      <c r="G13" s="944"/>
      <c r="H13" s="193"/>
      <c r="I13" s="348"/>
      <c r="K13" s="968" t="s">
        <v>351</v>
      </c>
      <c r="L13" s="977">
        <f>-D22/SUM(C15:C21)</f>
        <v>0.97871874096768441</v>
      </c>
      <c r="M13" s="169" t="s">
        <v>352</v>
      </c>
      <c r="N13" s="163" t="s">
        <v>353</v>
      </c>
      <c r="P13" t="s">
        <v>234</v>
      </c>
      <c r="Q13">
        <v>0.22800000000000001</v>
      </c>
    </row>
    <row r="14" spans="1:18">
      <c r="A14" s="976"/>
      <c r="B14" s="945"/>
      <c r="C14" s="944"/>
      <c r="D14" s="946"/>
      <c r="E14" s="944"/>
      <c r="F14" s="944"/>
      <c r="G14" s="944"/>
      <c r="H14" s="944"/>
      <c r="I14" s="348"/>
      <c r="K14" s="273" t="s">
        <v>354</v>
      </c>
      <c r="L14" s="978">
        <f>IF(ISBLANK('Outil simplifié'!K15),IF(L13=0,0,(-24.26*LN(L13*100)+167.6)/100),'Outil simplifié'!K15)</f>
        <v>0.56400427417600207</v>
      </c>
      <c r="M14" s="169"/>
      <c r="N14">
        <f>IF(L13=0,0,(-24.26*LN(L13*100)+167.6)/100)</f>
        <v>0.56400427417600207</v>
      </c>
      <c r="O14">
        <f>IF(M14&lt;0.99,M14,0.99)</f>
        <v>0</v>
      </c>
    </row>
    <row r="15" spans="1:18" ht="16.5" thickBot="1">
      <c r="A15" s="335" t="s">
        <v>355</v>
      </c>
      <c r="B15" s="193"/>
      <c r="C15" s="194" cm="1">
        <f t="array" ref="C15">_xlfn.SWITCH('Outil simplifié'!K17,Liste!E3,Exploitation!B96,Liste!E4,Exploitation!C96,Liste!E5,Exploitation!D96,Liste!E6,Exploitation!E96)*B24</f>
        <v>4398.6046511627901</v>
      </c>
      <c r="D15" s="193"/>
      <c r="E15" s="974">
        <f t="shared" ref="E15:E21" si="0">-E$23*C15/C$25</f>
        <v>2428.0365990112027</v>
      </c>
      <c r="F15" s="194">
        <f>C15-E15</f>
        <v>1970.5680521515874</v>
      </c>
      <c r="G15" s="194">
        <f>C15*$B$10</f>
        <v>549.82558139534876</v>
      </c>
      <c r="H15" s="194">
        <f>G15/$B$24</f>
        <v>0.56976744186046502</v>
      </c>
      <c r="I15" s="336" cm="1">
        <f t="array" ref="I15">_xlfn.SWITCH('Outil simplifié'!K17,Liste!E3,Exploitation!B83,Liste!E4,Exploitation!C83,Liste!E5,Exploitation!D83,Liste!E6,Exploitation!E83)*N28+H15</f>
        <v>0.56976744186046502</v>
      </c>
      <c r="K15" s="274" t="s">
        <v>356</v>
      </c>
      <c r="L15" s="337">
        <f>100%-L14</f>
        <v>0.43599572582399793</v>
      </c>
      <c r="M15" s="188"/>
    </row>
    <row r="16" spans="1:18" ht="16.5" thickBot="1">
      <c r="A16" s="335" t="s">
        <v>357</v>
      </c>
      <c r="B16" s="193"/>
      <c r="C16" s="194" cm="1">
        <f t="array" ref="C16">_xlfn.SWITCH('Outil simplifié'!K17,Liste!E3,Exploitation!B97,Liste!E4,Exploitation!C97,Liste!E5,Exploitation!D97,Liste!E6,Exploitation!E97)*B24</f>
        <v>5216.7857142857147</v>
      </c>
      <c r="D16" s="193"/>
      <c r="E16" s="974">
        <f t="shared" si="0"/>
        <v>2879.6738165900083</v>
      </c>
      <c r="F16" s="194">
        <f t="shared" ref="F16:F21" si="1">C16-E16</f>
        <v>2337.1118976957064</v>
      </c>
      <c r="G16" s="194">
        <f>C16*$B$10</f>
        <v>652.09821428571433</v>
      </c>
      <c r="H16" s="194">
        <f t="shared" ref="H16:H21" si="2">G16/$B$24</f>
        <v>0.67574944485566257</v>
      </c>
      <c r="I16" s="336" cm="1">
        <f t="array" ref="I16">_xlfn.SWITCH('Outil simplifié'!K17,Liste!E3,Exploitation!B84,Liste!E4,Exploitation!C84,Liste!E5,Exploitation!D84,Liste!E6,Exploitation!E84)*N28+H16</f>
        <v>0.67574944485566257</v>
      </c>
    </row>
    <row r="17" spans="1:14">
      <c r="A17" s="335" t="s">
        <v>358</v>
      </c>
      <c r="B17" s="193"/>
      <c r="C17" s="194">
        <f>IF('Outil simplifié'!$K$17=Liste!$E$3, B86, IF('Outil simplifié'!$K$17=Liste!$E$4, Exploitation!C86, IF('Outil simplifié'!$K$17=Liste!$E$5, D86, E86)))*$B$24</f>
        <v>6272.5</v>
      </c>
      <c r="D17" s="193"/>
      <c r="E17" s="974">
        <f t="shared" si="0"/>
        <v>3462.4297419573027</v>
      </c>
      <c r="F17" s="194">
        <f t="shared" si="1"/>
        <v>2810.0702580426973</v>
      </c>
      <c r="G17" s="194">
        <f t="shared" ref="G17:G21" si="3">C17*$B$10</f>
        <v>784.0625</v>
      </c>
      <c r="H17" s="194">
        <f t="shared" si="2"/>
        <v>0.8125</v>
      </c>
      <c r="I17" s="336">
        <f>H17</f>
        <v>0.8125</v>
      </c>
      <c r="K17" s="272" t="s">
        <v>359</v>
      </c>
      <c r="L17" s="190"/>
      <c r="M17" s="191"/>
    </row>
    <row r="18" spans="1:14">
      <c r="A18" s="335" t="s">
        <v>360</v>
      </c>
      <c r="B18" s="193"/>
      <c r="C18" s="194">
        <f>IF('Outil simplifié'!$K$17=Liste!$E$3, B87, IF('Outil simplifié'!$K$17=Liste!$E$4, Exploitation!C87, IF('Outil simplifié'!$K$17=Liste!$E$5, D87, E87)))*$B$24</f>
        <v>1930</v>
      </c>
      <c r="D18" s="193"/>
      <c r="E18" s="974">
        <f t="shared" si="0"/>
        <v>1065.3629975253239</v>
      </c>
      <c r="F18" s="194">
        <f t="shared" si="1"/>
        <v>864.63700247467614</v>
      </c>
      <c r="G18" s="194">
        <f t="shared" si="3"/>
        <v>241.25</v>
      </c>
      <c r="H18" s="194">
        <f t="shared" si="2"/>
        <v>0.25</v>
      </c>
      <c r="I18" s="336">
        <f>H18</f>
        <v>0.25</v>
      </c>
      <c r="K18" s="273"/>
      <c r="L18">
        <v>0.5</v>
      </c>
      <c r="M18" s="169" t="s">
        <v>361</v>
      </c>
    </row>
    <row r="19" spans="1:14" ht="16.5" thickBot="1">
      <c r="A19" s="335" t="s">
        <v>278</v>
      </c>
      <c r="B19" s="193"/>
      <c r="C19" s="194">
        <f>IF('Outil simplifié'!$K$17=Liste!$E$3, B85, IF('Outil simplifié'!$K$17=Liste!$E$4, Exploitation!C85, IF('Outil simplifié'!$K$17=Liste!$E$5, D85, E85)))*$B$24</f>
        <v>675.5</v>
      </c>
      <c r="D19" s="193"/>
      <c r="E19" s="974">
        <f t="shared" si="0"/>
        <v>372.87704913386335</v>
      </c>
      <c r="F19" s="194">
        <f t="shared" si="1"/>
        <v>302.62295086613665</v>
      </c>
      <c r="G19" s="194">
        <f t="shared" si="3"/>
        <v>84.4375</v>
      </c>
      <c r="H19" s="194">
        <f t="shared" si="2"/>
        <v>8.7499999999999994E-2</v>
      </c>
      <c r="I19" s="336">
        <f t="shared" ref="I19:I23" si="4">H19</f>
        <v>8.7499999999999994E-2</v>
      </c>
      <c r="K19" s="274"/>
      <c r="L19" s="187">
        <f>L18*'Outil simplifié'!D12</f>
        <v>482.5</v>
      </c>
      <c r="M19" s="188" t="s">
        <v>362</v>
      </c>
    </row>
    <row r="20" spans="1:14" ht="16.5" thickBot="1">
      <c r="A20" s="335" t="s">
        <v>363</v>
      </c>
      <c r="B20" s="193"/>
      <c r="C20" s="194">
        <f>IF('Outil simplifié'!$K$17=Liste!$E$3, B88, IF('Outil simplifié'!$K$17=Liste!$E$4, Exploitation!C88, IF('Outil simplifié'!$K$17=Liste!$E$5, D88, E88)))*$B$24</f>
        <v>6755</v>
      </c>
      <c r="D20" s="193"/>
      <c r="E20" s="974">
        <f t="shared" si="0"/>
        <v>3728.7704913386333</v>
      </c>
      <c r="F20" s="194">
        <f t="shared" si="1"/>
        <v>3026.2295086613667</v>
      </c>
      <c r="G20" s="194">
        <f t="shared" si="3"/>
        <v>844.375</v>
      </c>
      <c r="H20" s="194">
        <f t="shared" si="2"/>
        <v>0.875</v>
      </c>
      <c r="I20" s="336">
        <f t="shared" si="4"/>
        <v>0.875</v>
      </c>
    </row>
    <row r="21" spans="1:14">
      <c r="A21" s="335" t="s">
        <v>364</v>
      </c>
      <c r="B21" s="193"/>
      <c r="C21" s="194">
        <f>IF('Outil simplifié'!$K$17=Liste!$E$3, B89, IF('Outil simplifié'!$K$17=Liste!$E$4, Exploitation!C89, IF('Outil simplifié'!$K$17=Liste!$E$5, D89, E89)))*$B$24</f>
        <v>1930</v>
      </c>
      <c r="D21" s="193"/>
      <c r="E21" s="974">
        <f t="shared" si="0"/>
        <v>1065.3629975253239</v>
      </c>
      <c r="F21" s="194">
        <f t="shared" si="1"/>
        <v>864.63700247467614</v>
      </c>
      <c r="G21" s="194">
        <f t="shared" si="3"/>
        <v>241.25</v>
      </c>
      <c r="H21" s="194">
        <f t="shared" si="2"/>
        <v>0.25</v>
      </c>
      <c r="I21" s="336">
        <f t="shared" si="4"/>
        <v>0.25</v>
      </c>
      <c r="J21" t="s">
        <v>365</v>
      </c>
      <c r="K21" s="272" t="s">
        <v>366</v>
      </c>
      <c r="L21" s="190" t="s">
        <v>367</v>
      </c>
      <c r="M21" s="1179" t="s">
        <v>368</v>
      </c>
      <c r="N21" s="191" t="s">
        <v>369</v>
      </c>
    </row>
    <row r="22" spans="1:14">
      <c r="A22" s="335" t="s">
        <v>370</v>
      </c>
      <c r="B22" s="193"/>
      <c r="C22" s="193"/>
      <c r="D22" s="193">
        <f>-L12*'Outil simplifié'!K14</f>
        <v>-26600.000000000004</v>
      </c>
      <c r="F22" s="194">
        <f>D22-E23</f>
        <v>-11597.486306918347</v>
      </c>
      <c r="H22" s="336">
        <f>B12*F22/B24</f>
        <v>-0.41101972196539632</v>
      </c>
      <c r="I22" s="336">
        <f t="shared" si="4"/>
        <v>-0.41101972196539632</v>
      </c>
      <c r="J22" s="271">
        <f>(E23*B10)/$B$24</f>
        <v>-1.9433307892592819</v>
      </c>
      <c r="K22" s="273" t="s">
        <v>371</v>
      </c>
      <c r="L22">
        <v>4.3</v>
      </c>
      <c r="M22" s="1181">
        <v>2.8</v>
      </c>
      <c r="N22" s="169">
        <v>0</v>
      </c>
    </row>
    <row r="23" spans="1:14">
      <c r="A23" s="335" t="s">
        <v>370</v>
      </c>
      <c r="B23" s="193"/>
      <c r="C23" s="193"/>
      <c r="D23" s="193"/>
      <c r="E23" s="974">
        <f>IF(L13&lt;4,D22*L14,-C25*0.9)</f>
        <v>-15002.513693081657</v>
      </c>
      <c r="F23" s="194"/>
      <c r="G23" s="194"/>
      <c r="H23" s="336">
        <f>E23*B10/B24</f>
        <v>-1.9433307892592819</v>
      </c>
      <c r="I23" s="336">
        <f t="shared" si="4"/>
        <v>-1.9433307892592819</v>
      </c>
      <c r="J23" s="271"/>
      <c r="K23" s="273" t="s">
        <v>372</v>
      </c>
      <c r="L23">
        <v>3</v>
      </c>
      <c r="M23" s="1181">
        <v>2.6</v>
      </c>
      <c r="N23" s="169">
        <v>0</v>
      </c>
    </row>
    <row r="24" spans="1:14">
      <c r="A24" s="335" t="s">
        <v>373</v>
      </c>
      <c r="B24" s="975">
        <f>'Outil simplifié'!D12</f>
        <v>965</v>
      </c>
      <c r="C24" s="193"/>
      <c r="D24" s="193"/>
      <c r="E24" s="193"/>
      <c r="F24" s="193"/>
      <c r="G24" s="193"/>
      <c r="H24" s="193"/>
      <c r="I24" s="336"/>
      <c r="K24" s="273" t="s">
        <v>374</v>
      </c>
      <c r="L24">
        <v>0</v>
      </c>
      <c r="M24" s="1181">
        <v>0</v>
      </c>
      <c r="N24" s="304">
        <f>IF(ISBLANK('Outil simplifié'!K12),'Energie Energie'!K37,'Outil simplifié'!K12)</f>
        <v>6.6600000000000006E-2</v>
      </c>
    </row>
    <row r="25" spans="1:14" ht="16.5" thickBot="1">
      <c r="A25" s="971" t="s">
        <v>375</v>
      </c>
      <c r="B25" s="972"/>
      <c r="C25" s="973">
        <f>SUM(C15:C21)</f>
        <v>27178.390365448504</v>
      </c>
      <c r="D25" s="973"/>
      <c r="E25" s="979">
        <f>SUM(E15:E21)</f>
        <v>15002.513693081659</v>
      </c>
      <c r="F25" s="972"/>
      <c r="G25" s="972"/>
      <c r="H25" s="973">
        <f>SUM(H15:H23)</f>
        <v>1.1661663754914491</v>
      </c>
      <c r="I25" s="973">
        <f>SUM(I15:I23)</f>
        <v>1.1661663754914491</v>
      </c>
      <c r="J25" s="271"/>
      <c r="K25" s="274" t="str">
        <f>'Outil simplifié'!K11</f>
        <v>Granules (pellets)</v>
      </c>
      <c r="L25" s="187">
        <v>0</v>
      </c>
      <c r="M25" s="1182">
        <v>0</v>
      </c>
      <c r="N25" s="188" cm="1">
        <f t="array" ref="N25">_xlfn.SWITCH(K25,Liste!D3,'Energie Energie'!K52,Liste!D4,'Energie Energie'!K48,Liste!D5,'Energie Energie'!K42,Liste!D6,'Energie Energie'!K43)</f>
        <v>3.7699999999999997E-2</v>
      </c>
    </row>
    <row r="26" spans="1:14" ht="16.5" thickBot="1">
      <c r="C26" s="271"/>
      <c r="D26" s="271"/>
      <c r="E26" s="171"/>
      <c r="G26" s="271"/>
      <c r="H26" s="271"/>
      <c r="I26" s="271"/>
      <c r="J26" s="271"/>
    </row>
    <row r="27" spans="1:14">
      <c r="C27" s="271"/>
      <c r="D27" s="271"/>
      <c r="E27" s="171"/>
      <c r="H27" s="271"/>
      <c r="I27" s="271"/>
      <c r="J27" s="271"/>
      <c r="K27" s="272" t="s">
        <v>376</v>
      </c>
      <c r="L27" s="190" t="s">
        <v>377</v>
      </c>
      <c r="M27" s="1179" t="s">
        <v>378</v>
      </c>
      <c r="N27" s="191" t="s">
        <v>369</v>
      </c>
    </row>
    <row r="28" spans="1:14" ht="16.5" thickBot="1">
      <c r="C28" s="271"/>
      <c r="D28" s="271"/>
      <c r="E28" s="171"/>
      <c r="H28" s="271"/>
      <c r="I28" s="271"/>
      <c r="J28" s="271"/>
      <c r="K28" s="274" t="s">
        <v>379</v>
      </c>
      <c r="L28" s="303" cm="1">
        <f t="array" ref="L28">_xlfn.SWITCH('Outil simplifié'!K9,Liste!C3,1/Exploitation!L22,Liste!C4,1/Exploitation!L23,Liste!C5,Exploitation!L24,Liste!C6,Exploitation!L25)</f>
        <v>0.23255813953488372</v>
      </c>
      <c r="M28" s="1180" cm="1">
        <f t="array" ref="M28">_xlfn.SWITCH('Outil simplifié'!K9,Liste!C3,1/Exploitation!M22,Liste!C4,1/Exploitation!M23,Liste!C5,Exploitation!M24,Liste!C6,Exploitation!M25)</f>
        <v>0.35714285714285715</v>
      </c>
      <c r="N28" s="188" cm="1">
        <f t="array" ref="N28">_xlfn.SWITCH('Outil simplifié'!K9,Liste!C3,Exploitation!N22,Liste!C4,Exploitation!N23,Liste!C5,Exploitation!N24,Liste!C6,Exploitation!N25)</f>
        <v>0</v>
      </c>
    </row>
    <row r="29" spans="1:14">
      <c r="C29" s="271"/>
      <c r="D29" s="271"/>
      <c r="E29" s="171"/>
      <c r="H29" s="271"/>
      <c r="I29" s="271"/>
      <c r="J29" s="271"/>
      <c r="L29" s="271"/>
    </row>
    <row r="30" spans="1:14" s="739" customFormat="1" ht="16.5" thickBot="1">
      <c r="C30" s="969"/>
      <c r="I30" s="969"/>
      <c r="J30" s="969"/>
    </row>
    <row r="31" spans="1:14" ht="16.5" thickTop="1">
      <c r="C31" s="271"/>
      <c r="I31" s="271"/>
      <c r="J31" s="271"/>
    </row>
    <row r="32" spans="1:14">
      <c r="C32" s="271"/>
      <c r="I32" s="271"/>
      <c r="J32" s="271"/>
    </row>
    <row r="33" spans="1:58" ht="18.75">
      <c r="A33" s="338" t="s">
        <v>380</v>
      </c>
      <c r="H33" s="275"/>
      <c r="J33" s="271"/>
      <c r="K33" s="271"/>
    </row>
    <row r="34" spans="1:58" s="960" customFormat="1" ht="16.5" thickBot="1">
      <c r="A34"/>
      <c r="B34"/>
      <c r="C34"/>
      <c r="D34"/>
      <c r="E34" t="s">
        <v>381</v>
      </c>
      <c r="F34"/>
      <c r="G34"/>
      <c r="H34"/>
      <c r="I34"/>
      <c r="J34" s="271"/>
      <c r="K34" s="271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</row>
    <row r="35" spans="1:58">
      <c r="A35" s="339" t="s">
        <v>382</v>
      </c>
      <c r="B35" s="190"/>
      <c r="C35" s="190"/>
      <c r="D35" s="190"/>
      <c r="E35" s="191" t="s">
        <v>383</v>
      </c>
    </row>
    <row r="36" spans="1:58">
      <c r="A36" s="273" t="s">
        <v>384</v>
      </c>
      <c r="E36" s="169" t="s">
        <v>385</v>
      </c>
      <c r="K36" s="275"/>
    </row>
    <row r="37" spans="1:58" s="739" customFormat="1" ht="16.5" thickBot="1">
      <c r="A37" s="273" t="s">
        <v>386</v>
      </c>
      <c r="B37" t="s">
        <v>387</v>
      </c>
      <c r="C37" t="s">
        <v>388</v>
      </c>
      <c r="D37" t="s">
        <v>389</v>
      </c>
      <c r="E37" s="169" t="s">
        <v>390</v>
      </c>
      <c r="F37"/>
      <c r="G37"/>
      <c r="H37"/>
      <c r="I37"/>
      <c r="J37"/>
      <c r="K37"/>
      <c r="L37" s="275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</row>
    <row r="38" spans="1:58" ht="16.5" thickTop="1">
      <c r="A38" s="273" t="s">
        <v>391</v>
      </c>
      <c r="B38">
        <v>13</v>
      </c>
      <c r="C38">
        <v>15</v>
      </c>
      <c r="D38">
        <v>20</v>
      </c>
      <c r="E38" s="349">
        <v>35</v>
      </c>
    </row>
    <row r="39" spans="1:58">
      <c r="A39" s="273" t="s">
        <v>392</v>
      </c>
      <c r="B39">
        <v>16</v>
      </c>
      <c r="C39">
        <v>15</v>
      </c>
      <c r="D39">
        <v>25</v>
      </c>
      <c r="E39" s="349">
        <v>35</v>
      </c>
    </row>
    <row r="40" spans="1:58" ht="16.5" thickBot="1">
      <c r="A40" s="274" t="s">
        <v>393</v>
      </c>
      <c r="B40" s="187">
        <v>13</v>
      </c>
      <c r="C40" s="187">
        <v>15</v>
      </c>
      <c r="D40" s="187">
        <v>25</v>
      </c>
      <c r="E40" s="350">
        <v>40</v>
      </c>
    </row>
    <row r="41" spans="1:58" ht="16.5" thickBot="1"/>
    <row r="42" spans="1:58">
      <c r="A42" s="339" t="s">
        <v>394</v>
      </c>
      <c r="B42" s="190" t="s">
        <v>384</v>
      </c>
      <c r="C42" s="190"/>
      <c r="D42" s="190"/>
      <c r="E42" s="191" t="s">
        <v>383</v>
      </c>
      <c r="F42" t="s">
        <v>395</v>
      </c>
    </row>
    <row r="43" spans="1:58">
      <c r="A43" s="273" t="s">
        <v>215</v>
      </c>
      <c r="B43">
        <f>IF('Outil simplifié'!$D$9=Liste!A3, 100%*($B$38+$C$38), (Exploitation!$B$40+Exploitation!$C$40))</f>
        <v>28</v>
      </c>
      <c r="E43" s="169" t="s">
        <v>396</v>
      </c>
      <c r="J43" s="296"/>
    </row>
    <row r="44" spans="1:58">
      <c r="A44" s="273" t="s">
        <v>220</v>
      </c>
      <c r="B44">
        <f>IF('Outil simplifié'!$D$9=Liste!A3, 70%*($B$38+$C$38), 70%*(Exploitation!$B$40+Exploitation!$C$40))</f>
        <v>19.599999999999998</v>
      </c>
      <c r="E44" s="169" t="s">
        <v>397</v>
      </c>
    </row>
    <row r="45" spans="1:58" ht="16.5" thickBot="1">
      <c r="A45" s="274" t="s">
        <v>223</v>
      </c>
      <c r="B45" s="187">
        <f>IF('Outil simplifié'!$D$9=Liste!A3, 100%*($B$38+$C$38), (Exploitation!$B$40+Exploitation!$C$40))</f>
        <v>28</v>
      </c>
      <c r="C45" s="187"/>
      <c r="D45" s="187"/>
      <c r="E45" s="188" t="s">
        <v>396</v>
      </c>
    </row>
    <row r="46" spans="1:58" ht="16.5" thickBot="1"/>
    <row r="47" spans="1:58" ht="16.5" thickBot="1">
      <c r="A47" s="340" t="s">
        <v>398</v>
      </c>
      <c r="B47" s="341"/>
      <c r="C47" s="341"/>
      <c r="D47" s="342"/>
      <c r="F47" s="339" t="s">
        <v>399</v>
      </c>
      <c r="G47" s="191"/>
    </row>
    <row r="48" spans="1:58">
      <c r="A48" s="272" t="s">
        <v>400</v>
      </c>
      <c r="B48" s="190" t="str">
        <f>A43</f>
        <v>Minergie</v>
      </c>
      <c r="C48" s="190" t="str">
        <f>A44</f>
        <v>Minergie-P</v>
      </c>
      <c r="D48" s="191" t="str">
        <f>A45</f>
        <v>Minergie-A</v>
      </c>
      <c r="E48" t="s">
        <v>401</v>
      </c>
      <c r="F48" s="355" t="s">
        <v>402</v>
      </c>
      <c r="G48" s="349">
        <v>2</v>
      </c>
    </row>
    <row r="49" spans="1:14">
      <c r="A49" s="273" t="s">
        <v>391</v>
      </c>
      <c r="B49" s="300">
        <v>55</v>
      </c>
      <c r="C49" s="300">
        <v>50</v>
      </c>
      <c r="D49" s="169">
        <v>35</v>
      </c>
      <c r="F49" s="273" t="s">
        <v>403</v>
      </c>
      <c r="G49" s="169">
        <v>1</v>
      </c>
      <c r="N49">
        <f>10/1000</f>
        <v>0.01</v>
      </c>
    </row>
    <row r="50" spans="1:14">
      <c r="A50" s="273" t="s">
        <v>392</v>
      </c>
      <c r="B50" s="300">
        <v>55</v>
      </c>
      <c r="C50" s="300">
        <v>50</v>
      </c>
      <c r="D50" s="169">
        <v>35</v>
      </c>
      <c r="F50" s="273" t="s">
        <v>404</v>
      </c>
      <c r="G50" s="169">
        <v>0.5</v>
      </c>
    </row>
    <row r="51" spans="1:14" ht="16.5" thickBot="1">
      <c r="A51" s="274" t="s">
        <v>393</v>
      </c>
      <c r="B51" s="306">
        <v>80</v>
      </c>
      <c r="C51" s="306">
        <v>75</v>
      </c>
      <c r="D51" s="188">
        <v>35</v>
      </c>
      <c r="F51" s="273" t="s">
        <v>405</v>
      </c>
      <c r="G51" s="169">
        <v>0.6</v>
      </c>
    </row>
    <row r="52" spans="1:14" ht="16.5" thickBot="1">
      <c r="A52" s="273"/>
      <c r="D52" s="169"/>
      <c r="F52" s="356" t="s">
        <v>406</v>
      </c>
      <c r="G52" s="350">
        <v>0</v>
      </c>
    </row>
    <row r="53" spans="1:14" ht="16.5" thickBot="1"/>
    <row r="54" spans="1:14">
      <c r="A54" s="346" t="s">
        <v>407</v>
      </c>
      <c r="B54" s="345" t="s">
        <v>408</v>
      </c>
      <c r="C54" s="190" t="s">
        <v>409</v>
      </c>
      <c r="D54" s="307" t="s">
        <v>410</v>
      </c>
      <c r="E54" s="190" t="s">
        <v>411</v>
      </c>
      <c r="F54" s="190"/>
      <c r="G54" s="191"/>
    </row>
    <row r="55" spans="1:14" ht="16.5" thickBot="1">
      <c r="A55" s="273"/>
      <c r="B55" t="s">
        <v>360</v>
      </c>
      <c r="C55" s="343">
        <v>4</v>
      </c>
      <c r="D55" s="334">
        <v>2</v>
      </c>
      <c r="E55" s="343">
        <v>4</v>
      </c>
      <c r="F55" t="s">
        <v>412</v>
      </c>
      <c r="G55" s="169" t="s">
        <v>413</v>
      </c>
      <c r="H55" s="297">
        <f>D55/$D$62</f>
        <v>0.18181818181818182</v>
      </c>
      <c r="I55" s="305"/>
    </row>
    <row r="56" spans="1:14">
      <c r="A56" s="273"/>
      <c r="B56" s="351" t="s">
        <v>278</v>
      </c>
      <c r="C56" s="343">
        <v>1.2</v>
      </c>
      <c r="D56" s="334">
        <v>0.7</v>
      </c>
      <c r="E56">
        <v>0</v>
      </c>
      <c r="F56" t="s">
        <v>414</v>
      </c>
      <c r="G56" s="169" t="s">
        <v>413</v>
      </c>
      <c r="H56" s="305"/>
      <c r="I56" s="305"/>
    </row>
    <row r="57" spans="1:14">
      <c r="A57" s="273"/>
      <c r="B57" s="309" t="s">
        <v>358</v>
      </c>
      <c r="C57" s="343">
        <v>6.6</v>
      </c>
      <c r="D57" s="334">
        <v>6.5</v>
      </c>
      <c r="E57" s="343">
        <v>1.6</v>
      </c>
      <c r="F57" t="s">
        <v>415</v>
      </c>
      <c r="G57" s="169" t="s">
        <v>413</v>
      </c>
      <c r="H57" s="305" t="s">
        <v>416</v>
      </c>
      <c r="I57" s="305"/>
    </row>
    <row r="58" spans="1:14" ht="16.5" thickBot="1">
      <c r="A58" s="273"/>
      <c r="B58" s="352" t="s">
        <v>377</v>
      </c>
      <c r="C58" s="343">
        <v>19</v>
      </c>
      <c r="D58" s="334">
        <v>11.2</v>
      </c>
      <c r="E58" s="343">
        <v>112.9</v>
      </c>
      <c r="F58" t="s">
        <v>417</v>
      </c>
      <c r="G58" s="169" t="s">
        <v>413</v>
      </c>
      <c r="H58" s="305" t="s">
        <v>416</v>
      </c>
      <c r="I58" s="305"/>
    </row>
    <row r="59" spans="1:14">
      <c r="A59" s="273"/>
      <c r="B59" s="344" t="s">
        <v>418</v>
      </c>
      <c r="C59" s="343">
        <v>19.8</v>
      </c>
      <c r="D59" s="334">
        <v>19.8</v>
      </c>
      <c r="E59" s="343">
        <v>19.8</v>
      </c>
      <c r="F59" t="s">
        <v>419</v>
      </c>
      <c r="G59" s="169" t="s">
        <v>413</v>
      </c>
      <c r="H59" s="305" t="s">
        <v>416</v>
      </c>
      <c r="I59" s="305"/>
    </row>
    <row r="60" spans="1:14">
      <c r="A60" s="273"/>
      <c r="B60" t="s">
        <v>363</v>
      </c>
      <c r="C60" s="343">
        <v>14</v>
      </c>
      <c r="D60" s="334">
        <v>7</v>
      </c>
      <c r="E60" s="343">
        <v>18</v>
      </c>
      <c r="F60" t="s">
        <v>420</v>
      </c>
      <c r="G60" s="169"/>
      <c r="H60" s="297">
        <f>D60/$D$62</f>
        <v>0.63636363636363635</v>
      </c>
      <c r="I60" s="305"/>
    </row>
    <row r="61" spans="1:14" ht="16.5" thickBot="1">
      <c r="A61" s="274" t="s">
        <v>421</v>
      </c>
      <c r="B61" s="187" t="s">
        <v>422</v>
      </c>
      <c r="C61" s="187">
        <v>3</v>
      </c>
      <c r="D61" s="310">
        <v>2</v>
      </c>
      <c r="E61" s="187"/>
      <c r="F61" s="187"/>
      <c r="G61" s="188"/>
      <c r="H61" s="297">
        <f>D61/$D$62</f>
        <v>0.18181818181818182</v>
      </c>
      <c r="I61" s="305"/>
    </row>
    <row r="62" spans="1:14">
      <c r="C62">
        <f>C55+C60+C61+C56+C57</f>
        <v>28.799999999999997</v>
      </c>
      <c r="D62" s="308">
        <f>D55+D60+D61</f>
        <v>11</v>
      </c>
    </row>
    <row r="63" spans="1:14" ht="16.5" thickBot="1">
      <c r="D63" s="308"/>
    </row>
    <row r="64" spans="1:14">
      <c r="A64" s="339" t="s">
        <v>407</v>
      </c>
      <c r="B64" s="345" t="s">
        <v>423</v>
      </c>
      <c r="C64" s="190" t="s">
        <v>409</v>
      </c>
      <c r="D64" s="307" t="s">
        <v>410</v>
      </c>
      <c r="E64" s="190" t="s">
        <v>411</v>
      </c>
      <c r="F64" s="190"/>
      <c r="G64" s="191"/>
    </row>
    <row r="65" spans="1:9">
      <c r="A65" s="273"/>
      <c r="B65" t="s">
        <v>360</v>
      </c>
      <c r="D65" s="308">
        <v>5</v>
      </c>
      <c r="F65" t="s">
        <v>412</v>
      </c>
      <c r="G65" s="169" t="s">
        <v>413</v>
      </c>
      <c r="H65" s="297">
        <f>D65/$D$72</f>
        <v>0.38461538461538464</v>
      </c>
      <c r="I65" s="305"/>
    </row>
    <row r="66" spans="1:9">
      <c r="A66" s="273"/>
      <c r="B66" s="344" t="s">
        <v>278</v>
      </c>
      <c r="D66" s="308">
        <v>1.3</v>
      </c>
      <c r="F66" t="s">
        <v>414</v>
      </c>
      <c r="G66" s="169" t="s">
        <v>413</v>
      </c>
      <c r="H66" s="305"/>
      <c r="I66" s="305"/>
    </row>
    <row r="67" spans="1:9">
      <c r="A67" s="273"/>
      <c r="B67" s="344" t="s">
        <v>358</v>
      </c>
      <c r="D67" s="308">
        <v>10.8</v>
      </c>
      <c r="F67" t="s">
        <v>415</v>
      </c>
      <c r="G67" s="169" t="s">
        <v>413</v>
      </c>
      <c r="H67" s="305"/>
      <c r="I67" s="305"/>
    </row>
    <row r="68" spans="1:9">
      <c r="A68" s="273"/>
      <c r="B68" s="344" t="s">
        <v>377</v>
      </c>
      <c r="D68" s="308">
        <v>17.2</v>
      </c>
      <c r="F68" t="s">
        <v>417</v>
      </c>
      <c r="G68" s="169" t="s">
        <v>413</v>
      </c>
      <c r="H68" s="311"/>
      <c r="I68" s="305"/>
    </row>
    <row r="69" spans="1:9">
      <c r="A69" s="273"/>
      <c r="B69" s="344" t="s">
        <v>418</v>
      </c>
      <c r="C69" s="344"/>
      <c r="D69" s="309">
        <v>7</v>
      </c>
      <c r="F69" t="s">
        <v>419</v>
      </c>
      <c r="G69" s="169" t="s">
        <v>413</v>
      </c>
      <c r="H69" s="311"/>
      <c r="I69" s="305"/>
    </row>
    <row r="70" spans="1:9">
      <c r="A70" s="273"/>
      <c r="B70" t="s">
        <v>363</v>
      </c>
      <c r="D70" s="308">
        <v>6</v>
      </c>
      <c r="F70" t="s">
        <v>420</v>
      </c>
      <c r="G70" s="169"/>
      <c r="H70" s="297">
        <f>D70/$D$72</f>
        <v>0.46153846153846156</v>
      </c>
      <c r="I70" s="305"/>
    </row>
    <row r="71" spans="1:9" ht="16.5" thickBot="1">
      <c r="A71" s="274"/>
      <c r="B71" s="187" t="s">
        <v>422</v>
      </c>
      <c r="C71" s="187"/>
      <c r="D71" s="310">
        <v>2</v>
      </c>
      <c r="E71" s="187"/>
      <c r="F71" s="187"/>
      <c r="G71" s="188"/>
      <c r="H71" s="297">
        <f>D71/$D$72</f>
        <v>0.15384615384615385</v>
      </c>
      <c r="I71" s="305"/>
    </row>
    <row r="72" spans="1:9" ht="16.5" thickBot="1">
      <c r="D72" s="308">
        <f>D65+D70+D71</f>
        <v>13</v>
      </c>
    </row>
    <row r="73" spans="1:9">
      <c r="A73" s="339" t="s">
        <v>424</v>
      </c>
      <c r="B73" s="190" t="s">
        <v>425</v>
      </c>
      <c r="C73" s="190"/>
      <c r="D73" s="191"/>
    </row>
    <row r="74" spans="1:9">
      <c r="A74" s="273" t="s">
        <v>426</v>
      </c>
      <c r="B74">
        <v>21</v>
      </c>
      <c r="C74" t="s">
        <v>383</v>
      </c>
      <c r="D74" s="169"/>
    </row>
    <row r="75" spans="1:9">
      <c r="A75" s="273" t="s">
        <v>392</v>
      </c>
      <c r="B75">
        <v>14</v>
      </c>
      <c r="C75" t="s">
        <v>383</v>
      </c>
      <c r="D75" s="169"/>
    </row>
    <row r="76" spans="1:9" ht="16.5" thickBot="1">
      <c r="A76" s="274" t="s">
        <v>427</v>
      </c>
      <c r="B76" s="187">
        <v>7</v>
      </c>
      <c r="C76" s="187" t="s">
        <v>383</v>
      </c>
      <c r="D76" s="188"/>
    </row>
    <row r="79" spans="1:9" ht="18.75">
      <c r="A79" s="338" t="s">
        <v>428</v>
      </c>
    </row>
    <row r="80" spans="1:9" ht="18.75">
      <c r="A80" s="338" t="s">
        <v>429</v>
      </c>
    </row>
    <row r="81" spans="1:13" ht="19.5" thickBot="1">
      <c r="A81" s="338"/>
      <c r="B81" t="s">
        <v>430</v>
      </c>
      <c r="C81" t="s">
        <v>431</v>
      </c>
      <c r="D81" t="s">
        <v>431</v>
      </c>
      <c r="E81" t="s">
        <v>431</v>
      </c>
    </row>
    <row r="82" spans="1:13">
      <c r="A82" s="272" t="s">
        <v>432</v>
      </c>
      <c r="B82" s="190" t="s">
        <v>111</v>
      </c>
      <c r="C82" s="190" t="str">
        <f>B48</f>
        <v>Minergie</v>
      </c>
      <c r="D82" s="190" t="str">
        <f t="shared" ref="D82:E82" si="5">C48</f>
        <v>Minergie-P</v>
      </c>
      <c r="E82" s="191" t="str">
        <f t="shared" si="5"/>
        <v>Minergie-A</v>
      </c>
    </row>
    <row r="83" spans="1:13">
      <c r="A83" s="273" t="s">
        <v>377</v>
      </c>
      <c r="B83">
        <f>B43</f>
        <v>28</v>
      </c>
      <c r="C83">
        <f>B43</f>
        <v>28</v>
      </c>
      <c r="D83">
        <f>B44</f>
        <v>19.599999999999998</v>
      </c>
      <c r="E83" s="169">
        <f>B45</f>
        <v>28</v>
      </c>
      <c r="F83" t="s">
        <v>433</v>
      </c>
    </row>
    <row r="84" spans="1:13">
      <c r="A84" s="273" t="s">
        <v>378</v>
      </c>
      <c r="B84">
        <f>IF('Outil simplifié'!$D$9=Liste!$A$3, $D$59, $D$69)</f>
        <v>19.8</v>
      </c>
      <c r="C84">
        <f>IF('Outil simplifié'!$D$9=Liste!$A$3, $D$59, $D$69)</f>
        <v>19.8</v>
      </c>
      <c r="D84">
        <f>IF('Outil simplifié'!$D$9=Liste!$A$3, $D$59, $D$69)</f>
        <v>19.8</v>
      </c>
      <c r="E84" s="169">
        <f>IF('Outil simplifié'!$D$9=Liste!$A$3, $D$59, $D$69)</f>
        <v>19.8</v>
      </c>
      <c r="F84" t="s">
        <v>433</v>
      </c>
    </row>
    <row r="85" spans="1:13">
      <c r="A85" s="273" t="s">
        <v>278</v>
      </c>
      <c r="B85" s="301">
        <f>$C$56</f>
        <v>1.2</v>
      </c>
      <c r="C85" s="301">
        <f>$D$56</f>
        <v>0.7</v>
      </c>
      <c r="D85" s="301">
        <f>$D$56</f>
        <v>0.7</v>
      </c>
      <c r="E85" s="301">
        <f>$D$56</f>
        <v>0.7</v>
      </c>
      <c r="F85" t="s">
        <v>407</v>
      </c>
    </row>
    <row r="86" spans="1:13">
      <c r="A86" s="273" t="s">
        <v>358</v>
      </c>
      <c r="B86" s="300">
        <f>C57</f>
        <v>6.6</v>
      </c>
      <c r="C86" s="301">
        <f>$D$57</f>
        <v>6.5</v>
      </c>
      <c r="D86" s="301">
        <f>$D$57</f>
        <v>6.5</v>
      </c>
      <c r="E86" s="301">
        <f>$D$57</f>
        <v>6.5</v>
      </c>
      <c r="F86" t="s">
        <v>407</v>
      </c>
    </row>
    <row r="87" spans="1:13">
      <c r="A87" s="273" t="s">
        <v>360</v>
      </c>
      <c r="B87" s="300">
        <f>C55</f>
        <v>4</v>
      </c>
      <c r="C87" s="301">
        <f>$D$55</f>
        <v>2</v>
      </c>
      <c r="D87" s="301">
        <f>$D$55</f>
        <v>2</v>
      </c>
      <c r="E87" s="301">
        <f>$D$55</f>
        <v>2</v>
      </c>
      <c r="F87" t="s">
        <v>407</v>
      </c>
    </row>
    <row r="88" spans="1:13">
      <c r="A88" s="273" t="s">
        <v>434</v>
      </c>
      <c r="B88" s="300">
        <f>C60</f>
        <v>14</v>
      </c>
      <c r="C88" s="301">
        <f>$D$60</f>
        <v>7</v>
      </c>
      <c r="D88" s="301">
        <f>$D$60</f>
        <v>7</v>
      </c>
      <c r="E88" s="301">
        <f>$D$60</f>
        <v>7</v>
      </c>
      <c r="F88" t="s">
        <v>407</v>
      </c>
    </row>
    <row r="89" spans="1:13">
      <c r="A89" s="273" t="s">
        <v>435</v>
      </c>
      <c r="B89" s="300">
        <f>C61</f>
        <v>3</v>
      </c>
      <c r="C89" s="301">
        <f>$D$61</f>
        <v>2</v>
      </c>
      <c r="D89" s="301">
        <f>$D$61</f>
        <v>2</v>
      </c>
      <c r="E89" s="301">
        <f>$D$61</f>
        <v>2</v>
      </c>
      <c r="F89" t="s">
        <v>407</v>
      </c>
      <c r="G89" s="299"/>
    </row>
    <row r="90" spans="1:13">
      <c r="A90" s="273"/>
      <c r="C90" s="271"/>
      <c r="D90" s="271"/>
      <c r="E90" s="271"/>
      <c r="G90" s="299"/>
      <c r="K90" s="298"/>
    </row>
    <row r="91" spans="1:13">
      <c r="A91" s="273" t="s">
        <v>436</v>
      </c>
      <c r="B91" s="271">
        <f>B85+B86-(B102/$G$48)</f>
        <v>2.2176234658220455</v>
      </c>
      <c r="C91" s="271">
        <f>C85+C86-(C102/$G$48)</f>
        <v>1.6176234658220459</v>
      </c>
      <c r="D91" s="271">
        <f>D85+D86-(D102/$G$48)</f>
        <v>-0.33586490627097909</v>
      </c>
      <c r="E91" s="271">
        <f>E85+E86-(E102/$G$48)</f>
        <v>1.6176234658220459</v>
      </c>
      <c r="F91" t="s">
        <v>437</v>
      </c>
      <c r="G91" s="299"/>
      <c r="L91" s="298"/>
      <c r="M91" s="275"/>
    </row>
    <row r="92" spans="1:13">
      <c r="A92" s="273" t="s">
        <v>438</v>
      </c>
      <c r="B92" s="271"/>
      <c r="C92" s="271">
        <f>C87+C88+C89-C104</f>
        <v>1</v>
      </c>
      <c r="D92" s="271">
        <f t="shared" ref="D92:E92" si="6">D87+D88+D89-D104</f>
        <v>3.5000000000000027</v>
      </c>
      <c r="E92" s="271">
        <f t="shared" si="6"/>
        <v>11</v>
      </c>
      <c r="F92" t="s">
        <v>437</v>
      </c>
      <c r="G92" s="299"/>
      <c r="M92" s="275"/>
    </row>
    <row r="93" spans="1:13">
      <c r="A93" s="273" t="s">
        <v>439</v>
      </c>
      <c r="B93" s="271">
        <f>B91+B92</f>
        <v>2.2176234658220455</v>
      </c>
      <c r="C93" s="271">
        <f t="shared" ref="C93:E93" si="7">C91+C92</f>
        <v>2.6176234658220459</v>
      </c>
      <c r="D93" s="271">
        <f t="shared" si="7"/>
        <v>3.1641350937290236</v>
      </c>
      <c r="E93" s="271">
        <f t="shared" si="7"/>
        <v>12.617623465822046</v>
      </c>
      <c r="F93" t="s">
        <v>440</v>
      </c>
      <c r="G93" s="299"/>
      <c r="M93" s="275"/>
    </row>
    <row r="94" spans="1:13">
      <c r="A94" s="273"/>
      <c r="C94" s="271"/>
      <c r="D94" s="271"/>
      <c r="E94" s="304"/>
      <c r="G94" s="299"/>
    </row>
    <row r="95" spans="1:13" ht="16.5" thickBot="1">
      <c r="A95" s="353" t="s">
        <v>441</v>
      </c>
      <c r="E95" s="169"/>
    </row>
    <row r="96" spans="1:13">
      <c r="A96" s="272" t="s">
        <v>442</v>
      </c>
      <c r="B96" s="312">
        <f>B83*$L$28</f>
        <v>6.5116279069767442</v>
      </c>
      <c r="C96" s="312">
        <f>C83*$L$28</f>
        <v>6.5116279069767442</v>
      </c>
      <c r="D96" s="312">
        <f>D83*$L$28</f>
        <v>4.5581395348837201</v>
      </c>
      <c r="E96" s="312">
        <f>E83*$L$28</f>
        <v>6.5116279069767442</v>
      </c>
      <c r="F96" t="s">
        <v>443</v>
      </c>
    </row>
    <row r="97" spans="1:8" ht="16.5" thickBot="1">
      <c r="A97" s="274" t="s">
        <v>444</v>
      </c>
      <c r="B97" s="313">
        <f>(B84-$L$7)*$M$28</f>
        <v>5.4059955588453006</v>
      </c>
      <c r="C97" s="313">
        <f>(C84-$L$7)*$M$28</f>
        <v>5.4059955588453006</v>
      </c>
      <c r="D97" s="313">
        <f>(D84-$L$7)*$M$28</f>
        <v>5.4059955588453006</v>
      </c>
      <c r="E97" s="313">
        <f>(E84-$L$7)*$M$28</f>
        <v>5.4059955588453006</v>
      </c>
      <c r="F97" t="s">
        <v>445</v>
      </c>
    </row>
    <row r="98" spans="1:8">
      <c r="A98" s="273"/>
      <c r="E98" s="169"/>
    </row>
    <row r="99" spans="1:8" ht="16.5" thickBot="1">
      <c r="A99" s="353" t="s">
        <v>446</v>
      </c>
      <c r="E99" s="169"/>
    </row>
    <row r="100" spans="1:8">
      <c r="A100" s="307" t="s">
        <v>377</v>
      </c>
      <c r="B100" s="275">
        <f t="shared" ref="B100:E101" si="8">B96*$G$48</f>
        <v>13.023255813953488</v>
      </c>
      <c r="C100" s="275">
        <f t="shared" si="8"/>
        <v>13.023255813953488</v>
      </c>
      <c r="D100" s="275">
        <f t="shared" si="8"/>
        <v>9.1162790697674403</v>
      </c>
      <c r="E100" s="302">
        <f t="shared" si="8"/>
        <v>13.023255813953488</v>
      </c>
      <c r="F100" t="s">
        <v>402</v>
      </c>
      <c r="G100" s="271"/>
      <c r="H100" s="271"/>
    </row>
    <row r="101" spans="1:8">
      <c r="A101" s="308" t="s">
        <v>378</v>
      </c>
      <c r="B101" s="275">
        <f t="shared" si="8"/>
        <v>10.811991117690601</v>
      </c>
      <c r="C101" s="275">
        <f t="shared" si="8"/>
        <v>10.811991117690601</v>
      </c>
      <c r="D101" s="275">
        <f t="shared" si="8"/>
        <v>10.811991117690601</v>
      </c>
      <c r="E101" s="302">
        <f t="shared" si="8"/>
        <v>10.811991117690601</v>
      </c>
      <c r="F101" t="s">
        <v>402</v>
      </c>
      <c r="G101" s="271"/>
      <c r="H101" s="271"/>
    </row>
    <row r="102" spans="1:8" ht="16.5" thickBot="1">
      <c r="A102" s="333" t="s">
        <v>447</v>
      </c>
      <c r="B102" s="275">
        <f>$E$38-B100-B101</f>
        <v>11.164753068355909</v>
      </c>
      <c r="C102" s="275">
        <f>$E$38-C100-C101</f>
        <v>11.164753068355909</v>
      </c>
      <c r="D102" s="275">
        <f>$E$38-D100-D101</f>
        <v>15.071729812541959</v>
      </c>
      <c r="E102" s="275">
        <f>$E$38-E100-E101</f>
        <v>11.164753068355909</v>
      </c>
      <c r="F102" t="s">
        <v>402</v>
      </c>
    </row>
    <row r="103" spans="1:8">
      <c r="A103" s="273" t="s">
        <v>448</v>
      </c>
      <c r="B103" s="275"/>
      <c r="C103" s="275">
        <f>B49-C100-C101-C102</f>
        <v>20</v>
      </c>
      <c r="D103" s="275">
        <f>C49-D100-D101-D102</f>
        <v>14.999999999999995</v>
      </c>
      <c r="E103" s="275">
        <f>D49-E100-E101-E102</f>
        <v>0</v>
      </c>
    </row>
    <row r="104" spans="1:8" ht="16.5" thickBot="1">
      <c r="A104" s="274" t="s">
        <v>449</v>
      </c>
      <c r="B104" s="187"/>
      <c r="C104" s="303">
        <f>C103/$G$48</f>
        <v>10</v>
      </c>
      <c r="D104" s="303">
        <f>D103/$G$48</f>
        <v>7.4999999999999973</v>
      </c>
      <c r="E104" s="303">
        <f>E103/$G$48</f>
        <v>0</v>
      </c>
      <c r="F104" t="s">
        <v>402</v>
      </c>
    </row>
    <row r="115" spans="1:4">
      <c r="A115" s="622" t="s">
        <v>450</v>
      </c>
      <c r="B115" s="622"/>
      <c r="C115" s="622"/>
      <c r="D115" s="622"/>
    </row>
    <row r="116" spans="1:4">
      <c r="A116" s="622" t="s">
        <v>451</v>
      </c>
      <c r="B116" s="622"/>
      <c r="C116" s="622"/>
      <c r="D116" s="622"/>
    </row>
    <row r="117" spans="1:4">
      <c r="A117" s="622" t="s">
        <v>452</v>
      </c>
      <c r="B117" s="622"/>
      <c r="C117" s="622"/>
      <c r="D117" s="622"/>
    </row>
    <row r="118" spans="1:4">
      <c r="A118" s="622" t="s">
        <v>453</v>
      </c>
      <c r="B118" s="622"/>
      <c r="C118" s="622"/>
      <c r="D118" s="622"/>
    </row>
    <row r="119" spans="1:4">
      <c r="A119" s="622" t="s">
        <v>454</v>
      </c>
      <c r="B119" s="622"/>
      <c r="C119" s="622"/>
      <c r="D119" s="622"/>
    </row>
    <row r="120" spans="1:4">
      <c r="A120" s="622" t="s">
        <v>455</v>
      </c>
      <c r="B120" s="622"/>
      <c r="C120" s="622"/>
      <c r="D120" s="622"/>
    </row>
    <row r="121" spans="1:4">
      <c r="A121" s="622" t="s">
        <v>456</v>
      </c>
      <c r="B121" s="622"/>
      <c r="C121" s="622"/>
      <c r="D121" s="622"/>
    </row>
    <row r="122" spans="1:4">
      <c r="A122" s="622"/>
      <c r="B122" s="622"/>
      <c r="C122" s="622"/>
      <c r="D122" s="622"/>
    </row>
    <row r="123" spans="1:4">
      <c r="A123" s="622" t="s">
        <v>378</v>
      </c>
      <c r="B123" s="622"/>
      <c r="C123" s="622"/>
      <c r="D123" s="622"/>
    </row>
    <row r="124" spans="1:4">
      <c r="A124" s="622" t="s">
        <v>457</v>
      </c>
      <c r="B124" s="622"/>
      <c r="C124" s="622"/>
      <c r="D124" s="622"/>
    </row>
    <row r="125" spans="1:4">
      <c r="A125" s="622" t="s">
        <v>458</v>
      </c>
      <c r="B125" s="622"/>
      <c r="C125" s="622"/>
      <c r="D125" s="622"/>
    </row>
    <row r="126" spans="1:4">
      <c r="A126" s="622" t="s">
        <v>459</v>
      </c>
      <c r="B126" s="622"/>
      <c r="C126" s="622"/>
      <c r="D126" s="622"/>
    </row>
    <row r="127" spans="1:4">
      <c r="A127" s="622" t="s">
        <v>460</v>
      </c>
      <c r="B127" s="622"/>
      <c r="C127" s="622"/>
      <c r="D127" s="622"/>
    </row>
    <row r="128" spans="1:4">
      <c r="A128" s="622" t="s">
        <v>461</v>
      </c>
      <c r="B128" s="622"/>
      <c r="C128" s="622"/>
      <c r="D128" s="622"/>
    </row>
    <row r="129" spans="1:4">
      <c r="A129" s="622" t="s">
        <v>462</v>
      </c>
      <c r="B129" s="622"/>
      <c r="C129" s="622"/>
      <c r="D129" s="622"/>
    </row>
    <row r="130" spans="1:4">
      <c r="A130" s="622" t="s">
        <v>463</v>
      </c>
      <c r="B130" s="622"/>
      <c r="C130" s="622"/>
      <c r="D130" s="622"/>
    </row>
    <row r="131" spans="1:4">
      <c r="A131" s="622" t="s">
        <v>464</v>
      </c>
      <c r="B131" s="622"/>
      <c r="C131" s="622"/>
      <c r="D131" s="622"/>
    </row>
    <row r="132" spans="1:4">
      <c r="A132" s="622"/>
      <c r="B132" s="622"/>
      <c r="C132" s="622"/>
      <c r="D132" s="622"/>
    </row>
    <row r="133" spans="1:4">
      <c r="A133" s="622"/>
      <c r="B133" s="622"/>
      <c r="C133" s="622"/>
      <c r="D133" s="622"/>
    </row>
    <row r="134" spans="1:4">
      <c r="A134" s="622"/>
      <c r="B134" s="622"/>
      <c r="C134" s="622"/>
      <c r="D134" s="622"/>
    </row>
    <row r="135" spans="1:4">
      <c r="A135" s="622" t="s">
        <v>278</v>
      </c>
      <c r="B135" s="622"/>
      <c r="C135" s="622"/>
      <c r="D135" s="622"/>
    </row>
    <row r="136" spans="1:4">
      <c r="A136" s="622" t="s">
        <v>465</v>
      </c>
      <c r="B136" s="622" t="s">
        <v>466</v>
      </c>
      <c r="C136" s="622"/>
      <c r="D136" s="622"/>
    </row>
    <row r="137" spans="1:4">
      <c r="A137" s="622"/>
      <c r="B137" s="622"/>
      <c r="C137" s="622"/>
      <c r="D137" s="622"/>
    </row>
    <row r="138" spans="1:4">
      <c r="A138" s="622" t="s">
        <v>467</v>
      </c>
      <c r="B138" s="622" t="s">
        <v>468</v>
      </c>
      <c r="C138" s="622" t="s">
        <v>469</v>
      </c>
      <c r="D138" s="622"/>
    </row>
    <row r="139" spans="1:4">
      <c r="A139" s="622"/>
      <c r="B139" s="622"/>
      <c r="C139" s="622"/>
      <c r="D139" s="622"/>
    </row>
    <row r="140" spans="1:4">
      <c r="A140" s="622"/>
      <c r="B140" s="622"/>
      <c r="C140" s="622"/>
      <c r="D140" s="622"/>
    </row>
    <row r="141" spans="1:4">
      <c r="A141" s="622" t="s">
        <v>470</v>
      </c>
      <c r="B141" s="622"/>
      <c r="C141" s="622"/>
      <c r="D141" s="622"/>
    </row>
    <row r="142" spans="1:4">
      <c r="A142" s="622" t="s">
        <v>471</v>
      </c>
      <c r="B142" s="622"/>
      <c r="C142" s="622"/>
      <c r="D142" s="622"/>
    </row>
    <row r="143" spans="1:4">
      <c r="A143" s="622" t="s">
        <v>472</v>
      </c>
      <c r="B143" s="622"/>
      <c r="C143" s="622"/>
      <c r="D143" s="622"/>
    </row>
    <row r="144" spans="1:4">
      <c r="A144" s="622" t="s">
        <v>473</v>
      </c>
      <c r="B144" s="622"/>
      <c r="C144" s="622"/>
      <c r="D144" s="622"/>
    </row>
    <row r="145" spans="1:4">
      <c r="A145" s="622" t="s">
        <v>474</v>
      </c>
      <c r="B145" s="622"/>
      <c r="C145" s="622"/>
      <c r="D145" s="622"/>
    </row>
    <row r="146" spans="1:4">
      <c r="A146" s="622"/>
      <c r="B146" s="622"/>
      <c r="C146" s="622"/>
      <c r="D146" s="622"/>
    </row>
    <row r="147" spans="1:4">
      <c r="A147" s="622"/>
      <c r="B147" s="622"/>
      <c r="C147" s="622"/>
      <c r="D147" s="622"/>
    </row>
    <row r="148" spans="1:4">
      <c r="A148" s="622" t="s">
        <v>360</v>
      </c>
      <c r="B148" s="622"/>
      <c r="C148" s="622"/>
      <c r="D148" s="622"/>
    </row>
    <row r="149" spans="1:4">
      <c r="A149" s="622" t="s">
        <v>475</v>
      </c>
      <c r="B149" s="622"/>
      <c r="C149" s="622"/>
      <c r="D149" s="622"/>
    </row>
    <row r="150" spans="1:4">
      <c r="A150" s="622" t="s">
        <v>476</v>
      </c>
      <c r="B150" s="622"/>
      <c r="C150" s="622"/>
      <c r="D150" s="622"/>
    </row>
    <row r="151" spans="1:4">
      <c r="A151" s="622" t="s">
        <v>477</v>
      </c>
      <c r="B151" s="622"/>
      <c r="C151" s="622"/>
      <c r="D151" s="622"/>
    </row>
    <row r="152" spans="1:4">
      <c r="A152" s="622" t="s">
        <v>478</v>
      </c>
      <c r="B152" s="622"/>
      <c r="C152" s="622"/>
      <c r="D152" s="622"/>
    </row>
    <row r="153" spans="1:4">
      <c r="A153" s="622" t="s">
        <v>479</v>
      </c>
      <c r="B153" s="622"/>
      <c r="C153" s="622"/>
      <c r="D153" s="622"/>
    </row>
    <row r="154" spans="1:4">
      <c r="A154" s="622" t="s">
        <v>480</v>
      </c>
      <c r="B154" s="622"/>
      <c r="C154" s="622"/>
      <c r="D154" s="622"/>
    </row>
    <row r="155" spans="1:4">
      <c r="A155" s="622" t="s">
        <v>481</v>
      </c>
      <c r="B155" s="622"/>
      <c r="C155" s="622"/>
      <c r="D155" s="622"/>
    </row>
    <row r="156" spans="1:4">
      <c r="A156" s="622"/>
      <c r="B156" s="622"/>
      <c r="C156" s="622"/>
      <c r="D156" s="622"/>
    </row>
    <row r="157" spans="1:4">
      <c r="A157" s="622" t="s">
        <v>434</v>
      </c>
      <c r="B157" s="622"/>
      <c r="C157" s="622"/>
      <c r="D157" s="622"/>
    </row>
    <row r="158" spans="1:4">
      <c r="A158" s="622" t="s">
        <v>482</v>
      </c>
      <c r="B158" s="622"/>
      <c r="C158" s="622"/>
      <c r="D158" s="622"/>
    </row>
    <row r="159" spans="1:4">
      <c r="A159" s="622" t="s">
        <v>483</v>
      </c>
      <c r="B159" s="622"/>
      <c r="C159" s="622"/>
      <c r="D159" s="622"/>
    </row>
    <row r="160" spans="1:4">
      <c r="A160" s="622" t="s">
        <v>452</v>
      </c>
      <c r="B160" s="622"/>
      <c r="C160" s="622"/>
      <c r="D160" s="622"/>
    </row>
    <row r="161" spans="1:4">
      <c r="A161" s="622" t="s">
        <v>471</v>
      </c>
      <c r="B161" s="622"/>
      <c r="C161" s="622"/>
      <c r="D161" s="622"/>
    </row>
    <row r="162" spans="1:4">
      <c r="A162" s="622" t="s">
        <v>472</v>
      </c>
      <c r="B162" s="622"/>
      <c r="C162" s="622"/>
      <c r="D162" s="622"/>
    </row>
    <row r="163" spans="1:4">
      <c r="A163" s="622" t="s">
        <v>484</v>
      </c>
      <c r="B163" s="622"/>
      <c r="C163" s="622"/>
      <c r="D163" s="622"/>
    </row>
    <row r="164" spans="1:4">
      <c r="A164" s="622" t="s">
        <v>485</v>
      </c>
      <c r="B164" s="622"/>
      <c r="C164" s="622"/>
      <c r="D164" s="622"/>
    </row>
    <row r="165" spans="1:4">
      <c r="A165" s="622"/>
      <c r="B165" s="622"/>
      <c r="C165" s="622"/>
      <c r="D165" s="622"/>
    </row>
    <row r="166" spans="1:4">
      <c r="A166" s="622"/>
      <c r="B166" s="622"/>
      <c r="C166" s="622"/>
      <c r="D166" s="622"/>
    </row>
    <row r="167" spans="1:4">
      <c r="A167" s="622" t="s">
        <v>201</v>
      </c>
      <c r="B167" s="622"/>
      <c r="C167" s="622"/>
      <c r="D167" s="622"/>
    </row>
    <row r="168" spans="1:4">
      <c r="A168" s="622" t="s">
        <v>486</v>
      </c>
      <c r="B168" s="622"/>
      <c r="C168" s="622"/>
      <c r="D168" s="622"/>
    </row>
    <row r="169" spans="1:4">
      <c r="A169" s="622" t="s">
        <v>487</v>
      </c>
      <c r="B169" s="622"/>
      <c r="C169" s="622"/>
      <c r="D169" s="622"/>
    </row>
    <row r="170" spans="1:4">
      <c r="A170" s="622" t="s">
        <v>488</v>
      </c>
      <c r="B170" s="622"/>
      <c r="C170" s="622"/>
      <c r="D170" s="622"/>
    </row>
    <row r="171" spans="1:4">
      <c r="A171" s="622" t="s">
        <v>489</v>
      </c>
      <c r="B171" s="622"/>
      <c r="C171" s="622"/>
      <c r="D171" s="622"/>
    </row>
    <row r="172" spans="1:4">
      <c r="A172" s="622" t="s">
        <v>490</v>
      </c>
      <c r="B172" s="622"/>
      <c r="C172" s="622"/>
      <c r="D172" s="622"/>
    </row>
    <row r="173" spans="1:4">
      <c r="A173" s="622"/>
      <c r="B173" s="622"/>
      <c r="C173" s="622"/>
      <c r="D173" s="622"/>
    </row>
    <row r="174" spans="1:4">
      <c r="A174" s="622" t="s">
        <v>491</v>
      </c>
      <c r="B174" s="622"/>
      <c r="C174" s="622"/>
      <c r="D174" s="622"/>
    </row>
    <row r="175" spans="1:4">
      <c r="A175" s="622" t="s">
        <v>492</v>
      </c>
      <c r="B175" s="622"/>
      <c r="C175" s="622"/>
      <c r="D175" s="622"/>
    </row>
    <row r="176" spans="1:4">
      <c r="A176" s="622" t="s">
        <v>493</v>
      </c>
      <c r="B176" s="622"/>
      <c r="C176" s="622"/>
      <c r="D176" s="622"/>
    </row>
    <row r="177" spans="1:4">
      <c r="A177" s="622" t="s">
        <v>494</v>
      </c>
      <c r="B177" s="622"/>
      <c r="C177" s="622"/>
      <c r="D177" s="622"/>
    </row>
    <row r="178" spans="1:4">
      <c r="A178" s="622"/>
      <c r="B178" s="622"/>
      <c r="C178" s="622"/>
      <c r="D178" s="622"/>
    </row>
    <row r="179" spans="1:4">
      <c r="A179" s="622"/>
      <c r="B179" s="622"/>
      <c r="C179" s="622"/>
      <c r="D179" s="622"/>
    </row>
    <row r="180" spans="1:4">
      <c r="A180" s="622"/>
      <c r="B180" s="622"/>
      <c r="C180" s="622"/>
      <c r="D180" s="622"/>
    </row>
  </sheetData>
  <customSheetViews>
    <customSheetView guid="{54A7C567-FA7D-467E-B353-ECB5E61AE756}" state="hidden">
      <selection activeCell="M22" sqref="M22"/>
      <pageMargins left="0" right="0" top="0" bottom="0" header="0" footer="0"/>
      <pageSetup paperSize="9" orientation="portrait" r:id="rId1"/>
    </customSheetView>
  </customSheetViews>
  <mergeCells count="9">
    <mergeCell ref="I2:I9"/>
    <mergeCell ref="H2:H9"/>
    <mergeCell ref="G2:G9"/>
    <mergeCell ref="F3:F9"/>
    <mergeCell ref="A2:A9"/>
    <mergeCell ref="C2:C9"/>
    <mergeCell ref="D2:D9"/>
    <mergeCell ref="E3:E9"/>
    <mergeCell ref="B2:B9"/>
  </mergeCells>
  <phoneticPr fontId="69" type="noConversion"/>
  <pageMargins left="0.7" right="0.7" top="0.75" bottom="0.75" header="0.3" footer="0.3"/>
  <pageSetup paperSize="9" orientation="portrait" r:id="rId2"/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2567-E3B1-4DBB-A885-62952C4D161A}">
  <sheetPr codeName="Feuil12">
    <tabColor theme="5"/>
    <pageSetUpPr autoPageBreaks="0" fitToPage="1"/>
  </sheetPr>
  <dimension ref="B1:O78"/>
  <sheetViews>
    <sheetView tabSelected="1" topLeftCell="A10" zoomScale="85" zoomScaleNormal="85" workbookViewId="0">
      <selection activeCell="K16" sqref="K16"/>
    </sheetView>
  </sheetViews>
  <sheetFormatPr baseColWidth="10" defaultColWidth="11.25" defaultRowHeight="15.75" outlineLevelCol="1"/>
  <cols>
    <col min="1" max="1" width="11.25" style="163"/>
    <col min="2" max="2" width="11.75" style="1236" customWidth="1"/>
    <col min="3" max="3" width="10.5" style="924" customWidth="1"/>
    <col min="4" max="4" width="37.125" style="163" customWidth="1"/>
    <col min="5" max="5" width="41.625" style="163" customWidth="1"/>
    <col min="6" max="6" width="59.75" style="163" customWidth="1" outlineLevel="1"/>
    <col min="7" max="7" width="30.75" style="163" customWidth="1" outlineLevel="1"/>
    <col min="8" max="8" width="19.125" style="163" customWidth="1"/>
    <col min="9" max="9" width="6.25" style="163" customWidth="1"/>
    <col min="10" max="10" width="12.25" style="163" bestFit="1" customWidth="1"/>
    <col min="11" max="11" width="11.25" style="163" customWidth="1" outlineLevel="1"/>
    <col min="12" max="12" width="12.25" style="163" customWidth="1" outlineLevel="1"/>
    <col min="13" max="13" width="15.5" style="163" customWidth="1"/>
    <col min="14" max="14" width="11.25" style="163"/>
    <col min="15" max="15" width="14.5" style="163" customWidth="1" outlineLevel="1"/>
    <col min="16" max="16384" width="11.25" style="163"/>
  </cols>
  <sheetData>
    <row r="1" spans="2:15" ht="40.5" customHeight="1">
      <c r="B1" s="1520" t="s">
        <v>495</v>
      </c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</row>
    <row r="2" spans="2:15" ht="31.5" customHeight="1">
      <c r="B2" s="1519" t="s">
        <v>496</v>
      </c>
      <c r="C2" s="1519"/>
      <c r="D2" s="279" t="str">
        <f>'Outil simplifié'!D4</f>
        <v>Batiment Bluefactory</v>
      </c>
      <c r="E2" s="279"/>
      <c r="F2" s="279"/>
      <c r="G2" s="279"/>
      <c r="H2" s="279"/>
      <c r="I2" s="279" t="s">
        <v>497</v>
      </c>
      <c r="J2" s="279"/>
      <c r="K2" s="279"/>
      <c r="L2" s="279"/>
      <c r="M2" s="1310">
        <f ca="1">'Outil simplifié'!N4</f>
        <v>45385</v>
      </c>
    </row>
    <row r="3" spans="2:15" ht="16.5" thickBot="1">
      <c r="B3" s="1237"/>
      <c r="C3" s="755"/>
      <c r="D3" s="279"/>
      <c r="E3" s="279"/>
      <c r="F3" s="279"/>
      <c r="G3" s="279"/>
      <c r="H3" s="279"/>
      <c r="I3" s="279"/>
      <c r="J3" s="279"/>
      <c r="K3" s="279"/>
      <c r="L3" s="279"/>
      <c r="M3" s="279"/>
    </row>
    <row r="4" spans="2:15" ht="67.5" customHeight="1" thickBot="1">
      <c r="B4" s="1235" t="s">
        <v>498</v>
      </c>
      <c r="C4" s="925" t="s">
        <v>499</v>
      </c>
      <c r="D4" s="792" t="s">
        <v>500</v>
      </c>
      <c r="E4" s="793" t="s">
        <v>501</v>
      </c>
      <c r="F4" s="792" t="s">
        <v>502</v>
      </c>
      <c r="G4" s="794" t="s">
        <v>503</v>
      </c>
      <c r="H4" s="795" t="s">
        <v>504</v>
      </c>
      <c r="I4" s="796" t="s">
        <v>505</v>
      </c>
      <c r="J4" s="791" t="s">
        <v>506</v>
      </c>
      <c r="K4" s="796" t="s">
        <v>507</v>
      </c>
      <c r="L4" s="796" t="s">
        <v>508</v>
      </c>
      <c r="M4" s="797" t="s">
        <v>129</v>
      </c>
      <c r="O4" s="1243" t="s">
        <v>509</v>
      </c>
    </row>
    <row r="5" spans="2:15" ht="15.75" customHeight="1">
      <c r="B5" s="1529" t="s">
        <v>510</v>
      </c>
      <c r="C5" s="1532" t="s">
        <v>511</v>
      </c>
      <c r="D5" s="782" t="s">
        <v>512</v>
      </c>
      <c r="E5" s="725"/>
      <c r="F5" s="782"/>
      <c r="G5" s="726"/>
      <c r="H5" s="727"/>
      <c r="I5" s="728"/>
      <c r="J5" s="729"/>
      <c r="K5" s="729"/>
      <c r="L5" s="728"/>
      <c r="M5" s="734"/>
      <c r="O5" s="734"/>
    </row>
    <row r="6" spans="2:15">
      <c r="B6" s="1530"/>
      <c r="C6" s="1524"/>
      <c r="D6" s="783" t="s">
        <v>513</v>
      </c>
      <c r="E6" s="277" t="str">
        <f>IF(G6=0, F6, G6)</f>
        <v>Aushub / Excavation</v>
      </c>
      <c r="F6" s="783" t="str">
        <f>'Travaux préparatoires'!A4</f>
        <v>Aushub / Excavation</v>
      </c>
      <c r="G6" s="179"/>
      <c r="H6" s="354" t="s">
        <v>514</v>
      </c>
      <c r="I6" s="173" t="s">
        <v>295</v>
      </c>
      <c r="J6" s="765">
        <f>IF(L6=0, K6, L6)</f>
        <v>321.66666666666669</v>
      </c>
      <c r="K6" s="812">
        <f>(Hypothèses!D27*Hypothèses!D4*'Outil simplifié'!D17)+((Hypothèses!F27-Hypothèses!D27)*Hypothèses!D4*'Outil simplifié'!D17)+IF('Outil simplifié'!D23=Liste!B10, Hypothèses!D37,Hypothèses!D38)+1*Hypothèses!D25</f>
        <v>321.66666666666669</v>
      </c>
      <c r="L6" s="816"/>
      <c r="M6" s="920">
        <f>_xlfn.XLOOKUP(D6,Décomposition!D:D,Décomposition!S:S)</f>
        <v>1.9193333333333331</v>
      </c>
      <c r="N6" s="1163"/>
      <c r="O6" s="765">
        <f>_xlfn.XMATCH(D6,Décomposition!D:D)</f>
        <v>5</v>
      </c>
    </row>
    <row r="7" spans="2:15">
      <c r="B7" s="1530"/>
      <c r="C7" s="1524"/>
      <c r="D7" s="783" t="s">
        <v>515</v>
      </c>
      <c r="E7" s="277">
        <f>IF(G7=0, F7, G7)</f>
        <v>0</v>
      </c>
      <c r="F7" s="783">
        <f>IF('Outil simplifié'!D23=Liste!B9,'Travaux préparatoires'!$A$10, 0)</f>
        <v>0</v>
      </c>
      <c r="G7" s="178"/>
      <c r="H7" s="354" t="s">
        <v>516</v>
      </c>
      <c r="I7" s="173" t="s">
        <v>97</v>
      </c>
      <c r="J7" s="765">
        <f>IF(L7=0, K7, L7)</f>
        <v>0</v>
      </c>
      <c r="K7" s="812">
        <f>(Hypothèses!D32*'Outil simplifié'!D17*Hypothèses!D4)+((Hypothèses!D32*'Outil simplifié'!D17*Hypothèses!D4)*20%)</f>
        <v>0</v>
      </c>
      <c r="L7" s="816"/>
      <c r="M7" s="920">
        <f>_xlfn.XLOOKUP(D7,Décomposition!D:D,Décomposition!S:S)</f>
        <v>0</v>
      </c>
      <c r="N7" s="1163"/>
      <c r="O7" s="765">
        <f>_xlfn.XMATCH(D7,Décomposition!D:D)</f>
        <v>8</v>
      </c>
    </row>
    <row r="8" spans="2:15">
      <c r="B8" s="1530"/>
      <c r="C8" s="1524"/>
      <c r="D8" s="783" t="s">
        <v>517</v>
      </c>
      <c r="E8" s="277">
        <f>IF(G8=0, F8, G8)</f>
        <v>0</v>
      </c>
      <c r="F8" s="783">
        <f>IF('Outil simplifié'!D24=Liste!C10,'Travaux préparatoires'!A23, 0)</f>
        <v>0</v>
      </c>
      <c r="G8" s="178"/>
      <c r="H8" s="613" t="s">
        <v>184</v>
      </c>
      <c r="I8" s="173" t="s">
        <v>97</v>
      </c>
      <c r="J8" s="765">
        <f>IF(L8=0, K8, L8)</f>
        <v>321.66666666666669</v>
      </c>
      <c r="K8" s="812">
        <f>IF('Outil simplifié'!D17=0, Hypothèses!D25, Hypothèses!D27)</f>
        <v>321.66666666666669</v>
      </c>
      <c r="L8" s="816"/>
      <c r="M8" s="920">
        <f>_xlfn.XLOOKUP(D8,Décomposition!D:D,Décomposition!S:S)</f>
        <v>0</v>
      </c>
      <c r="N8" s="1163"/>
      <c r="O8" s="765">
        <f>_xlfn.XMATCH(D8,Décomposition!D:D)</f>
        <v>10</v>
      </c>
    </row>
    <row r="9" spans="2:15" ht="16.5" thickBot="1">
      <c r="B9" s="1531"/>
      <c r="C9" s="1533"/>
      <c r="D9" s="785" t="s">
        <v>518</v>
      </c>
      <c r="E9" s="278" t="str">
        <f>IF(G9=0, F9, G9)</f>
        <v>Remblai</v>
      </c>
      <c r="F9" s="1307" t="s">
        <v>519</v>
      </c>
      <c r="G9" s="941"/>
      <c r="H9" s="821" t="s">
        <v>514</v>
      </c>
      <c r="I9" s="731" t="s">
        <v>295</v>
      </c>
      <c r="J9" s="766">
        <f>IF(L9=0, K9, L9)</f>
        <v>160.83333333333334</v>
      </c>
      <c r="K9" s="820">
        <f>IF('Outil simplifié'!D23=Liste!B10, Hypothèses!D37,Hypothèses!D38)+0.5*Hypothèses!D28</f>
        <v>160.83333333333334</v>
      </c>
      <c r="L9" s="817"/>
      <c r="M9" s="920">
        <f>_xlfn.XLOOKUP(D9,Décomposition!D:D,Décomposition!S:S)</f>
        <v>7.2166666666666671E-2</v>
      </c>
      <c r="N9" s="1163"/>
      <c r="O9" s="766">
        <f>_xlfn.XMATCH(D9,Décomposition!D:D)</f>
        <v>12</v>
      </c>
    </row>
    <row r="10" spans="2:15">
      <c r="B10" s="1530" t="s">
        <v>520</v>
      </c>
      <c r="C10" s="1523" t="s">
        <v>521</v>
      </c>
      <c r="D10" s="787" t="s">
        <v>522</v>
      </c>
      <c r="E10" s="757"/>
      <c r="F10" s="787"/>
      <c r="G10" s="292"/>
      <c r="H10" s="758"/>
      <c r="I10" s="756"/>
      <c r="J10" s="770"/>
      <c r="K10" s="759"/>
      <c r="L10" s="756"/>
      <c r="M10" s="757"/>
      <c r="N10" s="1163"/>
      <c r="O10" s="1244">
        <f>_xlfn.XMATCH(D10,Décomposition!D:D)</f>
        <v>14</v>
      </c>
    </row>
    <row r="11" spans="2:15">
      <c r="B11" s="1530"/>
      <c r="C11" s="1524"/>
      <c r="D11" s="783" t="s">
        <v>523</v>
      </c>
      <c r="E11" s="277" t="str">
        <f>IF(G11=0, F11, G11)</f>
        <v>non-isolés</v>
      </c>
      <c r="F11" s="783" t="str">
        <f>'Enveloppe du bâtiment sout.'!A4</f>
        <v>non-isolés</v>
      </c>
      <c r="G11" s="760"/>
      <c r="H11" s="354" t="s">
        <v>516</v>
      </c>
      <c r="I11" s="173" t="s">
        <v>97</v>
      </c>
      <c r="J11" s="765">
        <f>IF(L11=0, K11, L11)</f>
        <v>153.68518518518516</v>
      </c>
      <c r="K11" s="812">
        <f>Hypothèses!D32+'Outil détaillé'!J31/'Outil simplifié'!D13/Hypothèses!D4</f>
        <v>153.68518518518516</v>
      </c>
      <c r="L11" s="816"/>
      <c r="M11" s="920">
        <f ca="1">_xlfn.XLOOKUP(D11,Décomposition!D:D,Décomposition!S:S)</f>
        <v>16.427158129275771</v>
      </c>
      <c r="N11" s="1163"/>
      <c r="O11" s="765">
        <f>_xlfn.XMATCH(D11,Décomposition!D:D)</f>
        <v>15</v>
      </c>
    </row>
    <row r="12" spans="2:15">
      <c r="B12" s="1530"/>
      <c r="C12" s="1524"/>
      <c r="D12" s="783" t="s">
        <v>524</v>
      </c>
      <c r="E12" s="277" t="str">
        <f>IF(G12=0, F12, G12)</f>
        <v>non-isolés</v>
      </c>
      <c r="F12" s="1308" t="str">
        <f>'Outil simplifié'!$D$25</f>
        <v>non-isolés</v>
      </c>
      <c r="G12" s="181"/>
      <c r="H12" s="354" t="s">
        <v>516</v>
      </c>
      <c r="I12" s="173" t="s">
        <v>97</v>
      </c>
      <c r="J12" s="765">
        <f>IF(L12=0, K12, L12)</f>
        <v>321.66666666666669</v>
      </c>
      <c r="K12" s="812">
        <f>Hypothèses!D28</f>
        <v>321.66666666666669</v>
      </c>
      <c r="L12" s="816"/>
      <c r="M12" s="920">
        <f ca="1">_xlfn.XLOOKUP(D12,Décomposition!D:D,Décomposition!S:S)</f>
        <v>34.382423991507437</v>
      </c>
      <c r="N12" s="1163"/>
      <c r="O12" s="765">
        <f>_xlfn.XMATCH(D12,Décomposition!D:D)</f>
        <v>23</v>
      </c>
    </row>
    <row r="13" spans="2:15">
      <c r="B13" s="1530"/>
      <c r="C13" s="1524" t="s">
        <v>525</v>
      </c>
      <c r="D13" s="784" t="s">
        <v>526</v>
      </c>
      <c r="E13" s="276"/>
      <c r="F13" s="784"/>
      <c r="G13" s="177"/>
      <c r="H13" s="176"/>
      <c r="I13" s="175"/>
      <c r="J13" s="768"/>
      <c r="K13" s="611"/>
      <c r="L13" s="175"/>
      <c r="M13" s="276"/>
      <c r="N13" s="1163"/>
      <c r="O13" s="1245">
        <f>_xlfn.XMATCH(D13,Décomposition!D:D)</f>
        <v>31</v>
      </c>
    </row>
    <row r="14" spans="2:15">
      <c r="B14" s="1530"/>
      <c r="C14" s="1524"/>
      <c r="D14" s="783" t="s">
        <v>527</v>
      </c>
      <c r="E14" s="277" t="str">
        <f>IF(G14=0, F14, G14)</f>
        <v>non-isolés</v>
      </c>
      <c r="F14" s="783" t="str">
        <f>'Outil simplifié'!$D$25</f>
        <v>non-isolés</v>
      </c>
      <c r="G14" s="178"/>
      <c r="H14" s="354" t="s">
        <v>516</v>
      </c>
      <c r="I14" s="173" t="s">
        <v>97</v>
      </c>
      <c r="J14" s="765">
        <f>IF(L14=0, K14, L14)</f>
        <v>0</v>
      </c>
      <c r="K14" s="812">
        <f>Hypothèses!D32*'Outil simplifié'!D17*Hypothèses!D4</f>
        <v>0</v>
      </c>
      <c r="L14" s="816"/>
      <c r="M14" s="920">
        <f ca="1">_xlfn.XLOOKUP(D14,Décomposition!D:D,Décomposition!S:S)</f>
        <v>0</v>
      </c>
      <c r="N14" s="1163"/>
      <c r="O14" s="765">
        <f>_xlfn.XMATCH(D14,Décomposition!D:D)</f>
        <v>32</v>
      </c>
    </row>
    <row r="15" spans="2:15">
      <c r="B15" s="1530"/>
      <c r="C15" s="1524" t="s">
        <v>528</v>
      </c>
      <c r="D15" s="784" t="s">
        <v>529</v>
      </c>
      <c r="E15" s="276"/>
      <c r="F15" s="784"/>
      <c r="G15" s="177"/>
      <c r="H15" s="176"/>
      <c r="I15" s="175"/>
      <c r="J15" s="768"/>
      <c r="K15" s="611"/>
      <c r="L15" s="175"/>
      <c r="M15" s="276"/>
      <c r="N15" s="1163"/>
      <c r="O15" s="1245">
        <f>_xlfn.XMATCH(D15,Décomposition!D:D)</f>
        <v>41</v>
      </c>
    </row>
    <row r="16" spans="2:15" ht="16.5" thickBot="1">
      <c r="B16" s="1530"/>
      <c r="C16" s="1521"/>
      <c r="D16" s="819" t="s">
        <v>530</v>
      </c>
      <c r="E16" s="789" t="str">
        <f>IF(G16=0, F16, G16)</f>
        <v>non-isolés</v>
      </c>
      <c r="F16" s="819" t="str">
        <f>'Outil simplifié'!$D$25</f>
        <v>non-isolés</v>
      </c>
      <c r="G16" s="287"/>
      <c r="H16" s="790" t="s">
        <v>516</v>
      </c>
      <c r="I16" s="721" t="s">
        <v>97</v>
      </c>
      <c r="J16" s="772">
        <f>IF(L16=0, K16, L16)</f>
        <v>0</v>
      </c>
      <c r="K16" s="813">
        <f>IF((Hypothèses!D27-'Outil détaillé'!K35)&gt;0,Hypothèses!D27-'Outil détaillé'!K35, 0)</f>
        <v>0</v>
      </c>
      <c r="L16" s="818"/>
      <c r="M16" s="920">
        <f ca="1">_xlfn.XLOOKUP(D16,Décomposition!D:D,Décomposition!S:S)</f>
        <v>0</v>
      </c>
      <c r="N16" s="1163"/>
      <c r="O16" s="772">
        <f>_xlfn.XMATCH(D16,Décomposition!D:D)</f>
        <v>42</v>
      </c>
    </row>
    <row r="17" spans="2:15" ht="15.75" customHeight="1">
      <c r="B17" s="1525" t="s">
        <v>531</v>
      </c>
      <c r="C17" s="1532" t="s">
        <v>532</v>
      </c>
      <c r="D17" s="782" t="s">
        <v>533</v>
      </c>
      <c r="E17" s="725"/>
      <c r="F17" s="782"/>
      <c r="G17" s="726"/>
      <c r="H17" s="727"/>
      <c r="I17" s="724"/>
      <c r="J17" s="767"/>
      <c r="K17" s="730"/>
      <c r="L17" s="724"/>
      <c r="M17" s="725"/>
      <c r="N17" s="1163"/>
      <c r="O17" s="1246">
        <f>_xlfn.XMATCH(D17,Décomposition!D:D)</f>
        <v>53</v>
      </c>
    </row>
    <row r="18" spans="2:15">
      <c r="B18" s="1526"/>
      <c r="C18" s="1524"/>
      <c r="D18" s="783" t="s">
        <v>534</v>
      </c>
      <c r="E18" s="277" t="str">
        <f>IF(G18=0, F18, G18)</f>
        <v>Paroi en bois</v>
      </c>
      <c r="F18" s="783" t="str">
        <f>IF(ISBLANK('Outil simplifié'!D28),'Outil simplifié'!C28,'Outil simplifié'!D28)</f>
        <v>Paroi en bois</v>
      </c>
      <c r="G18" s="178"/>
      <c r="H18" s="354" t="s">
        <v>516</v>
      </c>
      <c r="I18" s="173" t="s">
        <v>97</v>
      </c>
      <c r="J18" s="765">
        <f>IF(L18=0, K18, L18)</f>
        <v>827.64833333333331</v>
      </c>
      <c r="K18" s="812">
        <f>Hypothèses!D29-Hypothèses!D26</f>
        <v>827.64833333333331</v>
      </c>
      <c r="L18" s="816"/>
      <c r="M18" s="920">
        <f ca="1">_xlfn.XLOOKUP(D18,Décomposition!D:D,Décomposition!S:S)</f>
        <v>5.3826302333333338</v>
      </c>
      <c r="N18" s="1163"/>
      <c r="O18" s="765">
        <f>_xlfn.XMATCH(D18,Décomposition!D:D)</f>
        <v>54</v>
      </c>
    </row>
    <row r="19" spans="2:15">
      <c r="B19" s="1526"/>
      <c r="C19" s="1521" t="s">
        <v>535</v>
      </c>
      <c r="D19" s="784" t="s">
        <v>536</v>
      </c>
      <c r="E19" s="276"/>
      <c r="F19" s="784"/>
      <c r="G19" s="177"/>
      <c r="H19" s="176"/>
      <c r="I19" s="175"/>
      <c r="J19" s="768"/>
      <c r="K19" s="611"/>
      <c r="L19" s="175"/>
      <c r="M19" s="276"/>
      <c r="N19" s="1163"/>
      <c r="O19" s="1245">
        <f>_xlfn.XMATCH(D19,Décomposition!D:D)</f>
        <v>61</v>
      </c>
    </row>
    <row r="20" spans="2:15">
      <c r="B20" s="1526"/>
      <c r="C20" s="1522"/>
      <c r="D20" s="783" t="s">
        <v>537</v>
      </c>
      <c r="E20" s="277" t="str">
        <f>IF(G20=0, F20, G20)</f>
        <v>Revêtement bois ventilé</v>
      </c>
      <c r="F20" s="1309" t="str">
        <f>IF(ISBLANK('Outil simplifié'!D29),'Outil simplifié'!C29,'Outil simplifié'!D29)</f>
        <v>Revêtement bois ventilé</v>
      </c>
      <c r="G20" s="178"/>
      <c r="H20" s="354" t="s">
        <v>516</v>
      </c>
      <c r="I20" s="173" t="s">
        <v>97</v>
      </c>
      <c r="J20" s="765">
        <f>IF(L20=0, K20, L20)</f>
        <v>827.64833333333331</v>
      </c>
      <c r="K20" s="812">
        <f>K18</f>
        <v>827.64833333333331</v>
      </c>
      <c r="L20" s="816"/>
      <c r="M20" s="920">
        <f ca="1">_xlfn.XLOOKUP(D20,Décomposition!D:D,Décomposition!S:S)</f>
        <v>18.069336435985669</v>
      </c>
      <c r="N20" s="1163"/>
      <c r="O20" s="765">
        <f>_xlfn.XMATCH(D20,Décomposition!D:D)</f>
        <v>62</v>
      </c>
    </row>
    <row r="21" spans="2:15">
      <c r="B21" s="1526"/>
      <c r="C21" s="1523"/>
      <c r="D21" s="783" t="s">
        <v>538</v>
      </c>
      <c r="E21" s="277" t="str">
        <f>IF(G21=0, F21, G21)</f>
        <v>Laine de roche</v>
      </c>
      <c r="F21" s="783" t="str">
        <f>IF(ISBLANK('Outil simplifié'!D30),'Outil simplifié'!C30,'Outil simplifié'!D30)</f>
        <v>Laine de roche</v>
      </c>
      <c r="G21" s="178"/>
      <c r="H21" s="354" t="s">
        <v>516</v>
      </c>
      <c r="I21" s="173" t="s">
        <v>97</v>
      </c>
      <c r="J21" s="765">
        <f>IF(L21=0, K21, L21)</f>
        <v>827.64833333333331</v>
      </c>
      <c r="K21" s="1315">
        <f>IF(E20='Enveloppe du bâtiment hors terr'!A77,0,K20)</f>
        <v>827.64833333333331</v>
      </c>
      <c r="L21" s="816"/>
      <c r="M21" s="920">
        <f ca="1">_xlfn.XLOOKUP(D21,Décomposition!D:D,Décomposition!S:S)</f>
        <v>21.541073663999995</v>
      </c>
      <c r="N21" s="1163"/>
      <c r="O21" s="765">
        <f>_xlfn.XMATCH(D21,Décomposition!D:D)</f>
        <v>71</v>
      </c>
    </row>
    <row r="22" spans="2:15">
      <c r="B22" s="1526"/>
      <c r="C22" s="1524" t="s">
        <v>539</v>
      </c>
      <c r="D22" s="784" t="s">
        <v>540</v>
      </c>
      <c r="E22" s="276"/>
      <c r="F22" s="784"/>
      <c r="G22" s="177"/>
      <c r="H22" s="176"/>
      <c r="I22" s="175"/>
      <c r="J22" s="768"/>
      <c r="K22" s="611"/>
      <c r="L22" s="175"/>
      <c r="M22" s="276"/>
      <c r="N22" s="1163"/>
      <c r="O22" s="1245">
        <f>_xlfn.XMATCH(D22,Décomposition!D:D)</f>
        <v>75</v>
      </c>
    </row>
    <row r="23" spans="2:15">
      <c r="B23" s="1526"/>
      <c r="C23" s="1524"/>
      <c r="D23" s="783" t="s">
        <v>272</v>
      </c>
      <c r="E23" s="277" t="str">
        <f>IF(G23=0, F23, G23)</f>
        <v>Triple vitrage isolant, cadre bois y c. protection solaire</v>
      </c>
      <c r="F23" s="783" t="str">
        <f>IF('Outil simplifié'!D27=Liste!A16,Liste!C45,Liste!C47)</f>
        <v>Triple vitrage isolant, cadre bois y c. protection solaire</v>
      </c>
      <c r="G23" s="181"/>
      <c r="H23" s="354" t="s">
        <v>516</v>
      </c>
      <c r="I23" s="173" t="s">
        <v>97</v>
      </c>
      <c r="J23" s="765">
        <f>IF(L23=0, K23, L23)</f>
        <v>169.51833333333335</v>
      </c>
      <c r="K23" s="812">
        <f>Hypothèses!D26</f>
        <v>169.51833333333335</v>
      </c>
      <c r="L23" s="816"/>
      <c r="M23" s="920">
        <f ca="1">_xlfn.XLOOKUP(D23,Décomposition!D:D,Décomposition!S:S)</f>
        <v>52.364125333333334</v>
      </c>
      <c r="N23" s="1163"/>
      <c r="O23" s="765">
        <f>_xlfn.XMATCH(D23,Décomposition!D:D)</f>
        <v>76</v>
      </c>
    </row>
    <row r="24" spans="2:15">
      <c r="B24" s="1526"/>
      <c r="C24" s="1524"/>
      <c r="D24" s="783" t="s">
        <v>541</v>
      </c>
      <c r="E24" s="277" t="str">
        <f>IF(G24=0, F24, G24)</f>
        <v>Porte extérieure</v>
      </c>
      <c r="F24" s="783" t="str">
        <f>'Enveloppe du bâtiment hors terr'!A115</f>
        <v>Porte extérieure</v>
      </c>
      <c r="G24" s="181"/>
      <c r="H24" s="354" t="s">
        <v>516</v>
      </c>
      <c r="I24" s="173" t="s">
        <v>97</v>
      </c>
      <c r="J24" s="765">
        <f>IF(L24=0, K24, L24)</f>
        <v>2.1</v>
      </c>
      <c r="K24" s="812">
        <f>2.1*1</f>
        <v>2.1</v>
      </c>
      <c r="L24" s="816"/>
      <c r="M24" s="920">
        <f ca="1">_xlfn.XLOOKUP(D24,Décomposition!D:D,Décomposition!S:S)</f>
        <v>0.93923316062176165</v>
      </c>
      <c r="N24" s="1163"/>
      <c r="O24" s="765">
        <f>_xlfn.XMATCH(D24,Décomposition!D:D)</f>
        <v>81</v>
      </c>
    </row>
    <row r="25" spans="2:15">
      <c r="B25" s="1526"/>
      <c r="C25" s="1524" t="s">
        <v>542</v>
      </c>
      <c r="D25" s="784" t="s">
        <v>543</v>
      </c>
      <c r="E25" s="276"/>
      <c r="F25" s="784"/>
      <c r="G25" s="177"/>
      <c r="H25" s="176"/>
      <c r="I25" s="175"/>
      <c r="J25" s="768"/>
      <c r="K25" s="611"/>
      <c r="L25" s="175"/>
      <c r="M25" s="276"/>
      <c r="N25" s="1163"/>
      <c r="O25" s="1245">
        <f>_xlfn.XMATCH(D25,Décomposition!D:D)</f>
        <v>86</v>
      </c>
    </row>
    <row r="26" spans="2:15">
      <c r="B26" s="1526"/>
      <c r="C26" s="1524"/>
      <c r="D26" s="783" t="s">
        <v>544</v>
      </c>
      <c r="E26" s="277" t="str">
        <f>IF(G26=0, F26, G26)</f>
        <v>Plafond en bois massif</v>
      </c>
      <c r="F26" s="783" t="str">
        <f>IF(ISBLANK('Outil simplifié'!D31),'Outil simplifié'!C31,'Outil simplifié'!D31)</f>
        <v>Plafond en bois massif</v>
      </c>
      <c r="G26" s="181"/>
      <c r="H26" s="354" t="s">
        <v>516</v>
      </c>
      <c r="I26" s="173" t="s">
        <v>97</v>
      </c>
      <c r="J26" s="765">
        <f>IF(L26=0, K26, L26)</f>
        <v>321.66666666666669</v>
      </c>
      <c r="K26" s="812">
        <f>Hypothèses!D25</f>
        <v>321.66666666666669</v>
      </c>
      <c r="L26" s="816"/>
      <c r="M26" s="920">
        <f ca="1">_xlfn.XLOOKUP(D26,Décomposition!D:D,Décomposition!S:S)</f>
        <v>7.6379233333333332</v>
      </c>
      <c r="N26" s="1163"/>
      <c r="O26" s="765">
        <f>_xlfn.XMATCH(D26,Décomposition!D:D)</f>
        <v>87</v>
      </c>
    </row>
    <row r="27" spans="2:15">
      <c r="B27" s="1526"/>
      <c r="C27" s="1521" t="s">
        <v>545</v>
      </c>
      <c r="D27" s="784" t="s">
        <v>546</v>
      </c>
      <c r="E27" s="276"/>
      <c r="F27" s="784"/>
      <c r="G27" s="177"/>
      <c r="H27" s="176"/>
      <c r="I27" s="175"/>
      <c r="J27" s="768"/>
      <c r="K27" s="611"/>
      <c r="L27" s="175"/>
      <c r="M27" s="276"/>
      <c r="N27" s="1163"/>
      <c r="O27" s="1245">
        <f>_xlfn.XMATCH(D27,Décomposition!D:D)</f>
        <v>95</v>
      </c>
    </row>
    <row r="28" spans="2:15">
      <c r="B28" s="1526"/>
      <c r="C28" s="1522"/>
      <c r="D28" s="819" t="s">
        <v>547</v>
      </c>
      <c r="E28" s="277" t="str">
        <f>IF(G28=0, F28, G28)</f>
        <v>Toiture inclinée</v>
      </c>
      <c r="F28" s="783" t="str">
        <f>IF(ISBLANK('Outil simplifié'!D32),'Outil simplifié'!C32,'Outil simplifié'!D32)</f>
        <v>Toiture inclinée</v>
      </c>
      <c r="G28" s="600"/>
      <c r="H28" s="790" t="s">
        <v>516</v>
      </c>
      <c r="I28" s="721" t="s">
        <v>97</v>
      </c>
      <c r="J28" s="772">
        <f>IF(L28=0, K28, L28)</f>
        <v>371.42867317865921</v>
      </c>
      <c r="K28" s="813">
        <f>IF('Outil simplifié'!D32=Liste!G16,K26,K26/COS(PI()/6))</f>
        <v>371.42867317865921</v>
      </c>
      <c r="L28" s="818"/>
      <c r="M28" s="920">
        <f ca="1">_xlfn.XLOOKUP(D28,Décomposition!D:D,Décomposition!S:S)</f>
        <v>17.120167132671277</v>
      </c>
      <c r="N28" s="1163"/>
      <c r="O28" s="772">
        <f>_xlfn.XMATCH(D28,Décomposition!D:D)</f>
        <v>96</v>
      </c>
    </row>
    <row r="29" spans="2:15" ht="16.5" thickBot="1">
      <c r="B29" s="1527"/>
      <c r="C29" s="1528"/>
      <c r="D29" s="731" t="str">
        <f>E28&amp; + " isolant"</f>
        <v>Toiture inclinée isolant</v>
      </c>
      <c r="E29" s="277" t="str">
        <f>IF(G29=0, F29, G29)</f>
        <v>Laine de roche</v>
      </c>
      <c r="F29" s="783" t="str">
        <f>IF(ISBLANK('Outil simplifié'!D33),'Outil simplifié'!C33,'Outil simplifié'!D33)</f>
        <v>Laine de roche</v>
      </c>
      <c r="G29" s="1157"/>
      <c r="H29" s="790" t="s">
        <v>516</v>
      </c>
      <c r="I29" s="721" t="s">
        <v>97</v>
      </c>
      <c r="J29" s="772">
        <f>IF(L29=0, K29, L29)</f>
        <v>371.42867317865921</v>
      </c>
      <c r="K29" s="1292">
        <f>IF(ISERROR(FIND("non", E28)), K28, 0)</f>
        <v>371.42867317865921</v>
      </c>
      <c r="L29" s="704"/>
      <c r="M29" s="920">
        <f ca="1">_xlfn.XLOOKUP(D29,Décomposition!D:D,Décomposition!S:S)</f>
        <v>23.069253988042174</v>
      </c>
      <c r="N29" s="1163"/>
      <c r="O29" s="772">
        <f>_xlfn.XMATCH(D29,Décomposition!D:D)</f>
        <v>106</v>
      </c>
    </row>
    <row r="30" spans="2:15" ht="15.75" customHeight="1">
      <c r="B30" s="1525" t="s">
        <v>548</v>
      </c>
      <c r="C30" s="1532" t="s">
        <v>549</v>
      </c>
      <c r="D30" s="782" t="s">
        <v>550</v>
      </c>
      <c r="E30" s="725"/>
      <c r="F30" s="782"/>
      <c r="G30" s="726"/>
      <c r="H30" s="727"/>
      <c r="I30" s="724"/>
      <c r="J30" s="767"/>
      <c r="K30" s="730"/>
      <c r="L30" s="724"/>
      <c r="M30" s="725"/>
      <c r="N30" s="1163"/>
      <c r="O30" s="1246">
        <f>_xlfn.XMATCH(D30,Décomposition!D:D)</f>
        <v>109</v>
      </c>
    </row>
    <row r="31" spans="2:15">
      <c r="B31" s="1526"/>
      <c r="C31" s="1524"/>
      <c r="D31" s="783" t="s">
        <v>551</v>
      </c>
      <c r="E31" s="277" t="str">
        <f>IF(G31=0, F31, G31)</f>
        <v>Paroi CLT</v>
      </c>
      <c r="F31" s="783" t="str">
        <f>IF(ISBLANK('Outil simplifié'!D35),'Outil simplifié'!C35,'Outil simplifié'!D35)</f>
        <v>Paroi CLT</v>
      </c>
      <c r="G31" s="178"/>
      <c r="H31" s="596" t="s">
        <v>516</v>
      </c>
      <c r="I31" s="174" t="s">
        <v>97</v>
      </c>
      <c r="J31" s="765">
        <f>IF(L31=0, K31, L31)</f>
        <v>386</v>
      </c>
      <c r="K31" s="814">
        <f>Hypothèses!D6*'Outil simplifié'!D12</f>
        <v>386</v>
      </c>
      <c r="L31" s="816"/>
      <c r="M31" s="920">
        <f ca="1">_xlfn.XLOOKUP(D31,Décomposition!D:D,Décomposition!S:S)</f>
        <v>15.45619104</v>
      </c>
      <c r="N31" s="1163"/>
      <c r="O31" s="765">
        <f>_xlfn.XMATCH(D31,Décomposition!D:D)</f>
        <v>110</v>
      </c>
    </row>
    <row r="32" spans="2:15">
      <c r="B32" s="1526"/>
      <c r="C32" s="1524"/>
      <c r="D32" s="783" t="s">
        <v>552</v>
      </c>
      <c r="E32" s="277" t="str">
        <f>IF(G32=0, F32, G32)</f>
        <v>Paroi placoplatre</v>
      </c>
      <c r="F32" s="783" t="str">
        <f>'Eléments de constr. inté. et ex'!A30</f>
        <v>Paroi placoplatre</v>
      </c>
      <c r="G32" s="178"/>
      <c r="H32" s="596" t="s">
        <v>516</v>
      </c>
      <c r="I32" s="174" t="s">
        <v>97</v>
      </c>
      <c r="J32" s="765">
        <f>IF(L32=0, K32, L32)</f>
        <v>386</v>
      </c>
      <c r="K32" s="814">
        <f>Hypothèses!D7*'Outil simplifié'!D12</f>
        <v>386</v>
      </c>
      <c r="L32" s="816"/>
      <c r="M32" s="920">
        <f ca="1">_xlfn.XLOOKUP(D32,Décomposition!D:D,Décomposition!S:S)</f>
        <v>24.393970627199998</v>
      </c>
      <c r="N32" s="1163"/>
      <c r="O32" s="765">
        <f>_xlfn.XMATCH(D32,Décomposition!D:D)</f>
        <v>119</v>
      </c>
    </row>
    <row r="33" spans="2:15">
      <c r="B33" s="1526"/>
      <c r="C33" s="1524"/>
      <c r="D33" s="783" t="s">
        <v>3820</v>
      </c>
      <c r="E33" s="277" t="str">
        <f>IF(G33=0, F33, G33)</f>
        <v>Béton</v>
      </c>
      <c r="F33" s="783" t="str">
        <f>'Eléments de constr. inté. et ex'!A5</f>
        <v>Béton</v>
      </c>
      <c r="G33" s="178"/>
      <c r="H33" s="596" t="s">
        <v>516</v>
      </c>
      <c r="I33" s="174" t="s">
        <v>97</v>
      </c>
      <c r="J33" s="765">
        <f>IF(L33=0, K33, L33)</f>
        <v>155.69999999999999</v>
      </c>
      <c r="K33" s="814">
        <f>IF('Outil simplifié'!D13&gt;1,(1.4*3+1.1)*'Outil simplifié'!D13*Hypothèses!D4+Hypothèses!D42,0)</f>
        <v>155.69999999999999</v>
      </c>
      <c r="L33" s="816"/>
      <c r="M33" s="920">
        <f ca="1">_xlfn.XLOOKUP(D33,Décomposition!D:D,Décomposition!S:S)</f>
        <v>10.251408208765387</v>
      </c>
      <c r="N33" s="1163"/>
      <c r="O33" s="765">
        <f>_xlfn.XMATCH(D33,Décomposition!D:D)</f>
        <v>128</v>
      </c>
    </row>
    <row r="34" spans="2:15">
      <c r="B34" s="1526"/>
      <c r="C34" s="1524" t="s">
        <v>553</v>
      </c>
      <c r="D34" s="784" t="s">
        <v>554</v>
      </c>
      <c r="E34" s="276"/>
      <c r="F34" s="784"/>
      <c r="G34" s="177"/>
      <c r="H34" s="176"/>
      <c r="I34" s="175"/>
      <c r="J34" s="768"/>
      <c r="K34" s="611"/>
      <c r="L34" s="175"/>
      <c r="M34" s="276"/>
      <c r="N34" s="1163"/>
      <c r="O34" s="1245">
        <f>_xlfn.XMATCH(D34,Décomposition!D:D)</f>
        <v>134</v>
      </c>
    </row>
    <row r="35" spans="2:15">
      <c r="B35" s="1526"/>
      <c r="C35" s="1524"/>
      <c r="D35" s="783" t="s">
        <v>555</v>
      </c>
      <c r="E35" s="277" t="str">
        <f>IF(G35=0, F35, G35)</f>
        <v>Système mixte bois-béton</v>
      </c>
      <c r="F35" s="783" t="str">
        <f>IF(ISBLANK('Outil simplifié'!D36),'Outil simplifié'!C36,'Outil simplifié'!D36)</f>
        <v>Système mixte bois-béton</v>
      </c>
      <c r="G35" s="178"/>
      <c r="H35" s="354" t="s">
        <v>516</v>
      </c>
      <c r="I35" s="173" t="s">
        <v>97</v>
      </c>
      <c r="J35" s="765">
        <f>IF(L35=0, K35, L35)</f>
        <v>321.66666666666669</v>
      </c>
      <c r="K35" s="812">
        <f>Hypothèses!D25</f>
        <v>321.66666666666669</v>
      </c>
      <c r="L35" s="816"/>
      <c r="M35" s="920">
        <f ca="1">_xlfn.XLOOKUP(D35,Décomposition!D:D,Décomposition!S:S)</f>
        <v>10.389224437367304</v>
      </c>
      <c r="N35" s="1163"/>
      <c r="O35" s="765">
        <f>_xlfn.XMATCH(D35,Décomposition!D:D)</f>
        <v>135</v>
      </c>
    </row>
    <row r="36" spans="2:15">
      <c r="B36" s="1526"/>
      <c r="C36" s="1524"/>
      <c r="D36" s="783" t="s">
        <v>122</v>
      </c>
      <c r="E36" s="277" t="str">
        <f>IF(G36=0, F36, G36)</f>
        <v>Système mixte bois-béton</v>
      </c>
      <c r="F36" s="783" t="str">
        <f>IF(ISBLANK('Outil simplifié'!D36),'Outil simplifié'!C36,'Outil simplifié'!D36)</f>
        <v>Système mixte bois-béton</v>
      </c>
      <c r="G36" s="178"/>
      <c r="H36" s="354" t="s">
        <v>516</v>
      </c>
      <c r="I36" s="173" t="s">
        <v>97</v>
      </c>
      <c r="J36" s="765">
        <f>IF(L36=0, K36, L36)</f>
        <v>643.33333333333337</v>
      </c>
      <c r="K36" s="812">
        <f>Hypothèses!D25*('Outil simplifié'!D13-1)</f>
        <v>643.33333333333337</v>
      </c>
      <c r="L36" s="816"/>
      <c r="M36" s="920">
        <f ca="1">_xlfn.XLOOKUP(D36,Décomposition!D:D,Décomposition!S:S)</f>
        <v>20.778448874734607</v>
      </c>
      <c r="N36" s="1163"/>
      <c r="O36" s="765">
        <f>_xlfn.XMATCH(D36,Décomposition!D:D)</f>
        <v>144</v>
      </c>
    </row>
    <row r="37" spans="2:15">
      <c r="B37" s="1526"/>
      <c r="C37" s="1524"/>
      <c r="D37" s="783" t="s">
        <v>114</v>
      </c>
      <c r="E37" s="277" t="str">
        <f>IF(G37=0, F37, G37)</f>
        <v>Système mixte bois-béton</v>
      </c>
      <c r="F37" s="783" t="str">
        <f>IF(ISBLANK('Outil simplifié'!D36),'Outil simplifié'!C36,'Outil simplifié'!D36)</f>
        <v>Système mixte bois-béton</v>
      </c>
      <c r="G37" s="178"/>
      <c r="H37" s="354" t="s">
        <v>516</v>
      </c>
      <c r="I37" s="173" t="s">
        <v>97</v>
      </c>
      <c r="J37" s="765">
        <f>IF(L37=0, K37, L37)</f>
        <v>0</v>
      </c>
      <c r="K37" s="812">
        <f>IF('Outil simplifié'!D17&gt;1,Hypothèses!D27*( 'Outil simplifié'!D17-1), 0)</f>
        <v>0</v>
      </c>
      <c r="L37" s="816"/>
      <c r="M37" s="920">
        <f ca="1">_xlfn.XLOOKUP(D37,Décomposition!D:D,Décomposition!S:S)</f>
        <v>0</v>
      </c>
      <c r="N37" s="1163"/>
      <c r="O37" s="765">
        <f>_xlfn.XMATCH(D37,Décomposition!D:D)</f>
        <v>153</v>
      </c>
    </row>
    <row r="38" spans="2:15">
      <c r="B38" s="1526"/>
      <c r="C38" s="1524" t="s">
        <v>556</v>
      </c>
      <c r="D38" s="786" t="s">
        <v>557</v>
      </c>
      <c r="E38" s="716"/>
      <c r="F38" s="786"/>
      <c r="G38" s="717"/>
      <c r="H38" s="718"/>
      <c r="I38" s="715"/>
      <c r="J38" s="769"/>
      <c r="K38" s="719"/>
      <c r="L38" s="715"/>
      <c r="M38" s="716"/>
      <c r="N38" s="1163"/>
      <c r="O38" s="1247">
        <f>_xlfn.XMATCH(D38,Décomposition!D:D)</f>
        <v>161</v>
      </c>
    </row>
    <row r="39" spans="2:15">
      <c r="B39" s="1526"/>
      <c r="C39" s="1524"/>
      <c r="D39" s="783" t="s">
        <v>558</v>
      </c>
      <c r="E39" s="277" t="str">
        <f>IF(G39=0, F39, G39)</f>
        <v>Escaliers béton</v>
      </c>
      <c r="F39" s="783" t="str">
        <f>'Eléments de constr. inté. et ex'!A61</f>
        <v>Escaliers béton</v>
      </c>
      <c r="G39" s="178"/>
      <c r="H39" s="354" t="s">
        <v>516</v>
      </c>
      <c r="I39" s="173" t="s">
        <v>97</v>
      </c>
      <c r="J39" s="765">
        <f>IF(L39=0, K39, L39)</f>
        <v>0</v>
      </c>
      <c r="K39" s="812">
        <v>0</v>
      </c>
      <c r="L39" s="816"/>
      <c r="M39" s="920">
        <f ca="1">_xlfn.XLOOKUP(D39,Décomposition!D:D,Décomposition!S:S)</f>
        <v>0</v>
      </c>
      <c r="N39" s="1163"/>
      <c r="O39" s="765">
        <f>_xlfn.XMATCH(D39,Décomposition!D:D)</f>
        <v>162</v>
      </c>
    </row>
    <row r="40" spans="2:15">
      <c r="B40" s="1526"/>
      <c r="C40" s="1524" t="s">
        <v>559</v>
      </c>
      <c r="D40" s="784" t="s">
        <v>560</v>
      </c>
      <c r="E40" s="276"/>
      <c r="F40" s="784"/>
      <c r="G40" s="177"/>
      <c r="H40" s="176"/>
      <c r="I40" s="175"/>
      <c r="J40" s="768"/>
      <c r="K40" s="611"/>
      <c r="L40" s="175"/>
      <c r="M40" s="276"/>
      <c r="N40" s="1163"/>
      <c r="O40" s="1245">
        <f>_xlfn.XMATCH(D40,Décomposition!D:D)</f>
        <v>168</v>
      </c>
    </row>
    <row r="41" spans="2:15">
      <c r="B41" s="1526"/>
      <c r="C41" s="1524"/>
      <c r="D41" s="783" t="s">
        <v>561</v>
      </c>
      <c r="E41" s="277" t="str">
        <f>IF(G41=0, F41, G41)</f>
        <v>Balcons bois y c. dispositifs antichute</v>
      </c>
      <c r="F41" s="783" t="str">
        <f>IF(F35=Liste!C63,Liste!E63,Liste!E64)</f>
        <v>Balcons bois y c. dispositifs antichute</v>
      </c>
      <c r="G41" s="181"/>
      <c r="H41" s="354" t="s">
        <v>516</v>
      </c>
      <c r="I41" s="173" t="s">
        <v>97</v>
      </c>
      <c r="J41" s="765">
        <f>IF(L41=0, K41, L41)</f>
        <v>193</v>
      </c>
      <c r="K41" s="812">
        <f>Hypothèses!$D$8*'Outil simplifié'!D12</f>
        <v>193</v>
      </c>
      <c r="L41" s="816"/>
      <c r="M41" s="920">
        <f ca="1">_xlfn.XLOOKUP(D41,Décomposition!D:D,Décomposition!S:S)</f>
        <v>4.7492419999999997</v>
      </c>
      <c r="N41" s="1163"/>
      <c r="O41" s="765">
        <f>_xlfn.XMATCH(D41,Décomposition!D:D)</f>
        <v>169</v>
      </c>
    </row>
    <row r="42" spans="2:15">
      <c r="B42" s="1526"/>
      <c r="C42" s="1524" t="s">
        <v>562</v>
      </c>
      <c r="D42" s="784" t="s">
        <v>563</v>
      </c>
      <c r="E42" s="276"/>
      <c r="F42" s="784"/>
      <c r="G42" s="177"/>
      <c r="H42" s="175"/>
      <c r="I42" s="175"/>
      <c r="J42" s="768"/>
      <c r="K42" s="611"/>
      <c r="L42" s="175"/>
      <c r="M42" s="276"/>
      <c r="N42" s="1163"/>
      <c r="O42" s="1245">
        <f>_xlfn.XMATCH(D42,Décomposition!D:D)</f>
        <v>178</v>
      </c>
    </row>
    <row r="43" spans="2:15">
      <c r="B43" s="1526"/>
      <c r="C43" s="1524"/>
      <c r="D43" s="822" t="s">
        <v>564</v>
      </c>
      <c r="E43" s="277" t="str">
        <f>IF(G43=0, F43, G43)</f>
        <v>Portes internes</v>
      </c>
      <c r="F43" s="783" t="str">
        <f>'Eléments de constr. inté. et ex'!A83</f>
        <v>Portes internes</v>
      </c>
      <c r="G43" s="179"/>
      <c r="H43" s="354" t="s">
        <v>516</v>
      </c>
      <c r="I43" s="822" t="s">
        <v>97</v>
      </c>
      <c r="J43" s="765">
        <f>IF(L43=0, K43, L43)</f>
        <v>0</v>
      </c>
      <c r="K43" s="173">
        <v>0</v>
      </c>
      <c r="L43" s="816"/>
      <c r="M43" s="920">
        <f ca="1">_xlfn.XLOOKUP(D43,Décomposition!D:D,Décomposition!S:S)</f>
        <v>0</v>
      </c>
      <c r="N43" s="1163"/>
      <c r="O43" s="765">
        <f>_xlfn.XMATCH(D43,Décomposition!D:D)</f>
        <v>179</v>
      </c>
    </row>
    <row r="44" spans="2:15">
      <c r="B44" s="1526"/>
      <c r="C44" s="1521" t="s">
        <v>565</v>
      </c>
      <c r="D44" s="787" t="s">
        <v>566</v>
      </c>
      <c r="E44" s="757"/>
      <c r="F44" s="787"/>
      <c r="G44" s="292"/>
      <c r="H44" s="758"/>
      <c r="I44" s="756"/>
      <c r="J44" s="770"/>
      <c r="K44" s="759"/>
      <c r="L44" s="756"/>
      <c r="M44" s="757"/>
      <c r="N44" s="1163"/>
      <c r="O44" s="1244">
        <f>_xlfn.XMATCH(D44,Décomposition!D:D)</f>
        <v>182</v>
      </c>
    </row>
    <row r="45" spans="2:15">
      <c r="B45" s="1526"/>
      <c r="C45" s="1522"/>
      <c r="D45" s="783" t="s">
        <v>555</v>
      </c>
      <c r="E45" s="277" t="str">
        <f>IF(G45=0, F45, G45)</f>
        <v xml:space="preserve">Revêtement de sol fini mixte </v>
      </c>
      <c r="F45" s="783" t="str">
        <f>'Eléments de constr. inté. et ex'!A101</f>
        <v xml:space="preserve">Revêtement de sol fini mixte </v>
      </c>
      <c r="G45" s="178"/>
      <c r="H45" s="354" t="s">
        <v>516</v>
      </c>
      <c r="I45" s="173" t="s">
        <v>97</v>
      </c>
      <c r="J45" s="765">
        <f>IF(L45=0, K45, L45)</f>
        <v>0</v>
      </c>
      <c r="K45" s="812">
        <f>IF('Outil simplifié'!D17=0, 0, Hypothèses!D25)</f>
        <v>0</v>
      </c>
      <c r="L45" s="816"/>
      <c r="M45" s="920">
        <f ca="1">_xlfn.XLOOKUP(D45,Décomposition!D:D,Décomposition!S:S,0,0,-1)</f>
        <v>0</v>
      </c>
      <c r="N45" s="1163"/>
      <c r="O45" s="765">
        <f>_xlfn.XMATCH(D45,Décomposition!D:D,0,-1)</f>
        <v>183</v>
      </c>
    </row>
    <row r="46" spans="2:15">
      <c r="B46" s="1526"/>
      <c r="C46" s="1522"/>
      <c r="D46" s="783" t="s">
        <v>567</v>
      </c>
      <c r="E46" s="277" t="str">
        <f t="shared" ref="E46:E52" si="0">IF(G46=0, F46, G46)</f>
        <v>Chape ciment</v>
      </c>
      <c r="F46" s="783" t="str">
        <f>'Eléments de constr. inté. et ex'!A108</f>
        <v>Chape ciment</v>
      </c>
      <c r="G46" s="178"/>
      <c r="H46" s="354" t="s">
        <v>516</v>
      </c>
      <c r="I46" s="173" t="s">
        <v>97</v>
      </c>
      <c r="J46" s="765">
        <f t="shared" ref="J46:J50" si="1">IF(L46=0, K46, L46)</f>
        <v>0</v>
      </c>
      <c r="K46" s="812">
        <f>K45</f>
        <v>0</v>
      </c>
      <c r="L46" s="816"/>
      <c r="M46" s="920">
        <f ca="1">_xlfn.XLOOKUP(D46,Décomposition!D:D,Décomposition!S:S,0,0,-1)</f>
        <v>0</v>
      </c>
      <c r="N46" s="1163"/>
      <c r="O46" s="765">
        <f>_xlfn.XMATCH(D46,Décomposition!D:D,0,-1)</f>
        <v>192</v>
      </c>
    </row>
    <row r="47" spans="2:15">
      <c r="B47" s="1526"/>
      <c r="C47" s="1522"/>
      <c r="D47" s="783" t="s">
        <v>122</v>
      </c>
      <c r="E47" s="277" t="str">
        <f t="shared" si="0"/>
        <v xml:space="preserve">Revêtement de sol fini mixte </v>
      </c>
      <c r="F47" s="783" t="str">
        <f>'Eléments de constr. inté. et ex'!A101</f>
        <v xml:space="preserve">Revêtement de sol fini mixte </v>
      </c>
      <c r="G47" s="178"/>
      <c r="H47" s="354" t="s">
        <v>516</v>
      </c>
      <c r="I47" s="173" t="s">
        <v>97</v>
      </c>
      <c r="J47" s="765">
        <f t="shared" si="1"/>
        <v>643.33333333333337</v>
      </c>
      <c r="K47" s="812">
        <f>K36</f>
        <v>643.33333333333337</v>
      </c>
      <c r="L47" s="816"/>
      <c r="M47" s="920">
        <f ca="1">_xlfn.XLOOKUP(D47,Décomposition!D:D,Décomposition!S:S,0,0,-1)</f>
        <v>21.145373333333332</v>
      </c>
      <c r="N47" s="1163"/>
      <c r="O47" s="765">
        <f>_xlfn.XMATCH(D47,Décomposition!D:D,0,-1)</f>
        <v>197</v>
      </c>
    </row>
    <row r="48" spans="2:15">
      <c r="B48" s="1526"/>
      <c r="C48" s="1522"/>
      <c r="D48" s="783" t="s">
        <v>568</v>
      </c>
      <c r="E48" s="277" t="str">
        <f t="shared" si="0"/>
        <v>Chape ciment</v>
      </c>
      <c r="F48" s="783" t="str">
        <f>'Eléments de constr. inté. et ex'!A108</f>
        <v>Chape ciment</v>
      </c>
      <c r="G48" s="178"/>
      <c r="H48" s="354" t="s">
        <v>516</v>
      </c>
      <c r="I48" s="173" t="s">
        <v>97</v>
      </c>
      <c r="J48" s="765">
        <f t="shared" si="1"/>
        <v>643.33333333333337</v>
      </c>
      <c r="K48" s="812">
        <f>K47</f>
        <v>643.33333333333337</v>
      </c>
      <c r="L48" s="816"/>
      <c r="M48" s="920">
        <f ca="1">_xlfn.XLOOKUP(D48,Décomposition!D:D,Décomposition!S:S,0,0,-1)</f>
        <v>0</v>
      </c>
      <c r="N48" s="1163"/>
      <c r="O48" s="765">
        <f>_xlfn.XMATCH(D48,Décomposition!D:D,0,-1)</f>
        <v>206</v>
      </c>
    </row>
    <row r="49" spans="2:15">
      <c r="B49" s="1526"/>
      <c r="C49" s="1522"/>
      <c r="D49" s="783" t="s">
        <v>114</v>
      </c>
      <c r="E49" s="277" t="str">
        <f t="shared" si="0"/>
        <v xml:space="preserve">Revêtement de sol fini mixte </v>
      </c>
      <c r="F49" s="783" t="str">
        <f>'Eléments de constr. inté. et ex'!A101</f>
        <v xml:space="preserve">Revêtement de sol fini mixte </v>
      </c>
      <c r="G49" s="178"/>
      <c r="H49" s="354" t="s">
        <v>516</v>
      </c>
      <c r="I49" s="173" t="s">
        <v>97</v>
      </c>
      <c r="J49" s="765">
        <f t="shared" si="1"/>
        <v>0</v>
      </c>
      <c r="K49" s="812">
        <f>K37</f>
        <v>0</v>
      </c>
      <c r="L49" s="816"/>
      <c r="M49" s="920">
        <f ca="1">_xlfn.XLOOKUP(D49,Décomposition!D:D,Décomposition!S:S,0,0,-1)</f>
        <v>0</v>
      </c>
      <c r="N49" s="1163"/>
      <c r="O49" s="765">
        <f>_xlfn.XMATCH(D49,Décomposition!D:D,0,-1)</f>
        <v>211</v>
      </c>
    </row>
    <row r="50" spans="2:15">
      <c r="B50" s="1526"/>
      <c r="C50" s="1522"/>
      <c r="D50" s="173" t="s">
        <v>569</v>
      </c>
      <c r="E50" s="277" t="str">
        <f t="shared" si="0"/>
        <v>Chape ciment</v>
      </c>
      <c r="F50" s="783" t="str">
        <f>'Eléments de constr. inté. et ex'!A108</f>
        <v>Chape ciment</v>
      </c>
      <c r="G50" s="178"/>
      <c r="H50" s="354" t="s">
        <v>516</v>
      </c>
      <c r="I50" s="173" t="s">
        <v>97</v>
      </c>
      <c r="J50" s="765">
        <f t="shared" si="1"/>
        <v>0</v>
      </c>
      <c r="K50" s="1394">
        <f>K49</f>
        <v>0</v>
      </c>
      <c r="L50" s="816"/>
      <c r="M50" s="920">
        <f ca="1">_xlfn.XLOOKUP(D50,Décomposition!D:D,Décomposition!S:S,0,0,-1)</f>
        <v>0</v>
      </c>
      <c r="N50" s="1163"/>
      <c r="O50" s="765">
        <f>_xlfn.XMATCH(D50,Décomposition!D:D,0,-1)</f>
        <v>220</v>
      </c>
    </row>
    <row r="51" spans="2:15">
      <c r="B51" s="1526"/>
      <c r="C51" s="1522"/>
      <c r="D51" s="1226" t="s">
        <v>570</v>
      </c>
      <c r="E51" s="789" t="str">
        <f t="shared" si="0"/>
        <v>Laine de roche, acoustique</v>
      </c>
      <c r="F51" s="1395" t="str" cm="1">
        <f t="array" ref="F51">_xlfn.SWITCH(F52,Liste!J63,Liste!I63,Liste!J64,Liste!I64,Liste!I65)</f>
        <v>Laine de roche, acoustique</v>
      </c>
      <c r="G51" s="1393"/>
      <c r="H51" s="354" t="s">
        <v>516</v>
      </c>
      <c r="I51" s="173" t="s">
        <v>97</v>
      </c>
      <c r="J51" s="765">
        <f t="shared" ref="J51" si="2">IF(L51=0, K51, L51)</f>
        <v>643.33333333333337</v>
      </c>
      <c r="K51" s="1392">
        <f>K47</f>
        <v>643.33333333333337</v>
      </c>
      <c r="L51" s="816"/>
      <c r="M51" s="920">
        <f ca="1">_xlfn.XLOOKUP(D51,Décomposition!D:D,Décomposition!S:S,0,0,-1)</f>
        <v>0</v>
      </c>
      <c r="N51" s="1163"/>
      <c r="O51" s="765">
        <f>_xlfn.XMATCH(D51,Décomposition!D:D,0,-1)</f>
        <v>225</v>
      </c>
    </row>
    <row r="52" spans="2:15">
      <c r="B52" s="1526"/>
      <c r="C52" s="1522"/>
      <c r="D52" s="1398" t="s">
        <v>571</v>
      </c>
      <c r="E52" s="277" t="str">
        <f t="shared" si="0"/>
        <v>Laine de roche</v>
      </c>
      <c r="F52" s="1396" t="str" cm="1">
        <f t="array" ref="F52">_xlfn.SWITCH(E21,Liste!I45,Liste!J63,Liste!I46,Liste!J65,Liste!I47,Liste!J65,Liste!I48,Liste!J64,Liste!J65)</f>
        <v>Laine de roche</v>
      </c>
      <c r="G52" s="1393"/>
      <c r="H52" s="354" t="s">
        <v>516</v>
      </c>
      <c r="I52" s="173" t="s">
        <v>97</v>
      </c>
      <c r="J52" s="765">
        <f>IF(L52=0, K52, L52)</f>
        <v>321.66666666666669</v>
      </c>
      <c r="K52" s="1397">
        <f>IF('Outil détaillé'!E12=Liste!A9,Hypothèses!D28,0)</f>
        <v>321.66666666666669</v>
      </c>
      <c r="L52" s="816"/>
      <c r="M52" s="920">
        <f ca="1">_xlfn.XLOOKUP(D52,Décomposition!D:D,Décomposition!S:S,0,0,-1)</f>
        <v>14.51628</v>
      </c>
      <c r="O52" s="765">
        <f>_xlfn.XMATCH(D52,Décomposition!D:D,0,-1)</f>
        <v>229</v>
      </c>
    </row>
    <row r="53" spans="2:15">
      <c r="B53" s="1526"/>
      <c r="C53" s="1523"/>
      <c r="D53" s="783" t="s">
        <v>572</v>
      </c>
      <c r="E53" s="277" t="str">
        <f>IF(G53=0, F53, G53)</f>
        <v>Isolant contre terre, XPS</v>
      </c>
      <c r="F53" s="783" t="str">
        <f>'Eléments de constr. inté. et ex'!A150</f>
        <v>Isolant contre terre, XPS</v>
      </c>
      <c r="G53" s="760"/>
      <c r="H53" s="354" t="s">
        <v>516</v>
      </c>
      <c r="I53" s="173" t="s">
        <v>97</v>
      </c>
      <c r="J53" s="765">
        <f>IF(L53=0, K53, L53)</f>
        <v>0</v>
      </c>
      <c r="K53" s="812">
        <v>0</v>
      </c>
      <c r="L53" s="816"/>
      <c r="M53" s="920">
        <f ca="1">_xlfn.XLOOKUP(D53,Décomposition!D:D,Décomposition!S:S,0,0,-1)</f>
        <v>0</v>
      </c>
      <c r="N53" s="1163"/>
      <c r="O53" s="765">
        <f>_xlfn.XMATCH(D53,Décomposition!D:D,0,-1)</f>
        <v>233</v>
      </c>
    </row>
    <row r="54" spans="2:15">
      <c r="B54" s="1526"/>
      <c r="C54" s="1524" t="s">
        <v>573</v>
      </c>
      <c r="D54" s="786" t="s">
        <v>574</v>
      </c>
      <c r="E54" s="716"/>
      <c r="F54" s="786"/>
      <c r="G54" s="717"/>
      <c r="H54" s="722"/>
      <c r="I54" s="723"/>
      <c r="J54" s="769"/>
      <c r="K54" s="719"/>
      <c r="L54" s="715"/>
      <c r="M54" s="716"/>
      <c r="N54" s="1163"/>
      <c r="O54" s="1247">
        <f>_xlfn.XMATCH(D54,Décomposition!D:D)</f>
        <v>238</v>
      </c>
    </row>
    <row r="55" spans="2:15">
      <c r="B55" s="1526"/>
      <c r="C55" s="1524"/>
      <c r="D55" s="783" t="s">
        <v>575</v>
      </c>
      <c r="E55" s="277" t="str">
        <f>IF(G55=0, F55, G55)</f>
        <v>Enduit en plâtre et en ciment</v>
      </c>
      <c r="F55" s="783" t="str">
        <f>'Eléments de constr. inté. et ex'!A156</f>
        <v>Enduit en plâtre et en ciment</v>
      </c>
      <c r="G55" s="181"/>
      <c r="H55" s="354" t="s">
        <v>516</v>
      </c>
      <c r="I55" s="173" t="s">
        <v>97</v>
      </c>
      <c r="J55" s="765">
        <f>IF(L55=0, K55, L55)</f>
        <v>827.64833333333331</v>
      </c>
      <c r="K55" s="812">
        <f>K18</f>
        <v>827.64833333333331</v>
      </c>
      <c r="L55" s="816"/>
      <c r="M55" s="920">
        <f ca="1">_xlfn.XLOOKUP(D55,Décomposition!D:D,Décomposition!S:S)</f>
        <v>20.499090999999996</v>
      </c>
      <c r="N55" s="1163"/>
      <c r="O55" s="765">
        <f>_xlfn.XMATCH(D55,Décomposition!D:D)</f>
        <v>239</v>
      </c>
    </row>
    <row r="56" spans="2:15">
      <c r="B56" s="1526"/>
      <c r="C56" s="1524"/>
      <c r="D56" s="783" t="s">
        <v>576</v>
      </c>
      <c r="E56" s="277" t="str">
        <f>IF(G56=0, F56, G56)</f>
        <v>Enduit en plâtre et en ciment</v>
      </c>
      <c r="F56" s="783" t="str">
        <f>'Eléments de constr. inté. et ex'!A156</f>
        <v>Enduit en plâtre et en ciment</v>
      </c>
      <c r="G56" s="181"/>
      <c r="H56" s="596" t="s">
        <v>516</v>
      </c>
      <c r="I56" s="174" t="s">
        <v>97</v>
      </c>
      <c r="J56" s="765">
        <f>IF(L56=0, K56, L56)</f>
        <v>927.7</v>
      </c>
      <c r="K56" s="814">
        <f>SUM(K31:K33)</f>
        <v>927.7</v>
      </c>
      <c r="L56" s="816"/>
      <c r="M56" s="920">
        <f ca="1">_xlfn.XLOOKUP(D56,Décomposition!D:D,Décomposition!S:S)</f>
        <v>22.977158238341971</v>
      </c>
      <c r="N56" s="1163"/>
      <c r="O56" s="765">
        <f>_xlfn.XMATCH(D56,Décomposition!D:D)</f>
        <v>245</v>
      </c>
    </row>
    <row r="57" spans="2:15">
      <c r="B57" s="1526"/>
      <c r="C57" s="1524" t="s">
        <v>577</v>
      </c>
      <c r="D57" s="788" t="s">
        <v>578</v>
      </c>
      <c r="E57" s="746"/>
      <c r="F57" s="788"/>
      <c r="G57" s="747"/>
      <c r="H57" s="748"/>
      <c r="I57" s="745"/>
      <c r="J57" s="771"/>
      <c r="K57" s="815"/>
      <c r="L57" s="745"/>
      <c r="M57" s="746"/>
      <c r="N57" s="1163"/>
      <c r="O57" s="771">
        <f>_xlfn.XMATCH(D57,Décomposition!D:D)</f>
        <v>251</v>
      </c>
    </row>
    <row r="58" spans="2:15">
      <c r="B58" s="1526"/>
      <c r="C58" s="1524"/>
      <c r="D58" s="783" t="s">
        <v>579</v>
      </c>
      <c r="E58" s="277" t="str">
        <f>IF(G58=0, F58, G58)</f>
        <v>Enduit en plâtre et chaux, avec sous construction</v>
      </c>
      <c r="F58" s="783" t="str" cm="1">
        <f t="array" ref="F58">_xlfn.SWITCH(E26,Liste!E45,Liste!M63,Liste!E47,Liste!M63,Liste!M64)</f>
        <v>Enduit en plâtre et chaux, avec sous construction</v>
      </c>
      <c r="G58" s="178"/>
      <c r="H58" s="354" t="s">
        <v>516</v>
      </c>
      <c r="I58" s="173" t="s">
        <v>97</v>
      </c>
      <c r="J58" s="765">
        <f>IF(L58=0, K58, L58)</f>
        <v>321.66666666666669</v>
      </c>
      <c r="K58" s="812">
        <f>K26</f>
        <v>321.66666666666669</v>
      </c>
      <c r="L58" s="816"/>
      <c r="M58" s="920">
        <f ca="1">_xlfn.XLOOKUP(D58,Décomposition!D:D,Décomposition!S:S)</f>
        <v>3.3606123333333331</v>
      </c>
      <c r="N58" s="1163"/>
      <c r="O58" s="765">
        <f>_xlfn.XMATCH(D58,Décomposition!D:D)</f>
        <v>252</v>
      </c>
    </row>
    <row r="59" spans="2:15" ht="16.5" thickBot="1">
      <c r="B59" s="1527"/>
      <c r="C59" s="1533"/>
      <c r="D59" s="785" t="s">
        <v>580</v>
      </c>
      <c r="E59" s="278" t="str">
        <f>IF(G59=0, F59, G59)</f>
        <v>Enduit en plâtre et chaux, avec sous construction</v>
      </c>
      <c r="F59" s="1307" t="str">
        <f>IF(E36=Liste!C63,Liste!M63,Liste!M64)</f>
        <v>Enduit en plâtre et chaux, avec sous construction</v>
      </c>
      <c r="G59" s="732"/>
      <c r="H59" s="733" t="s">
        <v>516</v>
      </c>
      <c r="I59" s="731" t="s">
        <v>97</v>
      </c>
      <c r="J59" s="766">
        <f>IF(L59=0, K59, L59)</f>
        <v>643.33333333333337</v>
      </c>
      <c r="K59" s="820">
        <f>K47</f>
        <v>643.33333333333337</v>
      </c>
      <c r="L59" s="817"/>
      <c r="M59" s="920">
        <f ca="1">_xlfn.XLOOKUP(D59,Décomposition!D:D,Décomposition!S:S)</f>
        <v>6.7212246666666662</v>
      </c>
      <c r="N59" s="1163"/>
      <c r="O59" s="766">
        <f>_xlfn.XMATCH(D59,Décomposition!D:D)</f>
        <v>257</v>
      </c>
    </row>
    <row r="60" spans="2:15" ht="15.75" customHeight="1">
      <c r="B60" s="1525" t="s">
        <v>581</v>
      </c>
      <c r="C60" s="1532" t="s">
        <v>582</v>
      </c>
      <c r="D60" s="782" t="s">
        <v>2986</v>
      </c>
      <c r="E60" s="725"/>
      <c r="F60" s="782"/>
      <c r="G60" s="726"/>
      <c r="H60" s="727"/>
      <c r="I60" s="724"/>
      <c r="J60" s="767"/>
      <c r="K60" s="730"/>
      <c r="L60" s="724"/>
      <c r="M60" s="725"/>
      <c r="N60" s="1163"/>
      <c r="O60" s="1246">
        <f>_xlfn.XMATCH(D60,Décomposition!D:D)</f>
        <v>262</v>
      </c>
    </row>
    <row r="61" spans="2:15">
      <c r="B61" s="1526"/>
      <c r="C61" s="1524"/>
      <c r="D61" s="783" t="s">
        <v>583</v>
      </c>
      <c r="E61" s="277" t="str">
        <f>IF(G61=0, F61, G61)</f>
        <v>Installation électriques habitation</v>
      </c>
      <c r="F61" s="783" t="str">
        <f>IF('Outil simplifié'!$D$9=Liste!A3,Installations!A3, Installations!A4)</f>
        <v>Installation électriques habitation</v>
      </c>
      <c r="G61" s="179"/>
      <c r="H61" s="179" t="s">
        <v>275</v>
      </c>
      <c r="I61" s="173" t="s">
        <v>97</v>
      </c>
      <c r="J61" s="765">
        <f>IF(L61=0, K61, L61)</f>
        <v>965</v>
      </c>
      <c r="K61" s="812">
        <f>'Outil simplifié'!$D$12</f>
        <v>965</v>
      </c>
      <c r="L61" s="816"/>
      <c r="M61" s="920">
        <f>_xlfn.XLOOKUP(D61,Décomposition!D:D,Décomposition!S:S)</f>
        <v>25.9</v>
      </c>
      <c r="N61" s="1163"/>
      <c r="O61" s="765">
        <f>_xlfn.XMATCH(D61,Décomposition!D:D)</f>
        <v>263</v>
      </c>
    </row>
    <row r="62" spans="2:15">
      <c r="B62" s="1526"/>
      <c r="C62" s="1524"/>
      <c r="D62" s="783" t="s">
        <v>584</v>
      </c>
      <c r="E62" s="277" t="str">
        <f>IF(G62=0, F62, G62)</f>
        <v>Installation photovoltaique (1 m2 = 0.14 kWp)</v>
      </c>
      <c r="F62" s="783" t="str">
        <f>Installations!A5</f>
        <v>Installation photovoltaique (1 m2 = 0.14 kWp)</v>
      </c>
      <c r="G62" s="179"/>
      <c r="H62" s="179" t="s">
        <v>585</v>
      </c>
      <c r="I62" s="173" t="s">
        <v>104</v>
      </c>
      <c r="J62" s="765">
        <f>IF(L62=0, K62, L62)</f>
        <v>28.000000000000004</v>
      </c>
      <c r="K62" s="812">
        <f>'Outil simplifié'!K14</f>
        <v>28.000000000000004</v>
      </c>
      <c r="L62" s="816"/>
      <c r="M62" s="920">
        <f>_xlfn.XLOOKUP(D62,Décomposition!D:D,Décomposition!S:S)</f>
        <v>66.15544041450778</v>
      </c>
      <c r="N62" s="1163"/>
      <c r="O62" s="765">
        <f>_xlfn.XMATCH(D62,Décomposition!D:D)</f>
        <v>264</v>
      </c>
    </row>
    <row r="63" spans="2:15">
      <c r="B63" s="1526"/>
      <c r="C63" s="1524" t="s">
        <v>586</v>
      </c>
      <c r="D63" s="784" t="s">
        <v>1033</v>
      </c>
      <c r="E63" s="276"/>
      <c r="F63" s="784"/>
      <c r="G63" s="177"/>
      <c r="H63" s="176"/>
      <c r="I63" s="175"/>
      <c r="J63" s="768"/>
      <c r="K63" s="611"/>
      <c r="L63" s="175"/>
      <c r="M63" s="276"/>
      <c r="N63" s="1163"/>
      <c r="O63" s="1245">
        <f>_xlfn.XMATCH(D63,Décomposition!D:D)</f>
        <v>265</v>
      </c>
    </row>
    <row r="64" spans="2:15">
      <c r="B64" s="1526"/>
      <c r="C64" s="1524"/>
      <c r="D64" s="783" t="s">
        <v>281</v>
      </c>
      <c r="E64" s="277" t="str">
        <f>IF(G64=0, F64, G64)</f>
        <v>Production de chaleur 30 W/m2</v>
      </c>
      <c r="F64" s="783" t="str">
        <f>Installations!A10</f>
        <v>Production de chaleur 30 W/m2</v>
      </c>
      <c r="G64" s="179"/>
      <c r="H64" s="354" t="s">
        <v>275</v>
      </c>
      <c r="I64" s="173" t="s">
        <v>97</v>
      </c>
      <c r="J64" s="765">
        <f>IF(L64=0, K64, L64)</f>
        <v>965</v>
      </c>
      <c r="K64" s="812">
        <f>'Outil simplifié'!$D$12</f>
        <v>965</v>
      </c>
      <c r="L64" s="816"/>
      <c r="M64" s="920">
        <f>_xlfn.XLOOKUP(D64,Décomposition!D:D,Décomposition!S:S)</f>
        <v>7.7363999999999997</v>
      </c>
      <c r="N64" s="1163"/>
      <c r="O64" s="765">
        <f>_xlfn.XMATCH(D64,Décomposition!D:D)</f>
        <v>266</v>
      </c>
    </row>
    <row r="65" spans="2:15">
      <c r="B65" s="1526"/>
      <c r="C65" s="1524"/>
      <c r="D65" s="783" t="s">
        <v>587</v>
      </c>
      <c r="E65" s="277" t="str">
        <f>IF(G65=0, F65, G65)</f>
        <v>Distribution et émission de chaleur habitation</v>
      </c>
      <c r="F65" s="783" t="str">
        <f>IF('Outil simplifié'!$D$9=Liste!A3, Installations!A15,Installations!A19)</f>
        <v>Distribution et émission de chaleur habitation</v>
      </c>
      <c r="G65" s="179"/>
      <c r="H65" s="179" t="s">
        <v>275</v>
      </c>
      <c r="I65" s="173" t="s">
        <v>97</v>
      </c>
      <c r="J65" s="765">
        <f>IF(L65=0, K65, L65)</f>
        <v>965</v>
      </c>
      <c r="K65" s="812">
        <f>'Outil simplifié'!$D$12</f>
        <v>965</v>
      </c>
      <c r="L65" s="816"/>
      <c r="M65" s="920" cm="1">
        <f t="array" ref="M65">_xlfn.XLOOKUP(D65,Décomposition!D:D,Décomposition!S:S)+_xlfn.XLOOKUP(D65,Décomposition!D:D,Décomposition!S:S+1)</f>
        <v>14.86</v>
      </c>
      <c r="N65" s="1163"/>
      <c r="O65" s="765">
        <f>_xlfn.XMATCH(D65,Décomposition!D:D)</f>
        <v>267</v>
      </c>
    </row>
    <row r="66" spans="2:15">
      <c r="B66" s="1526"/>
      <c r="C66" s="1524"/>
      <c r="D66" s="783" t="s">
        <v>359</v>
      </c>
      <c r="E66" s="277" t="str">
        <f>IF(G66=0, F66, G66)</f>
        <v>Sondes géothermiques</v>
      </c>
      <c r="F66" s="783" t="str">
        <f>Installations!A23</f>
        <v>Sondes géothermiques</v>
      </c>
      <c r="G66" s="179"/>
      <c r="H66" s="354" t="s">
        <v>275</v>
      </c>
      <c r="I66" s="173" t="s">
        <v>97</v>
      </c>
      <c r="J66" s="765">
        <f>IF(L66=0, K66, L66)</f>
        <v>300</v>
      </c>
      <c r="K66" s="812">
        <f>IF('Outil simplifié'!K9=Liste!C3, 'Outil simplifié'!K10, 0)</f>
        <v>300</v>
      </c>
      <c r="L66" s="816"/>
      <c r="M66" s="920">
        <f>_xlfn.XLOOKUP(D66,Décomposition!D:D,Décomposition!S:S)</f>
        <v>3.613989637305699</v>
      </c>
      <c r="N66" s="1163"/>
      <c r="O66" s="765">
        <f>_xlfn.XMATCH(D66,Décomposition!D:D)</f>
        <v>269</v>
      </c>
    </row>
    <row r="67" spans="2:15">
      <c r="B67" s="1526"/>
      <c r="C67" s="1524"/>
      <c r="D67" s="783" t="s">
        <v>108</v>
      </c>
      <c r="E67" s="277" t="str">
        <f>IF(G67=0, F67, G67)</f>
        <v>Capteurs solaires</v>
      </c>
      <c r="F67" s="783" t="str">
        <f>Installations!A25</f>
        <v>Capteurs solaires</v>
      </c>
      <c r="G67" s="179"/>
      <c r="H67" s="354" t="s">
        <v>516</v>
      </c>
      <c r="I67" s="173" t="s">
        <v>97</v>
      </c>
      <c r="J67" s="765">
        <f>IF(L67=0, K67, L67)</f>
        <v>10</v>
      </c>
      <c r="K67" s="812">
        <f>'Outil simplifié'!K16</f>
        <v>10</v>
      </c>
      <c r="L67" s="816"/>
      <c r="M67" s="920">
        <f>_xlfn.XLOOKUP(D67,Décomposition!D:D,Décomposition!S:S)</f>
        <v>3.4818652849740932</v>
      </c>
      <c r="N67" s="1163"/>
      <c r="O67" s="765">
        <f>_xlfn.XMATCH(D67,Décomposition!D:D)</f>
        <v>270</v>
      </c>
    </row>
    <row r="68" spans="2:15">
      <c r="B68" s="1526"/>
      <c r="C68" s="1524" t="s">
        <v>588</v>
      </c>
      <c r="D68" s="784" t="s">
        <v>589</v>
      </c>
      <c r="E68" s="276"/>
      <c r="F68" s="784"/>
      <c r="G68" s="177"/>
      <c r="H68" s="176"/>
      <c r="I68" s="175"/>
      <c r="J68" s="768"/>
      <c r="K68" s="611"/>
      <c r="L68" s="175"/>
      <c r="M68" s="276"/>
      <c r="N68" s="1163"/>
      <c r="O68" s="1245">
        <f>_xlfn.XMATCH(D68,Décomposition!D:D)</f>
        <v>271</v>
      </c>
    </row>
    <row r="69" spans="2:15">
      <c r="B69" s="1526"/>
      <c r="C69" s="1524"/>
      <c r="D69" s="783" t="s">
        <v>590</v>
      </c>
      <c r="E69" s="277" t="str">
        <f>IF(G69=0, F69, G69)</f>
        <v>Extraction mécanique cuisine et salle de bain</v>
      </c>
      <c r="F69" s="783" t="str">
        <f>Installations!A28</f>
        <v>Extraction mécanique cuisine et salle de bain</v>
      </c>
      <c r="G69" s="179"/>
      <c r="H69" s="179" t="s">
        <v>275</v>
      </c>
      <c r="I69" s="173" t="s">
        <v>97</v>
      </c>
      <c r="J69" s="765">
        <f>IF(L69=0, K69, L69)</f>
        <v>965</v>
      </c>
      <c r="K69" s="812">
        <f>'Outil simplifié'!$D$12</f>
        <v>965</v>
      </c>
      <c r="L69" s="816"/>
      <c r="M69" s="920">
        <f>_xlfn.XLOOKUP(D69,Décomposition!D:D,Décomposition!S:S)</f>
        <v>7.29</v>
      </c>
      <c r="N69" s="1163"/>
      <c r="O69" s="765">
        <f>_xlfn.XMATCH(D69,Décomposition!D:D)</f>
        <v>272</v>
      </c>
    </row>
    <row r="70" spans="2:15">
      <c r="B70" s="1526"/>
      <c r="C70" s="1524"/>
      <c r="D70" s="783" t="s">
        <v>591</v>
      </c>
      <c r="E70" s="277" t="str">
        <f>IF(G70=0, F70, G70)</f>
        <v>Système de ventilation habitation</v>
      </c>
      <c r="F70" s="783" t="str">
        <f>IF('Outil simplifié'!$D$9=Liste!A3,Installations!A29,Installations!A30)</f>
        <v>Système de ventilation habitation</v>
      </c>
      <c r="G70" s="179"/>
      <c r="H70" s="179" t="s">
        <v>275</v>
      </c>
      <c r="I70" s="173" t="s">
        <v>97</v>
      </c>
      <c r="J70" s="765">
        <f>IF(L70=0, K70, L70)</f>
        <v>965</v>
      </c>
      <c r="K70" s="812">
        <f>'Outil simplifié'!$D$12</f>
        <v>965</v>
      </c>
      <c r="L70" s="816"/>
      <c r="M70" s="920">
        <f>_xlfn.XLOOKUP(D70,Décomposition!D:D,Décomposition!S:S)</f>
        <v>29.875999999999998</v>
      </c>
      <c r="N70" s="1163"/>
      <c r="O70" s="765">
        <f>_xlfn.XMATCH(D70,Décomposition!D:D)</f>
        <v>273</v>
      </c>
    </row>
    <row r="71" spans="2:15">
      <c r="B71" s="1526"/>
      <c r="C71" s="1524" t="s">
        <v>592</v>
      </c>
      <c r="D71" s="784" t="s">
        <v>593</v>
      </c>
      <c r="E71" s="276"/>
      <c r="F71" s="784"/>
      <c r="G71" s="177"/>
      <c r="H71" s="176"/>
      <c r="I71" s="175"/>
      <c r="J71" s="768"/>
      <c r="K71" s="611"/>
      <c r="L71" s="175"/>
      <c r="M71" s="276"/>
      <c r="N71" s="1163"/>
      <c r="O71" s="1245">
        <f>_xlfn.XMATCH(D71,Décomposition!D:D)</f>
        <v>274</v>
      </c>
    </row>
    <row r="72" spans="2:15" ht="16.5" thickBot="1">
      <c r="B72" s="1527"/>
      <c r="C72" s="1533"/>
      <c r="D72" s="785" t="s">
        <v>594</v>
      </c>
      <c r="E72" s="278" t="str">
        <f>IF(G72=0, F72, G72)</f>
        <v>Installation sanitaire habitation</v>
      </c>
      <c r="F72" s="1307" t="str">
        <f>IF('Outil simplifié'!$D$9=Liste!A3, Installations!A34,Installations!A35)</f>
        <v>Installation sanitaire habitation</v>
      </c>
      <c r="G72" s="735"/>
      <c r="H72" s="735" t="s">
        <v>275</v>
      </c>
      <c r="I72" s="731" t="s">
        <v>97</v>
      </c>
      <c r="J72" s="766">
        <f>IF(L72=0, K72, L72)</f>
        <v>965</v>
      </c>
      <c r="K72" s="820">
        <f>'Outil simplifié'!$D$12</f>
        <v>965</v>
      </c>
      <c r="L72" s="817"/>
      <c r="M72" s="921">
        <f>Décomposition!S275</f>
        <v>25.08</v>
      </c>
      <c r="N72" s="1163"/>
      <c r="O72" s="766">
        <f>_xlfn.XMATCH(D72,Décomposition!D:D)</f>
        <v>275</v>
      </c>
    </row>
    <row r="73" spans="2:15">
      <c r="B73" s="1234"/>
      <c r="C73" s="926"/>
    </row>
    <row r="74" spans="2:15" ht="28.5" customHeight="1">
      <c r="B74" s="1534" t="s">
        <v>3805</v>
      </c>
      <c r="C74" s="1534"/>
    </row>
    <row r="75" spans="2:15">
      <c r="B75" s="1234"/>
    </row>
    <row r="76" spans="2:15">
      <c r="B76" s="1234"/>
    </row>
    <row r="77" spans="2:15">
      <c r="B77" s="1234"/>
    </row>
    <row r="78" spans="2:15">
      <c r="B78" s="1234"/>
    </row>
  </sheetData>
  <dataConsolidate/>
  <customSheetViews>
    <customSheetView guid="{B32447E2-AB5B-4CBB-881B-FF11349CA4D6}" scale="55">
      <selection activeCell="B3" sqref="B3:D49"/>
      <pageMargins left="0" right="0" top="0" bottom="0" header="0" footer="0"/>
    </customSheetView>
    <customSheetView guid="{9FA74287-E657-475B-BF4B-3C8C757714AE}" scale="55">
      <selection activeCell="B3" sqref="B3:D49"/>
      <pageMargins left="0" right="0" top="0" bottom="0" header="0" footer="0"/>
    </customSheetView>
    <customSheetView guid="{54A7C567-FA7D-467E-B353-ECB5E61AE756}" scale="70">
      <selection activeCell="G16" sqref="G16"/>
      <pageMargins left="0" right="0" top="0" bottom="0" header="0" footer="0"/>
    </customSheetView>
  </customSheetViews>
  <mergeCells count="29">
    <mergeCell ref="B74:C74"/>
    <mergeCell ref="C25:C26"/>
    <mergeCell ref="C34:C37"/>
    <mergeCell ref="B10:B16"/>
    <mergeCell ref="C13:C14"/>
    <mergeCell ref="C15:C16"/>
    <mergeCell ref="C30:C33"/>
    <mergeCell ref="C19:C21"/>
    <mergeCell ref="C71:C72"/>
    <mergeCell ref="C63:C67"/>
    <mergeCell ref="B60:B72"/>
    <mergeCell ref="C57:C59"/>
    <mergeCell ref="C60:C62"/>
    <mergeCell ref="B2:C2"/>
    <mergeCell ref="B1:M1"/>
    <mergeCell ref="C44:C53"/>
    <mergeCell ref="C40:C41"/>
    <mergeCell ref="C68:C70"/>
    <mergeCell ref="B30:B59"/>
    <mergeCell ref="B17:B29"/>
    <mergeCell ref="C27:C29"/>
    <mergeCell ref="C42:C43"/>
    <mergeCell ref="C54:C56"/>
    <mergeCell ref="B5:B9"/>
    <mergeCell ref="C10:C12"/>
    <mergeCell ref="C5:C9"/>
    <mergeCell ref="C22:C24"/>
    <mergeCell ref="C38:C39"/>
    <mergeCell ref="C17:C18"/>
  </mergeCells>
  <phoneticPr fontId="69" type="noConversion"/>
  <conditionalFormatting sqref="M6:M9 M72 M11:M12 M14 M16 M18 M23:M24 M26 M28:M29 M31:M33 M35:M37 M39 M41 M43 M55:M56 M58:M59 M61:M62 M64:M67 M69:M70 M20:M21 M45:M53">
    <cfRule type="colorScale" priority="9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dataValidations count="2">
    <dataValidation allowBlank="1" showInputMessage="1" sqref="F55 F18:F19" xr:uid="{BFFF6045-745F-466D-9C2A-C7DBB287E8B8}"/>
    <dataValidation type="list" allowBlank="1" showInputMessage="1" showErrorMessage="1" sqref="F14 F16 G42" xr:uid="{8B0F6B27-889C-47B4-A7CD-CE8690D31EB0}">
      <formula1>#REF!</formula1>
    </dataValidation>
  </dataValidations>
  <pageMargins left="0" right="0" top="0" bottom="0" header="0" footer="0"/>
  <pageSetup paperSize="9" scale="60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5">
        <x14:dataValidation type="list" allowBlank="1" showInputMessage="1" showErrorMessage="1" xr:uid="{37FB1D6C-9E84-45B3-849F-7083D1832860}">
          <x14:formula1>
            <xm:f>_xlfn.ANCHORARRAY(Liste!$A$63)</xm:f>
          </x14:formula1>
          <xm:sqref>G31 G33</xm:sqref>
        </x14:dataValidation>
        <x14:dataValidation type="list" allowBlank="1" showInputMessage="1" showErrorMessage="1" xr:uid="{20FB85B4-2E92-42F8-BDFC-A1176CEED503}">
          <x14:formula1>
            <xm:f>_xlfn.ANCHORARRAY(Liste!$A$25)</xm:f>
          </x14:formula1>
          <xm:sqref>G7</xm:sqref>
        </x14:dataValidation>
        <x14:dataValidation type="list" allowBlank="1" showInputMessage="1" xr:uid="{DB14EC50-2722-45B3-930B-A049E57D64F7}">
          <x14:formula1>
            <xm:f>_xlfn.ANCHORARRAY(Liste!$A$45)</xm:f>
          </x14:formula1>
          <xm:sqref>G18</xm:sqref>
        </x14:dataValidation>
        <x14:dataValidation type="list" allowBlank="1" showInputMessage="1" showErrorMessage="1" xr:uid="{B25AE0C3-86B1-4477-86DC-1D2B4766E444}">
          <x14:formula1>
            <xm:f>_xlfn.ANCHORARRAY(Liste!$C$34)</xm:f>
          </x14:formula1>
          <xm:sqref>G16</xm:sqref>
        </x14:dataValidation>
        <x14:dataValidation type="list" allowBlank="1" showInputMessage="1" showErrorMessage="1" xr:uid="{B8FEE7B9-74FB-444A-81CB-8FF3D7A2714B}">
          <x14:formula1>
            <xm:f>_xlfn.ANCHORARRAY(Liste!$B$25)</xm:f>
          </x14:formula1>
          <xm:sqref>G8:G9</xm:sqref>
        </x14:dataValidation>
        <x14:dataValidation type="list" allowBlank="1" showInputMessage="1" showErrorMessage="1" xr:uid="{9255AD66-FEE8-435F-A0E4-D5709F27E073}">
          <x14:formula1>
            <xm:f>_xlfn.ANCHORARRAY(Liste!$A$34)</xm:f>
          </x14:formula1>
          <xm:sqref>G12</xm:sqref>
        </x14:dataValidation>
        <x14:dataValidation type="list" showInputMessage="1" showErrorMessage="1" xr:uid="{2C3A937B-74CE-430E-9712-181EB2BDAAD2}">
          <x14:formula1>
            <xm:f>_xlfn.ANCHORARRAY(Liste!$B$34)</xm:f>
          </x14:formula1>
          <xm:sqref>G14</xm:sqref>
        </x14:dataValidation>
        <x14:dataValidation type="list" allowBlank="1" showInputMessage="1" showErrorMessage="1" xr:uid="{51ABD325-7006-4390-B9BC-8459441D9C41}">
          <x14:formula1>
            <xm:f>_xlfn.ANCHORARRAY(Liste!$B$45)</xm:f>
          </x14:formula1>
          <xm:sqref>G20</xm:sqref>
        </x14:dataValidation>
        <x14:dataValidation type="list" allowBlank="1" showInputMessage="1" showErrorMessage="1" xr:uid="{47F25BDA-304A-40C9-A2F8-38E871763BD0}">
          <x14:formula1>
            <xm:f>_xlfn.ANCHORARRAY(Liste!$C$45)</xm:f>
          </x14:formula1>
          <xm:sqref>G23</xm:sqref>
        </x14:dataValidation>
        <x14:dataValidation type="list" allowBlank="1" showInputMessage="1" showErrorMessage="1" xr:uid="{F476638B-5DBD-47C9-A130-8B3D5EA94D15}">
          <x14:formula1>
            <xm:f>_xlfn.ANCHORARRAY(Liste!$E$45)</xm:f>
          </x14:formula1>
          <xm:sqref>G26</xm:sqref>
        </x14:dataValidation>
        <x14:dataValidation type="list" allowBlank="1" showInputMessage="1" showErrorMessage="1" xr:uid="{DD7B536E-DB3E-4324-AB7C-6D8A8B35B848}">
          <x14:formula1>
            <xm:f>_xlfn.ANCHORARRAY(Liste!$D$45)</xm:f>
          </x14:formula1>
          <xm:sqref>G24</xm:sqref>
        </x14:dataValidation>
        <x14:dataValidation type="list" allowBlank="1" showInputMessage="1" showErrorMessage="1" xr:uid="{27E4E0D7-427A-45AC-9EEF-37E3425E51AC}">
          <x14:formula1>
            <xm:f>_xlfn.ANCHORARRAY(Liste!$F$45)</xm:f>
          </x14:formula1>
          <xm:sqref>G28</xm:sqref>
        </x14:dataValidation>
        <x14:dataValidation type="list" allowBlank="1" showInputMessage="1" showErrorMessage="1" xr:uid="{2917518C-479E-4B94-B08F-5220FF4CA3CA}">
          <x14:formula1>
            <xm:f>_xlfn.ANCHORARRAY(Liste!$C$63)</xm:f>
          </x14:formula1>
          <xm:sqref>G35:G37</xm:sqref>
        </x14:dataValidation>
        <x14:dataValidation type="list" allowBlank="1" showInputMessage="1" showErrorMessage="1" xr:uid="{53DA59CE-8395-4797-A76D-80ACA4FF647F}">
          <x14:formula1>
            <xm:f>_xlfn.ANCHORARRAY(Liste!$D$63)</xm:f>
          </x14:formula1>
          <xm:sqref>G39:G40 G42:G43</xm:sqref>
        </x14:dataValidation>
        <x14:dataValidation type="list" allowBlank="1" showInputMessage="1" showErrorMessage="1" xr:uid="{1EDB31E2-D742-4270-886F-84463D05689D}">
          <x14:formula1>
            <xm:f>_xlfn.ANCHORARRAY(Liste!$E$63)</xm:f>
          </x14:formula1>
          <xm:sqref>G41 G41</xm:sqref>
        </x14:dataValidation>
        <x14:dataValidation type="list" allowBlank="1" showInputMessage="1" showErrorMessage="1" xr:uid="{D09F4452-D413-43E7-91C4-769F431F2244}">
          <x14:formula1>
            <xm:f>_xlfn.ANCHORARRAY(Liste!$F$63)</xm:f>
          </x14:formula1>
          <xm:sqref>G43</xm:sqref>
        </x14:dataValidation>
        <x14:dataValidation type="list" allowBlank="1" showInputMessage="1" showErrorMessage="1" xr:uid="{D6E472F3-AFBF-42F8-88EA-1088326B74CC}">
          <x14:formula1>
            <xm:f>_xlfn.ANCHORARRAY(Liste!$M$63)</xm:f>
          </x14:formula1>
          <xm:sqref>G58:G59</xm:sqref>
        </x14:dataValidation>
        <x14:dataValidation type="list" allowBlank="1" showInputMessage="1" showErrorMessage="1" xr:uid="{382D27C0-8696-4104-A2C7-11DFE718DA7F}">
          <x14:formula1>
            <xm:f>_xlfn.ANCHORARRAY(Liste!$L$63)</xm:f>
          </x14:formula1>
          <xm:sqref>G55:G56</xm:sqref>
        </x14:dataValidation>
        <x14:dataValidation type="list" allowBlank="1" showInputMessage="1" showErrorMessage="1" xr:uid="{FACF2229-49EC-4411-9234-D20CB618D568}">
          <x14:formula1>
            <xm:f>_xlfn.ANCHORARRAY(Liste!$G$63)</xm:f>
          </x14:formula1>
          <xm:sqref>G45 G47 G49</xm:sqref>
        </x14:dataValidation>
        <x14:dataValidation type="list" allowBlank="1" showInputMessage="1" showErrorMessage="1" xr:uid="{35177609-1C99-473A-8715-AD7800E81447}">
          <x14:formula1>
            <xm:f>_xlfn.ANCHORARRAY(Liste!$G$45)</xm:f>
          </x14:formula1>
          <xm:sqref>G29</xm:sqref>
        </x14:dataValidation>
        <x14:dataValidation type="list" allowBlank="1" showInputMessage="1" showErrorMessage="1" xr:uid="{EEA7A208-68ED-42D9-9B7A-AC3DD55D7BD9}">
          <x14:formula1>
            <xm:f>_xlfn.ANCHORARRAY(Liste!$J$63)</xm:f>
          </x14:formula1>
          <xm:sqref>G52</xm:sqref>
        </x14:dataValidation>
        <x14:dataValidation type="list" allowBlank="1" showInputMessage="1" showErrorMessage="1" xr:uid="{A5EB4A90-B4F9-409B-A50D-790C792FF204}">
          <x14:formula1>
            <xm:f>_xlfn.ANCHORARRAY(Liste!$I$45)</xm:f>
          </x14:formula1>
          <xm:sqref>G21</xm:sqref>
        </x14:dataValidation>
        <x14:dataValidation type="list" allowBlank="1" showInputMessage="1" showErrorMessage="1" xr:uid="{86F78D03-53FC-45B5-8E3D-57CE129C70DF}">
          <x14:formula1>
            <xm:f>_xlfn.ANCHORARRAY(Liste!$H$63)</xm:f>
          </x14:formula1>
          <xm:sqref>G46 G48 G50</xm:sqref>
        </x14:dataValidation>
        <x14:dataValidation type="list" allowBlank="1" showInputMessage="1" showErrorMessage="1" xr:uid="{D03F535A-507A-47BF-B8FB-9EC62C1CB8E2}">
          <x14:formula1>
            <xm:f>_xlfn.ANCHORARRAY(Liste!$I$63)</xm:f>
          </x14:formula1>
          <xm:sqref>G51</xm:sqref>
        </x14:dataValidation>
        <x14:dataValidation type="list" allowBlank="1" showInputMessage="1" showErrorMessage="1" xr:uid="{147E58B8-C3CC-47B7-9329-882BCF2B9F4F}">
          <x14:formula1>
            <xm:f>_xlfn.ANCHORARRAY(Liste!$B$63)</xm:f>
          </x14:formula1>
          <xm:sqref>G32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7F759-913F-4C4A-A017-8D19E580682A}">
  <sheetPr codeName="Feuil13">
    <tabColor theme="8"/>
    <pageSetUpPr autoPageBreaks="0"/>
  </sheetPr>
  <dimension ref="A1:U281"/>
  <sheetViews>
    <sheetView zoomScale="85" zoomScaleNormal="85" workbookViewId="0">
      <selection activeCell="K15" sqref="K15"/>
    </sheetView>
  </sheetViews>
  <sheetFormatPr baseColWidth="10" defaultColWidth="11.25" defaultRowHeight="23.25" outlineLevelRow="1" outlineLevelCol="2"/>
  <cols>
    <col min="1" max="1" width="5.75" style="279" customWidth="1"/>
    <col min="2" max="2" width="13.625" style="1278" customWidth="1"/>
    <col min="3" max="3" width="6.5" style="755" customWidth="1"/>
    <col min="4" max="4" width="19" style="279" customWidth="1"/>
    <col min="5" max="5" width="39" style="279" customWidth="1" outlineLevel="2"/>
    <col min="6" max="6" width="9.75" style="279" customWidth="1" outlineLevel="2"/>
    <col min="7" max="7" width="52" style="279" customWidth="1" outlineLevel="2"/>
    <col min="8" max="8" width="31.625" style="279" customWidth="1"/>
    <col min="9" max="9" width="9.75" style="279" customWidth="1" outlineLevel="1"/>
    <col min="10" max="10" width="5.125" style="279" customWidth="1" outlineLevel="1"/>
    <col min="11" max="12" width="11.25" style="279" customWidth="1" outlineLevel="1"/>
    <col min="13" max="13" width="14.125" style="279" customWidth="1" outlineLevel="1"/>
    <col min="14" max="14" width="13" style="279" customWidth="1"/>
    <col min="15" max="16" width="13" customWidth="1"/>
    <col min="17" max="17" width="13" style="275" customWidth="1"/>
    <col min="18" max="18" width="13" customWidth="1"/>
    <col min="19" max="20" width="17.5" style="279" customWidth="1"/>
    <col min="21" max="16384" width="11.25" style="279"/>
  </cols>
  <sheetData>
    <row r="1" spans="1:20">
      <c r="A1" s="290" t="s">
        <v>595</v>
      </c>
      <c r="H1" s="279" t="s">
        <v>275</v>
      </c>
      <c r="I1" s="616">
        <f>'Outil simplifié'!D12</f>
        <v>965</v>
      </c>
      <c r="L1" s="621"/>
      <c r="N1" s="1548">
        <v>2022</v>
      </c>
      <c r="O1" s="1548"/>
      <c r="P1" s="1548"/>
      <c r="Q1" s="1548"/>
      <c r="R1" s="1548"/>
    </row>
    <row r="2" spans="1:20" s="992" customFormat="1" ht="42" customHeight="1">
      <c r="B2" s="1280" t="s">
        <v>498</v>
      </c>
      <c r="C2" s="962" t="s">
        <v>596</v>
      </c>
      <c r="D2" s="282" t="s">
        <v>500</v>
      </c>
      <c r="E2" s="282" t="s">
        <v>597</v>
      </c>
      <c r="F2" s="282" t="s">
        <v>598</v>
      </c>
      <c r="G2" s="282" t="s">
        <v>599</v>
      </c>
      <c r="H2" s="282" t="s">
        <v>600</v>
      </c>
      <c r="I2" s="282" t="s">
        <v>601</v>
      </c>
      <c r="J2" s="280" t="s">
        <v>505</v>
      </c>
      <c r="K2" s="282" t="s">
        <v>602</v>
      </c>
      <c r="L2" s="284" t="s">
        <v>603</v>
      </c>
      <c r="M2" s="284" t="s">
        <v>604</v>
      </c>
      <c r="N2" s="318" t="s">
        <v>605</v>
      </c>
      <c r="O2" s="991" t="s">
        <v>3806</v>
      </c>
      <c r="P2" s="991" t="s">
        <v>3808</v>
      </c>
      <c r="Q2" s="991" t="s">
        <v>3807</v>
      </c>
      <c r="R2" s="991" t="s">
        <v>606</v>
      </c>
      <c r="S2" s="284" t="s">
        <v>607</v>
      </c>
      <c r="T2" s="1052" t="s">
        <v>608</v>
      </c>
    </row>
    <row r="3" spans="1:20" ht="17.25" customHeight="1" thickBot="1">
      <c r="B3" s="1279"/>
      <c r="C3" s="961"/>
      <c r="D3" s="1248"/>
      <c r="E3" s="1248"/>
      <c r="F3" s="1248"/>
      <c r="G3" s="1249"/>
      <c r="H3" s="1248"/>
      <c r="I3" s="1248"/>
      <c r="J3" s="1250"/>
      <c r="K3" s="1249"/>
      <c r="L3" s="1251"/>
      <c r="M3" s="1251"/>
      <c r="N3" s="1252" t="s">
        <v>285</v>
      </c>
      <c r="O3">
        <v>20</v>
      </c>
      <c r="P3">
        <v>30</v>
      </c>
      <c r="Q3" s="275">
        <v>40</v>
      </c>
      <c r="R3" t="s">
        <v>609</v>
      </c>
      <c r="T3" s="1253" t="s">
        <v>610</v>
      </c>
    </row>
    <row r="4" spans="1:20" ht="15.75">
      <c r="B4" s="1535" t="s">
        <v>46</v>
      </c>
      <c r="C4" s="1544" t="str">
        <f>'Outil détaillé'!C5</f>
        <v>B06 / B07.02</v>
      </c>
      <c r="D4" s="726" t="str">
        <f>'Outil détaillé'!D5</f>
        <v>Fouilles</v>
      </c>
      <c r="E4" s="726"/>
      <c r="F4" s="726"/>
      <c r="G4" s="726"/>
      <c r="H4" s="726"/>
      <c r="I4" s="726"/>
      <c r="J4" s="728"/>
      <c r="K4" s="727"/>
      <c r="L4" s="1254"/>
      <c r="M4" s="1254"/>
      <c r="N4" s="1255">
        <f>N5+N8+N10+N12</f>
        <v>1.9914999999999998</v>
      </c>
      <c r="O4" s="1255">
        <f t="shared" ref="O4:Q4" si="0">O5+O8+O10+O12</f>
        <v>0</v>
      </c>
      <c r="P4" s="1255">
        <f t="shared" si="0"/>
        <v>0</v>
      </c>
      <c r="Q4" s="1255">
        <f t="shared" si="0"/>
        <v>0</v>
      </c>
      <c r="R4" s="1255">
        <f>R5+R8+R10+R12</f>
        <v>0</v>
      </c>
      <c r="S4" s="1255">
        <f>SUM(N4:R4)</f>
        <v>1.9914999999999998</v>
      </c>
      <c r="T4" s="1256">
        <f>T5+T8+T10+T12</f>
        <v>0</v>
      </c>
    </row>
    <row r="5" spans="1:20" ht="15.75">
      <c r="B5" s="1536"/>
      <c r="C5" s="1539"/>
      <c r="D5" s="178" t="str">
        <f>'Outil détaillé'!D6</f>
        <v>Excavations</v>
      </c>
      <c r="E5" s="751" t="str">
        <f>'Outil détaillé'!$E$6</f>
        <v>Aushub / Excavation</v>
      </c>
      <c r="F5" s="179">
        <f>MATCH(E5, 'Travaux préparatoires'!A:A,0)</f>
        <v>4</v>
      </c>
      <c r="G5" s="179"/>
      <c r="H5" s="179"/>
      <c r="I5" s="179"/>
      <c r="J5" s="179" t="s">
        <v>295</v>
      </c>
      <c r="K5" s="294">
        <f>'Outil détaillé'!J6</f>
        <v>321.66666666666669</v>
      </c>
      <c r="L5" s="295"/>
      <c r="M5" s="295"/>
      <c r="N5" s="994">
        <f>SUM(N6:N7)</f>
        <v>1.9193333333333331</v>
      </c>
      <c r="O5" s="994">
        <f t="shared" ref="O5:Q5" si="1">SUM(O6:O6)</f>
        <v>0</v>
      </c>
      <c r="P5" s="994">
        <f t="shared" si="1"/>
        <v>0</v>
      </c>
      <c r="Q5" s="994">
        <f t="shared" si="1"/>
        <v>0</v>
      </c>
      <c r="R5" s="994">
        <f>SUM(R6:R6)</f>
        <v>0</v>
      </c>
      <c r="S5" s="994">
        <f>SUM(S6:S7)</f>
        <v>1.9193333333333331</v>
      </c>
      <c r="T5" s="1054">
        <f>SUM(T6:T6)</f>
        <v>0</v>
      </c>
    </row>
    <row r="6" spans="1:20" ht="15.75" outlineLevel="1">
      <c r="B6" s="1536"/>
      <c r="C6" s="1539"/>
      <c r="D6" s="178"/>
      <c r="E6" s="285"/>
      <c r="F6" s="178">
        <f>IF(I6=0,2,F5+1)</f>
        <v>5</v>
      </c>
      <c r="G6" s="179" t="str">
        <f>'Travaux préparatoires'!B4</f>
        <v>Aushub maschinell / Excavation mécanique</v>
      </c>
      <c r="H6" s="179" t="str" cm="1">
        <f t="array" ref="H6">INDEX('Travaux préparatoires'!D:D, $F5)</f>
        <v>Vol.excavation</v>
      </c>
      <c r="I6" s="179" t="str" cm="1">
        <f t="array" ref="I6">INDEX('Travaux préparatoires'!F:F, $F5)</f>
        <v>62.001</v>
      </c>
      <c r="J6" s="178" t="s">
        <v>295</v>
      </c>
      <c r="K6" s="319">
        <f>K5*M6</f>
        <v>321.66666666666669</v>
      </c>
      <c r="L6" s="319">
        <f>Hypothèses!D12</f>
        <v>60</v>
      </c>
      <c r="M6" cm="1">
        <f t="array" ref="M6">INDEX('Travaux préparatoires'!G:G, $F5)</f>
        <v>1</v>
      </c>
      <c r="N6" s="1274" cm="1">
        <f t="array" ref="N6">IFERROR(($K6*INDEX('Travaux préparatoires'!L:L, $F5)),0)/$I$1</f>
        <v>0.14433333333333334</v>
      </c>
      <c r="O6" s="1274">
        <f>IF($L6=O$3,$N6+$R6,0)</f>
        <v>0</v>
      </c>
      <c r="P6" s="998">
        <f>IF($L6=P$3,$N6+$R6,0)</f>
        <v>0</v>
      </c>
      <c r="Q6" s="1275" cm="1">
        <f t="array" ref="Q6">_xlfn.SWITCH(L6,Q$3,N6+R6,O$3,O6,0)</f>
        <v>0</v>
      </c>
      <c r="R6" s="996" cm="1">
        <f t="array" ref="R6">IFERROR(($K6*INDEX('Travaux préparatoires'!M:M, $F5)),0)/$I$1</f>
        <v>0</v>
      </c>
      <c r="S6" s="997">
        <f>SUM(N6:R6)</f>
        <v>0.14433333333333334</v>
      </c>
      <c r="T6" s="996">
        <v>0</v>
      </c>
    </row>
    <row r="7" spans="1:20" ht="15.75" outlineLevel="1">
      <c r="B7" s="1536"/>
      <c r="C7" s="1539"/>
      <c r="D7" s="178"/>
      <c r="E7" s="285"/>
      <c r="F7" s="178"/>
      <c r="G7" s="179" t="s">
        <v>611</v>
      </c>
      <c r="H7" s="179"/>
      <c r="I7" s="179" t="s">
        <v>612</v>
      </c>
      <c r="J7" s="178" t="s">
        <v>613</v>
      </c>
      <c r="K7" s="319">
        <f>30*K6*1250/1000</f>
        <v>12062.5</v>
      </c>
      <c r="L7" s="319">
        <v>60</v>
      </c>
      <c r="M7" s="966"/>
      <c r="N7" s="1276">
        <f>K7*'Transporte Transports'!V35/$I$1</f>
        <v>1.7749999999999997</v>
      </c>
      <c r="O7" s="1276"/>
      <c r="P7" s="1277"/>
      <c r="Q7" s="1272"/>
      <c r="R7" s="1273"/>
      <c r="S7" s="997">
        <f>SUM(N7:R7)</f>
        <v>1.7749999999999997</v>
      </c>
      <c r="T7" s="996"/>
    </row>
    <row r="8" spans="1:20" ht="15.75">
      <c r="B8" s="1536"/>
      <c r="C8" s="1539"/>
      <c r="D8" s="178" t="str">
        <f>'Outil détaillé'!D7</f>
        <v xml:space="preserve">Enceintes de fouilles </v>
      </c>
      <c r="E8" s="179">
        <f>'Outil détaillé'!E7</f>
        <v>0</v>
      </c>
      <c r="F8" s="179">
        <f>MATCH(E8, 'Travaux préparatoires'!A:A,0)</f>
        <v>26</v>
      </c>
      <c r="G8" s="179"/>
      <c r="H8" s="179"/>
      <c r="I8" s="178"/>
      <c r="J8" s="179" t="s">
        <v>97</v>
      </c>
      <c r="K8" s="294">
        <f>'Outil détaillé'!J7</f>
        <v>0</v>
      </c>
      <c r="L8" s="295"/>
      <c r="M8" s="295"/>
      <c r="N8" s="994">
        <f>SUM(N9)</f>
        <v>0</v>
      </c>
      <c r="O8" s="994">
        <f t="shared" ref="O8:Q8" si="2">SUM(O9)</f>
        <v>0</v>
      </c>
      <c r="P8" s="994">
        <f t="shared" si="2"/>
        <v>0</v>
      </c>
      <c r="Q8" s="994">
        <f t="shared" si="2"/>
        <v>0</v>
      </c>
      <c r="R8" s="994">
        <f>SUM(R9)</f>
        <v>0</v>
      </c>
      <c r="S8" s="994">
        <f>SUM(S9)</f>
        <v>0</v>
      </c>
      <c r="T8" s="1054">
        <f>SUM(T9)</f>
        <v>0</v>
      </c>
    </row>
    <row r="9" spans="1:20" ht="15.75" hidden="1" outlineLevel="1">
      <c r="B9" s="1536"/>
      <c r="C9" s="1539"/>
      <c r="D9" s="178"/>
      <c r="E9" s="178"/>
      <c r="F9" s="178"/>
      <c r="G9" s="178"/>
      <c r="H9" s="178" cm="1">
        <f t="array" ref="H9">INDEX('Travaux préparatoires'!D:D, $F8)</f>
        <v>0</v>
      </c>
      <c r="I9" s="178" cm="1">
        <f t="array" ref="I9">INDEX('Travaux préparatoires'!F:F, $F8)</f>
        <v>0</v>
      </c>
      <c r="J9" s="178"/>
      <c r="K9" s="319">
        <f>K8*M9</f>
        <v>0</v>
      </c>
      <c r="L9" s="319">
        <f>Hypothèses!$D$12</f>
        <v>60</v>
      </c>
      <c r="M9" cm="1">
        <f t="array" ref="M9">INDEX('Travaux préparatoires'!G:G, $F8)</f>
        <v>0</v>
      </c>
      <c r="N9" s="996" cm="1">
        <f t="array" ref="N9">IFERROR(($K9*INDEX('Travaux préparatoires'!L:L, $F8)),0)/$I$1</f>
        <v>0</v>
      </c>
      <c r="O9" s="996">
        <f>IF($L9=O$3,$N9+$R9,0)</f>
        <v>0</v>
      </c>
      <c r="P9" s="996">
        <f>IF($L9=P$3,$N9+$R9,0)</f>
        <v>0</v>
      </c>
      <c r="Q9" s="275" cm="1">
        <f t="array" ref="Q9">_xlfn.SWITCH(L9,Q$3,N9+R9,O$3,O9,0)</f>
        <v>0</v>
      </c>
      <c r="R9" s="996" cm="1">
        <f t="array" ref="R9">IFERROR(($K9*INDEX('Travaux préparatoires'!M:M, $F8)),0)/$I$1</f>
        <v>0</v>
      </c>
      <c r="S9" s="997">
        <f>SUM(N9:R9)</f>
        <v>0</v>
      </c>
      <c r="T9" s="996">
        <v>0</v>
      </c>
    </row>
    <row r="10" spans="1:20" ht="15.75" collapsed="1">
      <c r="B10" s="1536"/>
      <c r="C10" s="1539"/>
      <c r="D10" s="178" t="str">
        <f>'Outil détaillé'!D8</f>
        <v>Pieux de fondation</v>
      </c>
      <c r="E10" s="179">
        <f>'Outil détaillé'!E8</f>
        <v>0</v>
      </c>
      <c r="F10" s="179">
        <f>MATCH(E10, 'Travaux préparatoires'!A:A,0)</f>
        <v>26</v>
      </c>
      <c r="G10" s="179"/>
      <c r="H10" s="179"/>
      <c r="I10" s="179"/>
      <c r="J10" s="179" t="s">
        <v>97</v>
      </c>
      <c r="K10" s="294">
        <f>'Outil détaillé'!J8</f>
        <v>321.66666666666669</v>
      </c>
      <c r="L10" s="295"/>
      <c r="M10" s="295"/>
      <c r="N10" s="994">
        <f>SUM(N11)</f>
        <v>0</v>
      </c>
      <c r="O10" s="994">
        <f t="shared" ref="O10:Q10" si="3">SUM(O11)</f>
        <v>0</v>
      </c>
      <c r="P10" s="994">
        <f t="shared" si="3"/>
        <v>0</v>
      </c>
      <c r="Q10" s="994">
        <f t="shared" si="3"/>
        <v>0</v>
      </c>
      <c r="R10" s="994">
        <f>SUM(R11)</f>
        <v>0</v>
      </c>
      <c r="S10" s="994">
        <f>SUM(S11)</f>
        <v>0</v>
      </c>
      <c r="T10" s="1054">
        <f>SUM(T11)</f>
        <v>0</v>
      </c>
    </row>
    <row r="11" spans="1:20" ht="15.75" hidden="1" outlineLevel="1">
      <c r="B11" s="1536"/>
      <c r="C11" s="1539"/>
      <c r="D11" s="178"/>
      <c r="E11" s="178"/>
      <c r="F11" s="178"/>
      <c r="G11" s="178"/>
      <c r="H11" s="178" cm="1">
        <f t="array" ref="H11">INDEX('Travaux préparatoires'!D:D, $F10)</f>
        <v>0</v>
      </c>
      <c r="I11" s="178" cm="1">
        <f t="array" ref="I11">INDEX('Travaux préparatoires'!F:F, $F10)</f>
        <v>0</v>
      </c>
      <c r="J11" s="178"/>
      <c r="K11" s="319">
        <f>K10*M11</f>
        <v>0</v>
      </c>
      <c r="L11" s="319">
        <f>Hypothèses!$D$12</f>
        <v>60</v>
      </c>
      <c r="M11" cm="1">
        <f t="array" ref="M11">INDEX('Travaux préparatoires'!G:G, $F10)</f>
        <v>0</v>
      </c>
      <c r="N11" s="996" cm="1">
        <f t="array" ref="N11">IFERROR(($K11*INDEX('Travaux préparatoires'!L:L, $F10)),0)/$I$1</f>
        <v>0</v>
      </c>
      <c r="O11" s="996">
        <f>IF($L11=O$3,$N11+$R11,0)</f>
        <v>0</v>
      </c>
      <c r="P11" s="996">
        <f>IF($L11=P$3,$N11+$R11,0)</f>
        <v>0</v>
      </c>
      <c r="Q11" s="275" cm="1">
        <f t="array" ref="Q11">_xlfn.SWITCH(L11,Q$3,N11+R11,O$3,O11,0)</f>
        <v>0</v>
      </c>
      <c r="R11" s="996" cm="1">
        <f t="array" ref="R11">IFERROR(($K11*INDEX('Travaux préparatoires'!M:M, $F10)),0)/$I$1</f>
        <v>0</v>
      </c>
      <c r="S11" s="998">
        <f>SUM(N11:R11)</f>
        <v>0</v>
      </c>
      <c r="T11" s="996">
        <v>0</v>
      </c>
    </row>
    <row r="12" spans="1:20" ht="15.75" collapsed="1">
      <c r="B12" s="1536"/>
      <c r="C12" s="1539"/>
      <c r="D12" s="287" t="str">
        <f>'Outil détaillé'!D9</f>
        <v>Remblayages</v>
      </c>
      <c r="E12" s="751" t="str">
        <f>'Outil détaillé'!$E$6</f>
        <v>Aushub / Excavation</v>
      </c>
      <c r="F12" s="179">
        <f>MATCH(E12, 'Travaux préparatoires'!A:A,0)</f>
        <v>4</v>
      </c>
      <c r="G12" s="751"/>
      <c r="H12" s="751"/>
      <c r="I12" s="751"/>
      <c r="J12" s="751" t="s">
        <v>295</v>
      </c>
      <c r="K12" s="762">
        <f>'Outil détaillé'!J9</f>
        <v>160.83333333333334</v>
      </c>
      <c r="L12" s="762"/>
      <c r="M12" s="762"/>
      <c r="N12" s="994">
        <f>SUM(N13)</f>
        <v>7.2166666666666671E-2</v>
      </c>
      <c r="O12" s="994">
        <f t="shared" ref="O12:Q12" si="4">SUM(O13)</f>
        <v>0</v>
      </c>
      <c r="P12" s="994">
        <f t="shared" si="4"/>
        <v>0</v>
      </c>
      <c r="Q12" s="994">
        <f t="shared" si="4"/>
        <v>0</v>
      </c>
      <c r="R12" s="994">
        <f>SUM(R13)</f>
        <v>0</v>
      </c>
      <c r="S12" s="994">
        <f>SUM(S13)</f>
        <v>7.2166666666666671E-2</v>
      </c>
      <c r="T12" s="1054">
        <f>SUM(T13)</f>
        <v>0</v>
      </c>
    </row>
    <row r="13" spans="1:20" ht="16.5" outlineLevel="1" thickBot="1">
      <c r="B13" s="1537"/>
      <c r="C13" s="1547"/>
      <c r="D13" s="732"/>
      <c r="E13" s="1076"/>
      <c r="F13" s="732"/>
      <c r="G13" s="732"/>
      <c r="H13" s="732"/>
      <c r="I13" s="732" t="str" cm="1">
        <f t="array" ref="I13">INDEX('Travaux préparatoires'!F:F, $F12)</f>
        <v>62.001</v>
      </c>
      <c r="J13" s="732" t="s">
        <v>295</v>
      </c>
      <c r="K13" s="1257">
        <f>K12*M13</f>
        <v>160.83333333333334</v>
      </c>
      <c r="L13" s="1257">
        <f>L9</f>
        <v>60</v>
      </c>
      <c r="M13" s="187" cm="1">
        <f t="array" ref="M13">INDEX('Travaux préparatoires'!G:G, $F12)</f>
        <v>1</v>
      </c>
      <c r="N13" s="1258" cm="1">
        <f t="array" ref="N13">IFERROR(($K13*INDEX('Travaux préparatoires'!L:L, $F12)),0)/$I$1</f>
        <v>7.2166666666666671E-2</v>
      </c>
      <c r="O13" s="1258">
        <f>IF($L13=O$3,$N13+$R13,0)</f>
        <v>0</v>
      </c>
      <c r="P13" s="1258">
        <f>IF($L13=P$3,$N13+$R13,0)</f>
        <v>0</v>
      </c>
      <c r="Q13" s="331" cm="1">
        <f t="array" ref="Q13">_xlfn.SWITCH(L13,Q$3,N13+R13,O$3,O13,0)</f>
        <v>0</v>
      </c>
      <c r="R13" s="1258" cm="1">
        <f t="array" ref="R13">IFERROR(($K13*INDEX('Travaux préparatoires'!M:M, $F12)),0)/$I$1</f>
        <v>0</v>
      </c>
      <c r="S13" s="1259">
        <f>SUM(N13:R13)</f>
        <v>7.2166666666666671E-2</v>
      </c>
      <c r="T13" s="1258">
        <v>0</v>
      </c>
    </row>
    <row r="14" spans="1:20" ht="15.6" customHeight="1">
      <c r="B14" s="1535" t="s">
        <v>614</v>
      </c>
      <c r="C14" s="1545" t="str">
        <f>'Outil détaillé'!C10</f>
        <v>C01</v>
      </c>
      <c r="D14" s="1260" t="str">
        <f>'Outil détaillé'!D10</f>
        <v>Fondations, radiers</v>
      </c>
      <c r="E14" s="726"/>
      <c r="F14" s="726">
        <f>MATCH(D14, 'Enveloppe du bâtiment sout.'!B:B,0)</f>
        <v>3</v>
      </c>
      <c r="G14" s="726"/>
      <c r="H14" s="726"/>
      <c r="I14" s="726"/>
      <c r="J14" s="726"/>
      <c r="K14" s="1261"/>
      <c r="L14" s="1254"/>
      <c r="M14" s="1254"/>
      <c r="N14" s="1255">
        <f ca="1">N15+N23</f>
        <v>45.460858638829919</v>
      </c>
      <c r="O14" s="1255">
        <f t="shared" ref="O14:Q14" ca="1" si="5">O15+O23</f>
        <v>0</v>
      </c>
      <c r="P14" s="1255">
        <f t="shared" ca="1" si="5"/>
        <v>0</v>
      </c>
      <c r="Q14" s="1255">
        <f t="shared" ca="1" si="5"/>
        <v>0</v>
      </c>
      <c r="R14" s="1255">
        <f ca="1">R15+R23</f>
        <v>5.3487234819532921</v>
      </c>
      <c r="S14" s="1255">
        <f ca="1">S15+S23</f>
        <v>50.809582120783205</v>
      </c>
      <c r="T14" s="1256">
        <f ca="1">T15+T23</f>
        <v>0</v>
      </c>
    </row>
    <row r="15" spans="1:20" ht="15.75">
      <c r="B15" s="1536"/>
      <c r="C15" s="1546"/>
      <c r="D15" s="287" t="str">
        <f>'Outil détaillé'!D11</f>
        <v>Fondations</v>
      </c>
      <c r="E15" s="179" t="str">
        <f>'Outil détaillé'!E11</f>
        <v>non-isolés</v>
      </c>
      <c r="F15" s="179">
        <f ca="1">MATCH(E15, INDIRECT("'Enveloppe du bâtiment sout.'!A"&amp;F14+1&amp;":A500"),0)+F14</f>
        <v>4</v>
      </c>
      <c r="G15" s="179"/>
      <c r="H15" s="179"/>
      <c r="I15" s="179"/>
      <c r="J15" s="179" t="s">
        <v>97</v>
      </c>
      <c r="K15" s="294">
        <f>'Outil détaillé'!J11</f>
        <v>153.68518518518516</v>
      </c>
      <c r="L15" s="295"/>
      <c r="M15" s="295"/>
      <c r="N15" s="994">
        <f ca="1">SUM(N16:N22)</f>
        <v>14.697871589997639</v>
      </c>
      <c r="O15" s="994">
        <f t="shared" ref="O15:Q15" ca="1" si="6">SUM(O16:O22)</f>
        <v>0</v>
      </c>
      <c r="P15" s="994">
        <f t="shared" ca="1" si="6"/>
        <v>0</v>
      </c>
      <c r="Q15" s="994">
        <f t="shared" ca="1" si="6"/>
        <v>0</v>
      </c>
      <c r="R15" s="994">
        <f ca="1">SUM(R16:R22)</f>
        <v>1.7292865392781318</v>
      </c>
      <c r="S15" s="994">
        <f ca="1">SUM(S16:S22)</f>
        <v>16.427158129275771</v>
      </c>
      <c r="T15" s="1054">
        <f ca="1">SUM(T16:T22)</f>
        <v>0</v>
      </c>
    </row>
    <row r="16" spans="1:20" ht="15.75" outlineLevel="1">
      <c r="B16" s="1536"/>
      <c r="C16" s="1546"/>
      <c r="D16" s="1262"/>
      <c r="E16" s="285"/>
      <c r="F16" s="178">
        <f ca="1">IF(I16=0,2,F15+1)</f>
        <v>5</v>
      </c>
      <c r="G16" s="178" t="str" cm="1">
        <f t="array" aca="1" ref="G16" ca="1">INDEX('Enveloppe du bâtiment sout.'!C:C, $F15)</f>
        <v>Magerbeton / Béton maigre 7 cm [kg], 2'150 [kg/m3]</v>
      </c>
      <c r="H16" s="178" t="str" cm="1">
        <f t="array" aca="1" ref="H16" ca="1">INDEX('Enveloppe du bâtiment sout.'!D:D, $F15)</f>
        <v>Béton maigre (sans armature)</v>
      </c>
      <c r="I16" s="178" t="str" cm="1">
        <f t="array" aca="1" ref="I16" ca="1">INDEX('Enveloppe du bâtiment sout.'!F:F, $F15)</f>
        <v>01.001</v>
      </c>
      <c r="J16" s="178" t="str">
        <f ca="1">_xlfn.XLOOKUP($I16,'Baumaterialien Matériaux'!A:A,'Baumaterialien Matériaux'!G:G,0,0)</f>
        <v>kg</v>
      </c>
      <c r="K16" s="286">
        <f ca="1">M16*$K$15</f>
        <v>23129.620370370372</v>
      </c>
      <c r="L16" s="286" cm="1">
        <f t="array" aca="1" ref="L16" ca="1">INDEX('Enveloppe du bâtiment sout.'!I:I, $F15)</f>
        <v>60</v>
      </c>
      <c r="M16" s="286" cm="1">
        <f t="array" aca="1" ref="M16" ca="1">INDEX('Enveloppe du bâtiment sout.'!G:G, $F15)</f>
        <v>150.50000000000003</v>
      </c>
      <c r="N16" s="999" cm="1">
        <f t="array" aca="1" ref="N16" ca="1">IFERROR(INDEX('Enveloppe du bâtiment sout.'!L:L, $F15)*$K16/$M16,0)/$I$1</f>
        <v>1.2032196296296298</v>
      </c>
      <c r="O16" s="996">
        <f t="shared" ref="O16:P22" ca="1" si="7">IF($L16=O$3,$N16+$R16,0)</f>
        <v>0</v>
      </c>
      <c r="P16" s="996">
        <f t="shared" ca="1" si="7"/>
        <v>0</v>
      </c>
      <c r="Q16" s="275" cm="1">
        <f t="array" aca="1" ref="Q16" ca="1">_xlfn.SWITCH(L16,Q$3,N16+R16,O$3,O16,0)</f>
        <v>0</v>
      </c>
      <c r="R16" s="999" cm="1">
        <f t="array" aca="1" ref="R16" ca="1">IFERROR(INDEX('Enveloppe du bâtiment sout.'!M:M, $F15)*$K16/$M16,0)/$I$1</f>
        <v>0.30200333333333335</v>
      </c>
      <c r="S16" s="997">
        <f t="shared" ref="S16:S22" ca="1" si="8">SUM(N16:R16)</f>
        <v>1.5052229629629632</v>
      </c>
      <c r="T16" s="996" cm="1">
        <f t="array" aca="1" ref="T16" ca="1">IFERROR(INDEX('Enveloppe du bâtiment sout.'!#REF!, $F15)*$K16/$M16,0)/$I$1</f>
        <v>0</v>
      </c>
    </row>
    <row r="17" spans="2:20" ht="15.75" outlineLevel="1">
      <c r="B17" s="1536"/>
      <c r="C17" s="1546"/>
      <c r="D17" s="1262"/>
      <c r="E17" s="285"/>
      <c r="F17" s="178">
        <f t="shared" ref="F17:F22" ca="1" si="9">IF(I17=0,2,F16+1)</f>
        <v>6</v>
      </c>
      <c r="G17" s="178" t="str" cm="1">
        <f t="array" aca="1" ref="G17" ca="1">INDEX('Enveloppe du bâtiment sout.'!C:C, $F16)</f>
        <v>Hochbaubeton / béton pour bâtiment, 30 cm [kg], 2'300 [kg/m3]</v>
      </c>
      <c r="H17" s="178" t="str" cm="1">
        <f t="array" aca="1" ref="H17" ca="1">INDEX('Enveloppe du bâtiment sout.'!D:D, $F16)</f>
        <v>Béton pour bâtiment (sans armature)</v>
      </c>
      <c r="I17" s="178" t="str" cm="1">
        <f t="array" aca="1" ref="I17" ca="1">INDEX('Enveloppe du bâtiment sout.'!F:F, $F16)</f>
        <v>01.002</v>
      </c>
      <c r="J17" s="178" t="str">
        <f ca="1">_xlfn.XLOOKUP($I17,'Baumaterialien Matériaux'!A:A,'Baumaterialien Matériaux'!G:G,0,0)</f>
        <v>kg</v>
      </c>
      <c r="K17" s="286">
        <f t="shared" ref="K17:K22" ca="1" si="10">M17*$K$15</f>
        <v>104624.37119603679</v>
      </c>
      <c r="L17" s="286" cm="1">
        <f t="array" aca="1" ref="L17" ca="1">INDEX('Enveloppe du bâtiment sout.'!I:I, $F16)</f>
        <v>60</v>
      </c>
      <c r="M17" s="286" cm="1">
        <f t="array" aca="1" ref="M17" ca="1">INDEX('Enveloppe du bâtiment sout.'!G:G, $F16)</f>
        <v>680.77070063694271</v>
      </c>
      <c r="N17" s="999" cm="1">
        <f t="array" aca="1" ref="N17" ca="1">IFERROR(INDEX('Enveloppe du bâtiment sout.'!L:L, $F16)*$K17/$M17,0)/$I$1</f>
        <v>9.6167686270346771</v>
      </c>
      <c r="O17" s="996">
        <f t="shared" ca="1" si="7"/>
        <v>0</v>
      </c>
      <c r="P17" s="996">
        <f t="shared" ca="1" si="7"/>
        <v>0</v>
      </c>
      <c r="Q17" s="275" cm="1">
        <f t="array" aca="1" ref="Q17" ca="1">_xlfn.SWITCH(L17,Q$3,N17+R17,O$3,O17,0)</f>
        <v>0</v>
      </c>
      <c r="R17" s="999" cm="1">
        <f t="array" aca="1" ref="R17" ca="1">IFERROR(INDEX('Enveloppe du bâtiment sout.'!M:M, $F16)*$K17/$M17,0)/$I$1</f>
        <v>1.3660798726114651</v>
      </c>
      <c r="S17" s="997">
        <f t="shared" ca="1" si="8"/>
        <v>10.982848499646142</v>
      </c>
      <c r="T17" s="996" cm="1">
        <f t="array" aca="1" ref="T17" ca="1">IFERROR(INDEX('Enveloppe du bâtiment sout.'!#REF!, $F16)*$K17/$M17,0)/$I$1</f>
        <v>0</v>
      </c>
    </row>
    <row r="18" spans="2:20" ht="15.75" outlineLevel="1">
      <c r="B18" s="1536"/>
      <c r="C18" s="1546"/>
      <c r="D18" s="1262"/>
      <c r="E18" s="285"/>
      <c r="F18" s="178">
        <f t="shared" ca="1" si="9"/>
        <v>7</v>
      </c>
      <c r="G18" s="178" t="str" cm="1">
        <f t="array" aca="1" ref="G18" ca="1">INDEX('Enveloppe du bâtiment sout.'!C:C, $F17)</f>
        <v>Armierungsstahl / Acier d'armature [kg], 7'850 [kg/m3]</v>
      </c>
      <c r="H18" s="178" t="str" cm="1">
        <f t="array" aca="1" ref="H18" ca="1">INDEX('Enveloppe du bâtiment sout.'!D:D, $F17)</f>
        <v>Acier d'armature</v>
      </c>
      <c r="I18" s="178" t="str" cm="1">
        <f t="array" aca="1" ref="I18" ca="1">INDEX('Enveloppe du bâtiment sout.'!F:F, $F17)</f>
        <v>06.003</v>
      </c>
      <c r="J18" s="178" t="str">
        <f ca="1">_xlfn.XLOOKUP($I18,'Baumaterialien Matériaux'!A:A,'Baumaterialien Matériaux'!G:G,0,0)</f>
        <v>kg</v>
      </c>
      <c r="K18" s="286">
        <f t="shared" ca="1" si="10"/>
        <v>4841.083333333333</v>
      </c>
      <c r="L18" s="286" cm="1">
        <f t="array" aca="1" ref="L18" ca="1">INDEX('Enveloppe du bâtiment sout.'!I:I, $F17)</f>
        <v>60</v>
      </c>
      <c r="M18" s="286" cm="1">
        <f t="array" aca="1" ref="M18" ca="1">INDEX('Enveloppe du bâtiment sout.'!G:G, $F17)</f>
        <v>31.5</v>
      </c>
      <c r="N18" s="999" cm="1">
        <f t="array" aca="1" ref="N18" ca="1">IFERROR(INDEX('Enveloppe du bâtiment sout.'!L:L, $F17)*$K18/$M18,0)/$I$1</f>
        <v>3.8778833333333327</v>
      </c>
      <c r="O18" s="996">
        <f t="shared" ca="1" si="7"/>
        <v>0</v>
      </c>
      <c r="P18" s="996">
        <f t="shared" ca="1" si="7"/>
        <v>0</v>
      </c>
      <c r="Q18" s="275" cm="1">
        <f t="array" aca="1" ref="Q18" ca="1">_xlfn.SWITCH(L18,Q$3,N18+R18,O$3,O18,0)</f>
        <v>0</v>
      </c>
      <c r="R18" s="999" cm="1">
        <f t="array" aca="1" ref="R18" ca="1">IFERROR(INDEX('Enveloppe du bâtiment sout.'!M:M, $F17)*$K18/$M18,0)/$I$1</f>
        <v>6.1203333333333332E-2</v>
      </c>
      <c r="S18" s="997">
        <f t="shared" ca="1" si="8"/>
        <v>3.939086666666666</v>
      </c>
      <c r="T18" s="996" cm="1">
        <f t="array" aca="1" ref="T18" ca="1">IFERROR(INDEX('Enveloppe du bâtiment sout.'!#REF!, $F17)*$K18/$M18,0)/$I$1</f>
        <v>0</v>
      </c>
    </row>
    <row r="19" spans="2:20" ht="15.75" outlineLevel="1">
      <c r="B19" s="1536"/>
      <c r="C19" s="1546"/>
      <c r="D19" s="1262"/>
      <c r="E19" s="285"/>
      <c r="F19" s="178">
        <f t="shared" ca="1" si="9"/>
        <v>2</v>
      </c>
      <c r="G19" s="178" cm="1">
        <f t="array" aca="1" ref="G19" ca="1">INDEX('Enveloppe du bâtiment sout.'!C:C, $F18)</f>
        <v>0</v>
      </c>
      <c r="H19" s="178" cm="1">
        <f t="array" aca="1" ref="H19" ca="1">INDEX('Enveloppe du bâtiment sout.'!D:D, $F18)</f>
        <v>0</v>
      </c>
      <c r="I19" s="178" cm="1">
        <f t="array" aca="1" ref="I19" ca="1">INDEX('Enveloppe du bâtiment sout.'!F:F, $F18)</f>
        <v>0</v>
      </c>
      <c r="J19" s="178">
        <f ca="1">_xlfn.XLOOKUP($I19,'Baumaterialien Matériaux'!A:A,'Baumaterialien Matériaux'!G:G,0,0)</f>
        <v>0</v>
      </c>
      <c r="K19" s="286">
        <f t="shared" ca="1" si="10"/>
        <v>0</v>
      </c>
      <c r="L19" s="286" cm="1">
        <f t="array" aca="1" ref="L19" ca="1">INDEX('Enveloppe du bâtiment sout.'!I:I, $F18)</f>
        <v>60</v>
      </c>
      <c r="M19" s="286" cm="1">
        <f t="array" aca="1" ref="M19" ca="1">INDEX('Enveloppe du bâtiment sout.'!G:G, $F18)</f>
        <v>0</v>
      </c>
      <c r="N19" s="999" cm="1">
        <f t="array" aca="1" ref="N19" ca="1">IFERROR(INDEX('Enveloppe du bâtiment sout.'!L:L, $F18)*$K19/$M19,0)/$I$1</f>
        <v>0</v>
      </c>
      <c r="O19" s="996">
        <f t="shared" ca="1" si="7"/>
        <v>0</v>
      </c>
      <c r="P19" s="996">
        <f t="shared" ca="1" si="7"/>
        <v>0</v>
      </c>
      <c r="Q19" s="275" cm="1">
        <f t="array" aca="1" ref="Q19" ca="1">_xlfn.SWITCH(L19,Q$3,N19+R19,O$3,O19,0)</f>
        <v>0</v>
      </c>
      <c r="R19" s="999" cm="1">
        <f t="array" aca="1" ref="R19" ca="1">IFERROR(INDEX('Enveloppe du bâtiment sout.'!M:M, $F18)*$K19/$M19,0)/$I$1</f>
        <v>0</v>
      </c>
      <c r="S19" s="997">
        <f t="shared" ca="1" si="8"/>
        <v>0</v>
      </c>
      <c r="T19" s="996" cm="1">
        <f t="array" aca="1" ref="T19" ca="1">IFERROR(INDEX('Enveloppe du bâtiment sout.'!#REF!, $F18)*$K19/$M19,0)/$I$1</f>
        <v>0</v>
      </c>
    </row>
    <row r="20" spans="2:20" ht="15.75" outlineLevel="1">
      <c r="B20" s="1536"/>
      <c r="C20" s="1546"/>
      <c r="D20" s="1262"/>
      <c r="E20" s="285"/>
      <c r="F20" s="178">
        <f t="shared" ca="1" si="9"/>
        <v>2</v>
      </c>
      <c r="G20" s="178" cm="1">
        <f t="array" aca="1" ref="G20" ca="1">INDEX('Enveloppe du bâtiment sout.'!C:C, $F19)</f>
        <v>0</v>
      </c>
      <c r="H20" s="178" cm="1">
        <f t="array" aca="1" ref="H20" ca="1">INDEX('Enveloppe du bâtiment sout.'!D:D, $F19)</f>
        <v>0</v>
      </c>
      <c r="I20" s="178" cm="1">
        <f t="array" aca="1" ref="I20" ca="1">INDEX('Enveloppe du bâtiment sout.'!F:F, $F19)</f>
        <v>0</v>
      </c>
      <c r="J20" s="178">
        <f ca="1">_xlfn.XLOOKUP($I20,'Baumaterialien Matériaux'!A:A,'Baumaterialien Matériaux'!G:G,0,0)</f>
        <v>0</v>
      </c>
      <c r="K20" s="286">
        <f t="shared" ca="1" si="10"/>
        <v>0</v>
      </c>
      <c r="L20" s="286" cm="1">
        <f t="array" aca="1" ref="L20" ca="1">INDEX('Enveloppe du bâtiment sout.'!I:I, $F19)</f>
        <v>0</v>
      </c>
      <c r="M20" s="286" cm="1">
        <f t="array" aca="1" ref="M20" ca="1">INDEX('Enveloppe du bâtiment sout.'!G:G, $F19)</f>
        <v>0</v>
      </c>
      <c r="N20" s="999" cm="1">
        <f t="array" aca="1" ref="N20" ca="1">IFERROR(INDEX('Enveloppe du bâtiment sout.'!L:L, $F19)*$K$15,0)/$I$1</f>
        <v>0</v>
      </c>
      <c r="O20" s="996">
        <f t="shared" ca="1" si="7"/>
        <v>0</v>
      </c>
      <c r="P20" s="996">
        <f t="shared" ca="1" si="7"/>
        <v>0</v>
      </c>
      <c r="Q20" s="275" cm="1">
        <f t="array" aca="1" ref="Q20" ca="1">_xlfn.SWITCH(L20,Q$3,N20+R20,O$3,O20,0)</f>
        <v>0</v>
      </c>
      <c r="R20" s="999" cm="1">
        <f t="array" aca="1" ref="R20" ca="1">IFERROR(INDEX('Enveloppe du bâtiment sout.'!M:M, $F19)*$K$15,0)/$I$1</f>
        <v>0</v>
      </c>
      <c r="S20" s="997">
        <f t="shared" ca="1" si="8"/>
        <v>0</v>
      </c>
      <c r="T20" s="996" cm="1">
        <f t="array" aca="1" ref="T20" ca="1">IFERROR(INDEX('Enveloppe du bâtiment sout.'!#REF!, $F19)*$K$15,0)/$I$1</f>
        <v>0</v>
      </c>
    </row>
    <row r="21" spans="2:20" ht="15.75" outlineLevel="1">
      <c r="B21" s="1536"/>
      <c r="C21" s="1546"/>
      <c r="D21" s="1262"/>
      <c r="E21" s="285"/>
      <c r="F21" s="178">
        <f t="shared" ca="1" si="9"/>
        <v>2</v>
      </c>
      <c r="G21" s="178" cm="1">
        <f t="array" aca="1" ref="G21" ca="1">INDEX('Enveloppe du bâtiment sout.'!C:C, $F20)</f>
        <v>0</v>
      </c>
      <c r="H21" s="178" cm="1">
        <f t="array" aca="1" ref="H21" ca="1">INDEX('Enveloppe du bâtiment sout.'!D:D, $F20)</f>
        <v>0</v>
      </c>
      <c r="I21" s="178" cm="1">
        <f t="array" aca="1" ref="I21" ca="1">INDEX('Enveloppe du bâtiment sout.'!F:F, $F20)</f>
        <v>0</v>
      </c>
      <c r="J21" s="178">
        <f ca="1">_xlfn.XLOOKUP($I21,'Baumaterialien Matériaux'!A:A,'Baumaterialien Matériaux'!G:G,0,0)</f>
        <v>0</v>
      </c>
      <c r="K21" s="286">
        <f t="shared" ca="1" si="10"/>
        <v>0</v>
      </c>
      <c r="L21" s="286" cm="1">
        <f t="array" aca="1" ref="L21" ca="1">INDEX('Enveloppe du bâtiment sout.'!I:I, $F20)</f>
        <v>0</v>
      </c>
      <c r="M21" s="286" cm="1">
        <f t="array" aca="1" ref="M21" ca="1">INDEX('Enveloppe du bâtiment sout.'!G:G, $F20)</f>
        <v>0</v>
      </c>
      <c r="N21" s="999" cm="1">
        <f t="array" aca="1" ref="N21" ca="1">IFERROR(INDEX('Enveloppe du bâtiment sout.'!L:L, $F20)*$K$15,0)/$I$1</f>
        <v>0</v>
      </c>
      <c r="O21" s="996">
        <f t="shared" ca="1" si="7"/>
        <v>0</v>
      </c>
      <c r="P21" s="996">
        <f t="shared" ca="1" si="7"/>
        <v>0</v>
      </c>
      <c r="Q21" s="275" cm="1">
        <f t="array" aca="1" ref="Q21" ca="1">_xlfn.SWITCH(L21,Q$3,N21+R21,O$3,O21,0)</f>
        <v>0</v>
      </c>
      <c r="R21" s="999" cm="1">
        <f t="array" aca="1" ref="R21" ca="1">IFERROR(INDEX('Enveloppe du bâtiment sout.'!M:M, $F20)*$K$15,0)/$I$1</f>
        <v>0</v>
      </c>
      <c r="S21" s="997">
        <f t="shared" ca="1" si="8"/>
        <v>0</v>
      </c>
      <c r="T21" s="996" cm="1">
        <f t="array" aca="1" ref="T21" ca="1">IFERROR(INDEX('Enveloppe du bâtiment sout.'!#REF!, $F20)*$K$15,0)/$I$1</f>
        <v>0</v>
      </c>
    </row>
    <row r="22" spans="2:20" ht="15.75" outlineLevel="1">
      <c r="B22" s="1536"/>
      <c r="C22" s="1546"/>
      <c r="D22" s="1262"/>
      <c r="E22" s="285"/>
      <c r="F22" s="178">
        <f t="shared" ca="1" si="9"/>
        <v>2</v>
      </c>
      <c r="G22" s="178" cm="1">
        <f t="array" aca="1" ref="G22" ca="1">INDEX('Enveloppe du bâtiment sout.'!C:C, $F21)</f>
        <v>0</v>
      </c>
      <c r="H22" s="178" cm="1">
        <f t="array" aca="1" ref="H22" ca="1">INDEX('Enveloppe du bâtiment sout.'!D:D, $F21)</f>
        <v>0</v>
      </c>
      <c r="I22" s="178" cm="1">
        <f t="array" aca="1" ref="I22" ca="1">INDEX('Enveloppe du bâtiment sout.'!F:F, $F21)</f>
        <v>0</v>
      </c>
      <c r="J22" s="178">
        <f ca="1">_xlfn.XLOOKUP($I22,'Baumaterialien Matériaux'!A:A,'Baumaterialien Matériaux'!G:G,0,0)</f>
        <v>0</v>
      </c>
      <c r="K22" s="286">
        <f t="shared" ca="1" si="10"/>
        <v>0</v>
      </c>
      <c r="L22" s="286" cm="1">
        <f t="array" aca="1" ref="L22" ca="1">INDEX('Enveloppe du bâtiment sout.'!I:I, $F21)</f>
        <v>0</v>
      </c>
      <c r="M22" s="286" cm="1">
        <f t="array" aca="1" ref="M22" ca="1">INDEX('Enveloppe du bâtiment sout.'!G:G, $F21)</f>
        <v>0</v>
      </c>
      <c r="N22" s="999" cm="1">
        <f t="array" aca="1" ref="N22" ca="1">IFERROR(INDEX('Enveloppe du bâtiment sout.'!L:L, $F21)*$K22/$M22,0)/$I$1</f>
        <v>0</v>
      </c>
      <c r="O22" s="996">
        <f t="shared" ca="1" si="7"/>
        <v>0</v>
      </c>
      <c r="P22" s="996">
        <f t="shared" ca="1" si="7"/>
        <v>0</v>
      </c>
      <c r="Q22" s="275" cm="1">
        <f t="array" aca="1" ref="Q22" ca="1">_xlfn.SWITCH(L22,Q$3,N22+R22,O$3,O22,0)</f>
        <v>0</v>
      </c>
      <c r="R22" s="999" cm="1">
        <f t="array" aca="1" ref="R22" ca="1">IFERROR(INDEX('Enveloppe du bâtiment sout.'!M:M, $F21)*$K22/$M22,0)/$I$1</f>
        <v>0</v>
      </c>
      <c r="S22" s="997">
        <f t="shared" ca="1" si="8"/>
        <v>0</v>
      </c>
      <c r="T22" s="996" cm="1">
        <f t="array" aca="1" ref="T22" ca="1">IFERROR(INDEX('Enveloppe du bâtiment sout.'!#REF!, $F21)*$K22/$M22,0)/$I$1</f>
        <v>0</v>
      </c>
    </row>
    <row r="23" spans="2:20" ht="15.75">
      <c r="B23" s="1536"/>
      <c r="C23" s="1546"/>
      <c r="D23" s="287" t="str">
        <f>'Outil détaillé'!D12</f>
        <v>Radiers</v>
      </c>
      <c r="E23" s="287" t="str">
        <f>'Outil détaillé'!E12</f>
        <v>non-isolés</v>
      </c>
      <c r="F23" s="179">
        <f ca="1">MATCH(E23, INDIRECT("'Enveloppe du bâtiment sout.'!A"&amp;F14+1&amp;":A500"),0)+F14</f>
        <v>4</v>
      </c>
      <c r="G23" s="179"/>
      <c r="H23" s="179"/>
      <c r="I23" s="179"/>
      <c r="J23" s="179" t="s">
        <v>97</v>
      </c>
      <c r="K23" s="294">
        <f>'Outil détaillé'!J12</f>
        <v>321.66666666666669</v>
      </c>
      <c r="L23" s="295"/>
      <c r="M23" s="295"/>
      <c r="N23" s="994">
        <f t="shared" ref="N23" ca="1" si="11">SUM(N24:N30)</f>
        <v>30.762987048832279</v>
      </c>
      <c r="O23" s="994">
        <f>SUM(O24:O30)</f>
        <v>0</v>
      </c>
      <c r="P23" s="994">
        <f>SUM(P24:P30)</f>
        <v>0</v>
      </c>
      <c r="Q23" s="994">
        <f ca="1">SUM(Q24:Q30)</f>
        <v>0</v>
      </c>
      <c r="R23" s="994">
        <f ca="1">SUM(R24:R30)</f>
        <v>3.6194369426751605</v>
      </c>
      <c r="S23" s="994">
        <f ca="1">SUM(S24:S30)</f>
        <v>34.382423991507437</v>
      </c>
      <c r="T23" s="1054">
        <f t="shared" ref="T23" ca="1" si="12">SUM(T24:T30)</f>
        <v>0</v>
      </c>
    </row>
    <row r="24" spans="2:20" ht="15.75" hidden="1" outlineLevel="1">
      <c r="B24" s="1536"/>
      <c r="C24" s="1546"/>
      <c r="D24" s="1262"/>
      <c r="E24" s="285"/>
      <c r="F24" s="178">
        <f ca="1">IF(I24=0,2,F23+1)</f>
        <v>5</v>
      </c>
      <c r="G24" s="178" t="str" cm="1">
        <f t="array" aca="1" ref="G24" ca="1">INDEX('Enveloppe du bâtiment sout.'!C:C, $F23)</f>
        <v>Magerbeton / Béton maigre 7 cm [kg], 2'150 [kg/m3]</v>
      </c>
      <c r="H24" s="178" t="str" cm="1">
        <f t="array" aca="1" ref="H24" ca="1">INDEX('Enveloppe du bâtiment sout.'!D:D, $F23)</f>
        <v>Béton maigre (sans armature)</v>
      </c>
      <c r="I24" s="178" t="str" cm="1">
        <f t="array" aca="1" ref="I24" ca="1">INDEX('Enveloppe du bâtiment sout.'!F:F, $F23)</f>
        <v>01.001</v>
      </c>
      <c r="J24" s="178" t="str">
        <f ca="1">_xlfn.XLOOKUP($I24,'Baumaterialien Matériaux'!A:A,'Baumaterialien Matériaux'!G:G,0,0)</f>
        <v>kg</v>
      </c>
      <c r="K24" s="286">
        <f ca="1">M24*$K$23</f>
        <v>48410.833333333343</v>
      </c>
      <c r="L24" s="319">
        <f>Hypothèses!$D$12</f>
        <v>60</v>
      </c>
      <c r="M24" s="178" cm="1">
        <f t="array" aca="1" ref="M24" ca="1">INDEX('Enveloppe du bâtiment sout.'!G:G, $F23)</f>
        <v>150.50000000000003</v>
      </c>
      <c r="N24" s="999" cm="1">
        <f t="array" aca="1" ref="N24" ca="1">IFERROR(INDEX('Enveloppe du bâtiment sout.'!L:L, $F23)*$K24/$M24,0)/$I$1</f>
        <v>2.5183666666666671</v>
      </c>
      <c r="O24" s="996">
        <f t="shared" ref="O24:P30" si="13">IF($L24=O$3,$N24+$R24,0)</f>
        <v>0</v>
      </c>
      <c r="P24" s="996">
        <f t="shared" si="13"/>
        <v>0</v>
      </c>
      <c r="Q24" s="275" cm="1">
        <f t="array" aca="1" ref="Q24" ca="1">_xlfn.SWITCH(L24,Q$3,N24+R24,O$3,O24,0)</f>
        <v>0</v>
      </c>
      <c r="R24" s="999" cm="1">
        <f t="array" aca="1" ref="R24" ca="1">IFERROR(INDEX('Enveloppe du bâtiment sout.'!M:M, $F23)*$K24/$M24,0)/$I$1</f>
        <v>0.63210000000000011</v>
      </c>
      <c r="S24" s="997">
        <f t="shared" ref="S24:S30" ca="1" si="14">SUM(N24:R24)</f>
        <v>3.1504666666666674</v>
      </c>
      <c r="T24" s="996" cm="1">
        <f t="array" aca="1" ref="T24" ca="1">IFERROR(INDEX('Enveloppe du bâtiment sout.'!#REF!, $F23)*$K24/$M24,0)/$I$1</f>
        <v>0</v>
      </c>
    </row>
    <row r="25" spans="2:20" ht="15.75" hidden="1" outlineLevel="1">
      <c r="B25" s="1536"/>
      <c r="C25" s="1546"/>
      <c r="D25" s="1262"/>
      <c r="E25" s="285"/>
      <c r="F25" s="178">
        <f t="shared" ref="F25:F30" ca="1" si="15">IF(I25=0,2,F24+1)</f>
        <v>6</v>
      </c>
      <c r="G25" s="178" t="str" cm="1">
        <f t="array" aca="1" ref="G25" ca="1">INDEX('Enveloppe du bâtiment sout.'!C:C, $F24)</f>
        <v>Hochbaubeton / béton pour bâtiment, 30 cm [kg], 2'300 [kg/m3]</v>
      </c>
      <c r="H25" s="178" t="str" cm="1">
        <f t="array" aca="1" ref="H25" ca="1">INDEX('Enveloppe du bâtiment sout.'!D:D, $F24)</f>
        <v>Béton pour bâtiment (sans armature)</v>
      </c>
      <c r="I25" s="178" t="str" cm="1">
        <f t="array" aca="1" ref="I25" ca="1">INDEX('Enveloppe du bâtiment sout.'!F:F, $F24)</f>
        <v>01.002</v>
      </c>
      <c r="J25" s="178" t="str">
        <f ca="1">_xlfn.XLOOKUP($I25,'Baumaterialien Matériaux'!A:A,'Baumaterialien Matériaux'!G:G,0,0)</f>
        <v>kg</v>
      </c>
      <c r="K25" s="286">
        <f t="shared" ref="K25:K30" ca="1" si="16">M25*$K$23</f>
        <v>218981.24203821659</v>
      </c>
      <c r="L25" s="319">
        <f>Hypothèses!$D$12</f>
        <v>60</v>
      </c>
      <c r="M25" s="178" cm="1">
        <f t="array" aca="1" ref="M25" ca="1">INDEX('Enveloppe du bâtiment sout.'!G:G, $F24)</f>
        <v>680.77070063694271</v>
      </c>
      <c r="N25" s="999" cm="1">
        <f t="array" aca="1" ref="N25" ca="1">IFERROR(INDEX('Enveloppe du bâtiment sout.'!L:L, $F24)*$K25/$M25,0)/$I$1</f>
        <v>20.128120382165609</v>
      </c>
      <c r="O25" s="996">
        <f t="shared" si="13"/>
        <v>0</v>
      </c>
      <c r="P25" s="996">
        <f t="shared" si="13"/>
        <v>0</v>
      </c>
      <c r="Q25" s="275" cm="1">
        <f t="array" aca="1" ref="Q25" ca="1">_xlfn.SWITCH(L25,Q$3,N25+R25,O$3,O25,0)</f>
        <v>0</v>
      </c>
      <c r="R25" s="999" cm="1">
        <f t="array" aca="1" ref="R25" ca="1">IFERROR(INDEX('Enveloppe du bâtiment sout.'!M:M, $F24)*$K25/$M25,0)/$I$1</f>
        <v>2.8592369426751603</v>
      </c>
      <c r="S25" s="997">
        <f t="shared" ca="1" si="14"/>
        <v>22.987357324840769</v>
      </c>
      <c r="T25" s="996" cm="1">
        <f t="array" aca="1" ref="T25" ca="1">IFERROR(INDEX('Enveloppe du bâtiment sout.'!#REF!, $F24)*$K25/$M25,0)/$I$1</f>
        <v>0</v>
      </c>
    </row>
    <row r="26" spans="2:20" ht="15.75" hidden="1" outlineLevel="1">
      <c r="B26" s="1536"/>
      <c r="C26" s="1546"/>
      <c r="D26" s="1262"/>
      <c r="E26" s="285"/>
      <c r="F26" s="178">
        <f t="shared" ca="1" si="15"/>
        <v>7</v>
      </c>
      <c r="G26" s="178" t="str" cm="1">
        <f t="array" aca="1" ref="G26" ca="1">INDEX('Enveloppe du bâtiment sout.'!C:C, $F25)</f>
        <v>Armierungsstahl / Acier d'armature [kg], 7'850 [kg/m3]</v>
      </c>
      <c r="H26" s="178" t="str" cm="1">
        <f t="array" aca="1" ref="H26" ca="1">INDEX('Enveloppe du bâtiment sout.'!D:D, $F25)</f>
        <v>Acier d'armature</v>
      </c>
      <c r="I26" s="178" t="str" cm="1">
        <f t="array" aca="1" ref="I26" ca="1">INDEX('Enveloppe du bâtiment sout.'!F:F, $F25)</f>
        <v>06.003</v>
      </c>
      <c r="J26" s="178" t="str">
        <f ca="1">_xlfn.XLOOKUP($I26,'Baumaterialien Matériaux'!A:A,'Baumaterialien Matériaux'!G:G,0,0)</f>
        <v>kg</v>
      </c>
      <c r="K26" s="286">
        <f t="shared" ca="1" si="16"/>
        <v>10132.5</v>
      </c>
      <c r="L26" s="319">
        <f>Hypothèses!$D$12</f>
        <v>60</v>
      </c>
      <c r="M26" s="178" cm="1">
        <f t="array" aca="1" ref="M26" ca="1">INDEX('Enveloppe du bâtiment sout.'!G:G, $F25)</f>
        <v>31.5</v>
      </c>
      <c r="N26" s="999" cm="1">
        <f t="array" aca="1" ref="N26" ca="1">IFERROR(INDEX('Enveloppe du bâtiment sout.'!L:L, $F25)*$K26/$M26,0)/$I$1</f>
        <v>8.1165000000000003</v>
      </c>
      <c r="O26" s="996">
        <f t="shared" si="13"/>
        <v>0</v>
      </c>
      <c r="P26" s="996">
        <f t="shared" si="13"/>
        <v>0</v>
      </c>
      <c r="Q26" s="275" cm="1">
        <f t="array" aca="1" ref="Q26" ca="1">_xlfn.SWITCH(L26,Q$3,N26+R26,O$3,O26,0)</f>
        <v>0</v>
      </c>
      <c r="R26" s="999" cm="1">
        <f t="array" aca="1" ref="R26" ca="1">IFERROR(INDEX('Enveloppe du bâtiment sout.'!M:M, $F25)*$K26/$M26,0)/$I$1</f>
        <v>0.12810000000000002</v>
      </c>
      <c r="S26" s="997">
        <f t="shared" ca="1" si="14"/>
        <v>8.2446000000000002</v>
      </c>
      <c r="T26" s="996" cm="1">
        <f t="array" aca="1" ref="T26" ca="1">IFERROR(INDEX('Enveloppe du bâtiment sout.'!#REF!, $F25)*$K26/$M26,0)/$I$1</f>
        <v>0</v>
      </c>
    </row>
    <row r="27" spans="2:20" ht="15.75" hidden="1" outlineLevel="1">
      <c r="B27" s="1536"/>
      <c r="C27" s="1546"/>
      <c r="D27" s="1262"/>
      <c r="E27" s="285"/>
      <c r="F27" s="178">
        <f t="shared" ca="1" si="15"/>
        <v>2</v>
      </c>
      <c r="G27" s="178" cm="1">
        <f t="array" aca="1" ref="G27" ca="1">INDEX('Enveloppe du bâtiment sout.'!C:C, $F26)</f>
        <v>0</v>
      </c>
      <c r="H27" s="178" cm="1">
        <f t="array" aca="1" ref="H27" ca="1">INDEX('Enveloppe du bâtiment sout.'!D:D, $F26)</f>
        <v>0</v>
      </c>
      <c r="I27" s="178" cm="1">
        <f t="array" aca="1" ref="I27" ca="1">INDEX('Enveloppe du bâtiment sout.'!F:F, $F26)</f>
        <v>0</v>
      </c>
      <c r="J27" s="178">
        <f ca="1">_xlfn.XLOOKUP($I27,'Baumaterialien Matériaux'!A:A,'Baumaterialien Matériaux'!G:G,0,0)</f>
        <v>0</v>
      </c>
      <c r="K27" s="286">
        <f t="shared" ca="1" si="16"/>
        <v>0</v>
      </c>
      <c r="L27" s="319">
        <f>Hypothèses!$D$12</f>
        <v>60</v>
      </c>
      <c r="M27" s="178" cm="1">
        <f t="array" aca="1" ref="M27" ca="1">INDEX('Enveloppe du bâtiment sout.'!G:G, $F26)</f>
        <v>0</v>
      </c>
      <c r="N27" s="999" cm="1">
        <f t="array" aca="1" ref="N27" ca="1">IFERROR(INDEX('Enveloppe du bâtiment sout.'!L:L, $F26)*$K27/$M27,0)/$I$1</f>
        <v>0</v>
      </c>
      <c r="O27" s="996">
        <f t="shared" si="13"/>
        <v>0</v>
      </c>
      <c r="P27" s="996">
        <f t="shared" si="13"/>
        <v>0</v>
      </c>
      <c r="Q27" s="275" cm="1">
        <f t="array" aca="1" ref="Q27" ca="1">_xlfn.SWITCH(L27,Q$3,N27+R27,O$3,O27,0)</f>
        <v>0</v>
      </c>
      <c r="R27" s="999" cm="1">
        <f t="array" aca="1" ref="R27" ca="1">IFERROR(INDEX('Enveloppe du bâtiment sout.'!M:M, $F26)*$K27/$M27,0)/$I$1</f>
        <v>0</v>
      </c>
      <c r="S27" s="997">
        <f t="shared" ca="1" si="14"/>
        <v>0</v>
      </c>
      <c r="T27" s="996" cm="1">
        <f t="array" aca="1" ref="T27" ca="1">IFERROR(INDEX('Enveloppe du bâtiment sout.'!#REF!, $F26)*$K27/$M27,0)/$I$1</f>
        <v>0</v>
      </c>
    </row>
    <row r="28" spans="2:20" ht="15.75" hidden="1" outlineLevel="1">
      <c r="B28" s="1536"/>
      <c r="C28" s="1546"/>
      <c r="D28" s="1262"/>
      <c r="E28" s="285"/>
      <c r="F28" s="178">
        <f t="shared" ca="1" si="15"/>
        <v>2</v>
      </c>
      <c r="G28" s="178" cm="1">
        <f t="array" aca="1" ref="G28" ca="1">INDEX('Enveloppe du bâtiment sout.'!C:C, $F27)</f>
        <v>0</v>
      </c>
      <c r="H28" s="178" cm="1">
        <f t="array" aca="1" ref="H28" ca="1">INDEX('Enveloppe du bâtiment sout.'!D:D, $F27)</f>
        <v>0</v>
      </c>
      <c r="I28" s="178" cm="1">
        <f t="array" aca="1" ref="I28" ca="1">INDEX('Enveloppe du bâtiment sout.'!F:F, $F27)</f>
        <v>0</v>
      </c>
      <c r="J28" s="178">
        <f ca="1">_xlfn.XLOOKUP($I28,'Baumaterialien Matériaux'!A:A,'Baumaterialien Matériaux'!G:G,0,0)</f>
        <v>0</v>
      </c>
      <c r="K28" s="286">
        <f t="shared" ca="1" si="16"/>
        <v>0</v>
      </c>
      <c r="L28" s="319">
        <f>Hypothèses!$D$12</f>
        <v>60</v>
      </c>
      <c r="M28" s="178" cm="1">
        <f t="array" aca="1" ref="M28" ca="1">INDEX('Enveloppe du bâtiment sout.'!G:G, $F27)</f>
        <v>0</v>
      </c>
      <c r="N28" s="999" cm="1">
        <f t="array" aca="1" ref="N28" ca="1">IFERROR(INDEX('Enveloppe du bâtiment sout.'!L:L, $F27)*$K28/$M28,0)/$I$1</f>
        <v>0</v>
      </c>
      <c r="O28" s="996">
        <f t="shared" si="13"/>
        <v>0</v>
      </c>
      <c r="P28" s="996">
        <f t="shared" si="13"/>
        <v>0</v>
      </c>
      <c r="Q28" s="275" cm="1">
        <f t="array" aca="1" ref="Q28" ca="1">_xlfn.SWITCH(L28,Q$3,N28+R28,O$3,O28,0)</f>
        <v>0</v>
      </c>
      <c r="R28" s="999" cm="1">
        <f t="array" aca="1" ref="R28" ca="1">IFERROR(INDEX('Enveloppe du bâtiment sout.'!M:M, $F27)*$K28/$M28,0)/$I$1</f>
        <v>0</v>
      </c>
      <c r="S28" s="997">
        <f t="shared" ca="1" si="14"/>
        <v>0</v>
      </c>
      <c r="T28" s="996" cm="1">
        <f t="array" aca="1" ref="T28" ca="1">IFERROR(INDEX('Enveloppe du bâtiment sout.'!#REF!, $F27)*$K28/$M28,0)/$I$1</f>
        <v>0</v>
      </c>
    </row>
    <row r="29" spans="2:20" ht="15.75" hidden="1" outlineLevel="1">
      <c r="B29" s="1536"/>
      <c r="C29" s="1546"/>
      <c r="D29" s="1262"/>
      <c r="E29" s="285"/>
      <c r="F29" s="178">
        <f t="shared" ca="1" si="15"/>
        <v>2</v>
      </c>
      <c r="G29" s="178" cm="1">
        <f t="array" aca="1" ref="G29" ca="1">INDEX('Enveloppe du bâtiment sout.'!C:C, $F28)</f>
        <v>0</v>
      </c>
      <c r="H29" s="178" cm="1">
        <f t="array" aca="1" ref="H29" ca="1">INDEX('Enveloppe du bâtiment sout.'!D:D, $F28)</f>
        <v>0</v>
      </c>
      <c r="I29" s="178" cm="1">
        <f t="array" aca="1" ref="I29" ca="1">INDEX('Enveloppe du bâtiment sout.'!F:F, $F28)</f>
        <v>0</v>
      </c>
      <c r="J29" s="178">
        <f ca="1">_xlfn.XLOOKUP($I29,'Baumaterialien Matériaux'!A:A,'Baumaterialien Matériaux'!G:G,0,0)</f>
        <v>0</v>
      </c>
      <c r="K29" s="286">
        <f t="shared" ca="1" si="16"/>
        <v>0</v>
      </c>
      <c r="L29" s="319">
        <f>Hypothèses!$D$12</f>
        <v>60</v>
      </c>
      <c r="M29" s="178" cm="1">
        <f t="array" aca="1" ref="M29" ca="1">INDEX('Enveloppe du bâtiment sout.'!G:G, $F28)</f>
        <v>0</v>
      </c>
      <c r="N29" s="999" cm="1">
        <f t="array" aca="1" ref="N29" ca="1">IFERROR(INDEX('Enveloppe du bâtiment sout.'!L:L, $F28)*$K29/$M29,0)/$I$1</f>
        <v>0</v>
      </c>
      <c r="O29" s="996">
        <f t="shared" si="13"/>
        <v>0</v>
      </c>
      <c r="P29" s="996">
        <f t="shared" si="13"/>
        <v>0</v>
      </c>
      <c r="Q29" s="275" cm="1">
        <f t="array" aca="1" ref="Q29" ca="1">_xlfn.SWITCH(L29,Q$3,N29+R29,O$3,O29,0)</f>
        <v>0</v>
      </c>
      <c r="R29" s="999" cm="1">
        <f t="array" aca="1" ref="R29" ca="1">IFERROR(INDEX('Enveloppe du bâtiment sout.'!M:M, $F28)*$K29/$M29,0)/$I$1</f>
        <v>0</v>
      </c>
      <c r="S29" s="997">
        <f t="shared" ca="1" si="14"/>
        <v>0</v>
      </c>
      <c r="T29" s="996" cm="1">
        <f t="array" aca="1" ref="T29" ca="1">IFERROR(INDEX('Enveloppe du bâtiment sout.'!#REF!, $F28)*$K29/$M29,0)/$I$1</f>
        <v>0</v>
      </c>
    </row>
    <row r="30" spans="2:20" ht="15.75" hidden="1" outlineLevel="1">
      <c r="B30" s="1536"/>
      <c r="C30" s="1546"/>
      <c r="D30" s="293"/>
      <c r="E30" s="285"/>
      <c r="F30" s="178">
        <f t="shared" ca="1" si="15"/>
        <v>2</v>
      </c>
      <c r="G30" s="178" cm="1">
        <f t="array" aca="1" ref="G30" ca="1">INDEX('Enveloppe du bâtiment sout.'!C:C, $F29)</f>
        <v>0</v>
      </c>
      <c r="H30" s="178" cm="1">
        <f t="array" aca="1" ref="H30" ca="1">INDEX('Enveloppe du bâtiment sout.'!D:D, $F29)</f>
        <v>0</v>
      </c>
      <c r="I30" s="178" cm="1">
        <f t="array" aca="1" ref="I30" ca="1">INDEX('Enveloppe du bâtiment sout.'!F:F, $F29)</f>
        <v>0</v>
      </c>
      <c r="J30" s="178">
        <f ca="1">_xlfn.XLOOKUP($I30,'Baumaterialien Matériaux'!A:A,'Baumaterialien Matériaux'!G:G,0,0)</f>
        <v>0</v>
      </c>
      <c r="K30" s="286">
        <f t="shared" ca="1" si="16"/>
        <v>0</v>
      </c>
      <c r="L30" s="178">
        <v>60</v>
      </c>
      <c r="M30" s="178" cm="1">
        <f t="array" aca="1" ref="M30" ca="1">INDEX('Enveloppe du bâtiment sout.'!G:G, $F29)</f>
        <v>0</v>
      </c>
      <c r="N30" s="999" cm="1">
        <f t="array" aca="1" ref="N30" ca="1">IFERROR(INDEX('Enveloppe du bâtiment sout.'!L:L, $F29)*$K30/$M30,0)/$I$1</f>
        <v>0</v>
      </c>
      <c r="O30" s="996">
        <f t="shared" si="13"/>
        <v>0</v>
      </c>
      <c r="P30" s="996">
        <f t="shared" si="13"/>
        <v>0</v>
      </c>
      <c r="Q30" s="275" cm="1">
        <f t="array" aca="1" ref="Q30" ca="1">_xlfn.SWITCH(L30,Q$3,N30+R30,O$3,O30,0)</f>
        <v>0</v>
      </c>
      <c r="R30" s="999" cm="1">
        <f t="array" aca="1" ref="R30" ca="1">IFERROR(INDEX('Enveloppe du bâtiment sout.'!M:M, $F29)*$K30/$M30,0)/$I$1</f>
        <v>0</v>
      </c>
      <c r="S30" s="997">
        <f t="shared" ca="1" si="14"/>
        <v>0</v>
      </c>
      <c r="T30" s="996" cm="1">
        <f t="array" aca="1" ref="T30" ca="1">IFERROR(INDEX('Enveloppe du bâtiment sout.'!#REF!, $F29)*$K30/$M30,0)/$I$1</f>
        <v>0</v>
      </c>
    </row>
    <row r="31" spans="2:20" ht="15.75" customHeight="1" collapsed="1">
      <c r="B31" s="1536"/>
      <c r="C31" s="1546" t="str">
        <f>'Outil détaillé'!C13</f>
        <v>C02.01 (A) / E01</v>
      </c>
      <c r="D31" s="177" t="str">
        <f>'Outil détaillé'!D13</f>
        <v>Parois extérieures souterraines</v>
      </c>
      <c r="E31" s="177"/>
      <c r="F31" s="177">
        <f>MATCH(D31, 'Enveloppe du bâtiment sout.'!B:B,0)</f>
        <v>26</v>
      </c>
      <c r="G31" s="177"/>
      <c r="H31" s="177"/>
      <c r="I31" s="177"/>
      <c r="J31" s="177"/>
      <c r="K31" s="289"/>
      <c r="L31" s="288"/>
      <c r="M31" s="288"/>
      <c r="N31" s="993">
        <f t="shared" ref="N31" ca="1" si="17">N32</f>
        <v>0</v>
      </c>
      <c r="O31" s="993">
        <f ca="1">O32</f>
        <v>0</v>
      </c>
      <c r="P31" s="993">
        <f ca="1">P32</f>
        <v>0</v>
      </c>
      <c r="Q31" s="993">
        <f ca="1">Q32</f>
        <v>0</v>
      </c>
      <c r="R31" s="993">
        <f ca="1">R32</f>
        <v>0</v>
      </c>
      <c r="S31" s="993">
        <f ca="1">S32</f>
        <v>0</v>
      </c>
      <c r="T31" s="1053">
        <f t="shared" ref="T31" ca="1" si="18">T32</f>
        <v>0</v>
      </c>
    </row>
    <row r="32" spans="2:20" ht="15.75">
      <c r="B32" s="1536"/>
      <c r="C32" s="1546"/>
      <c r="D32" s="178" t="str">
        <f>'Outil détaillé'!D14</f>
        <v>Paroi extérieure</v>
      </c>
      <c r="E32" s="179" t="str">
        <f>'Outil détaillé'!E14</f>
        <v>non-isolés</v>
      </c>
      <c r="F32" s="927">
        <f ca="1">MATCH(E32, INDIRECT("'Enveloppe du bâtiment sout.'!A"&amp;F31+1&amp;":A500"),0)+F31</f>
        <v>27</v>
      </c>
      <c r="G32" s="179"/>
      <c r="H32" s="179"/>
      <c r="I32" s="179"/>
      <c r="J32" s="179" t="s">
        <v>97</v>
      </c>
      <c r="K32" s="294">
        <f>'Outil détaillé'!J14</f>
        <v>0</v>
      </c>
      <c r="L32" s="295"/>
      <c r="M32" s="295"/>
      <c r="N32" s="994">
        <f t="shared" ref="N32" ca="1" si="19">SUM(N33:N40)</f>
        <v>0</v>
      </c>
      <c r="O32" s="994">
        <f ca="1">SUM(O33:O40)</f>
        <v>0</v>
      </c>
      <c r="P32" s="994">
        <f ca="1">SUM(P33:P40)</f>
        <v>0</v>
      </c>
      <c r="Q32" s="994">
        <f ca="1">SUM(Q33:Q40)</f>
        <v>0</v>
      </c>
      <c r="R32" s="994">
        <f ca="1">SUM(R33:R40)</f>
        <v>0</v>
      </c>
      <c r="S32" s="994">
        <f ca="1">SUM(S33:S40)</f>
        <v>0</v>
      </c>
      <c r="T32" s="1054">
        <f t="shared" ref="T32" ca="1" si="20">SUM(T33:T40)</f>
        <v>0</v>
      </c>
    </row>
    <row r="33" spans="2:20" ht="15.75" hidden="1" customHeight="1" outlineLevel="1">
      <c r="B33" s="1536"/>
      <c r="C33" s="1546"/>
      <c r="D33" s="178"/>
      <c r="E33" s="285"/>
      <c r="F33" s="178">
        <f ca="1">IF(I33=0,2,F32+1)</f>
        <v>28</v>
      </c>
      <c r="G33" s="178" t="str" cm="1">
        <f t="array" aca="1" ref="G33" ca="1">INDEX('Enveloppe du bâtiment sout.'!C:C, $F32)</f>
        <v>Hochbaubeton / béton pour bâtiment, 25 cm [kg], 2'300 [kg/m3]</v>
      </c>
      <c r="H33" s="178" t="str" cm="1">
        <f t="array" aca="1" ref="H33" ca="1">INDEX('Enveloppe du bâtiment sout.'!D:D, $F32)</f>
        <v>Béton pour bâtiment (sans armature)</v>
      </c>
      <c r="I33" s="178" t="str" cm="1">
        <f t="array" aca="1" ref="I33" ca="1">INDEX('Enveloppe du bâtiment sout.'!F:F, $F32)</f>
        <v>01.002</v>
      </c>
      <c r="J33" s="178" t="str">
        <f ca="1">_xlfn.XLOOKUP($I33,'Baumaterialien Matériaux'!A:A,'Baumaterialien Matériaux'!G:G,0,0)</f>
        <v>kg</v>
      </c>
      <c r="K33" s="286">
        <f ca="1">M33*K$32</f>
        <v>0</v>
      </c>
      <c r="L33" s="178" cm="1">
        <f t="array" aca="1" ref="L33" ca="1">INDEX('Enveloppe du bâtiment sout.'!I:I, $F32)</f>
        <v>60</v>
      </c>
      <c r="M33" s="178" cm="1">
        <f t="array" aca="1" ref="M33" ca="1">INDEX('Enveloppe du bâtiment sout.'!G:G, $F32)</f>
        <v>567.85828025477701</v>
      </c>
      <c r="N33" s="999" cm="1">
        <f t="array" aca="1" ref="N33" ca="1">IFERROR(INDEX('Enveloppe du bâtiment sout.'!L:L, $F32)*$K33/$M33,0)/$I$1</f>
        <v>0</v>
      </c>
      <c r="O33" s="996">
        <f t="shared" ref="O33:P40" ca="1" si="21">IF($L33=O$3,$N33+$R33,0)</f>
        <v>0</v>
      </c>
      <c r="P33" s="996">
        <f t="shared" ca="1" si="21"/>
        <v>0</v>
      </c>
      <c r="Q33" s="275" cm="1">
        <f t="array" aca="1" ref="Q33" ca="1">_xlfn.SWITCH(L33,Q$3,N33+R33,O$3,O33,0)</f>
        <v>0</v>
      </c>
      <c r="R33" s="999" cm="1">
        <f t="array" aca="1" ref="R33" ca="1">IFERROR(INDEX('Enveloppe du bâtiment sout.'!M:M, $F32)*$K33/$M33,0)/$I$1</f>
        <v>0</v>
      </c>
      <c r="S33" s="997">
        <f t="shared" ref="S33:S40" ca="1" si="22">SUM(N33:R33)</f>
        <v>0</v>
      </c>
      <c r="T33" s="996" cm="1">
        <f t="array" aca="1" ref="T33" ca="1">IFERROR(INDEX('Enveloppe du bâtiment sout.'!#REF!, $F32)*$K33/$M33,0)/$I$1</f>
        <v>0</v>
      </c>
    </row>
    <row r="34" spans="2:20" ht="15.75" hidden="1" customHeight="1" outlineLevel="1">
      <c r="B34" s="1536"/>
      <c r="C34" s="1546"/>
      <c r="D34" s="178"/>
      <c r="E34" s="285"/>
      <c r="F34" s="178">
        <f t="shared" ref="F34:F40" ca="1" si="23">IF(I34=0,2,F33+1)</f>
        <v>29</v>
      </c>
      <c r="G34" s="178" t="str" cm="1">
        <f t="array" aca="1" ref="G34" ca="1">INDEX('Enveloppe du bâtiment sout.'!C:C, $F33)</f>
        <v>Armierungsstahl / Acier d'armature [kg], 7'850 [kg/m3]</v>
      </c>
      <c r="H34" s="178" t="str" cm="1">
        <f t="array" aca="1" ref="H34" ca="1">INDEX('Enveloppe du bâtiment sout.'!D:D, $F33)</f>
        <v>Acier d'armature</v>
      </c>
      <c r="I34" s="178" t="str" cm="1">
        <f t="array" aca="1" ref="I34" ca="1">INDEX('Enveloppe du bâtiment sout.'!F:F, $F33)</f>
        <v>06.003</v>
      </c>
      <c r="J34" s="178" t="str">
        <f ca="1">_xlfn.XLOOKUP($I34,'Baumaterialien Matériaux'!A:A,'Baumaterialien Matériaux'!G:G,0,0)</f>
        <v>kg</v>
      </c>
      <c r="K34" s="286">
        <f t="shared" ref="K34:K40" ca="1" si="24">M34*K$32</f>
        <v>0</v>
      </c>
      <c r="L34" s="178" cm="1">
        <f t="array" aca="1" ref="L34" ca="1">INDEX('Enveloppe du bâtiment sout.'!I:I, $F33)</f>
        <v>60</v>
      </c>
      <c r="M34" s="178" cm="1">
        <f t="array" aca="1" ref="M34" ca="1">INDEX('Enveloppe du bâtiment sout.'!G:G, $F33)</f>
        <v>24.375</v>
      </c>
      <c r="N34" s="999" cm="1">
        <f t="array" aca="1" ref="N34" ca="1">IFERROR(INDEX('Enveloppe du bâtiment sout.'!L:L, $F33)*$K34/$M34,0)/$I$1</f>
        <v>0</v>
      </c>
      <c r="O34" s="996">
        <f t="shared" ca="1" si="21"/>
        <v>0</v>
      </c>
      <c r="P34" s="996">
        <f t="shared" ca="1" si="21"/>
        <v>0</v>
      </c>
      <c r="Q34" s="275" cm="1">
        <f t="array" aca="1" ref="Q34" ca="1">_xlfn.SWITCH(L34,Q$3,N34+R34,O$3,O34,0)</f>
        <v>0</v>
      </c>
      <c r="R34" s="999" cm="1">
        <f t="array" aca="1" ref="R34" ca="1">IFERROR(INDEX('Enveloppe du bâtiment sout.'!M:M, $F33)*$K34/$M34,0)/$I$1</f>
        <v>0</v>
      </c>
      <c r="S34" s="997">
        <f t="shared" ca="1" si="22"/>
        <v>0</v>
      </c>
      <c r="T34" s="996" cm="1">
        <f t="array" aca="1" ref="T34" ca="1">IFERROR(INDEX('Enveloppe du bâtiment sout.'!#REF!, $F33)*$K34/$M34,0)/$I$1</f>
        <v>0</v>
      </c>
    </row>
    <row r="35" spans="2:20" ht="15.75" hidden="1" customHeight="1" outlineLevel="1">
      <c r="B35" s="1536"/>
      <c r="C35" s="1546"/>
      <c r="D35" s="178"/>
      <c r="E35" s="285"/>
      <c r="F35" s="178">
        <f t="shared" ca="1" si="23"/>
        <v>30</v>
      </c>
      <c r="G35" s="178" t="str" cm="1">
        <f t="array" aca="1" ref="G35" ca="1">INDEX('Enveloppe du bâtiment sout.'!C:C, $F34)</f>
        <v>3-SP Schalung/Coffrage 2.5cm (Annahme/Hyp. 5xverwendet/utilisé) [kg]</v>
      </c>
      <c r="H35" s="178" t="str" cm="1">
        <f t="array" aca="1" ref="H35" ca="1">INDEX('Enveloppe du bâtiment sout.'!D:D, $F34)</f>
        <v>Bois massif 3 et 5 plis</v>
      </c>
      <c r="I35" s="178" t="str" cm="1">
        <f t="array" aca="1" ref="I35" ca="1">INDEX('Enveloppe du bâtiment sout.'!F:F, $F34)</f>
        <v>07.001</v>
      </c>
      <c r="J35" s="178" t="str">
        <f ca="1">_xlfn.XLOOKUP($I35,'Baumaterialien Matériaux'!A:A,'Baumaterialien Matériaux'!G:G,0,0)</f>
        <v>kg</v>
      </c>
      <c r="K35" s="286">
        <f t="shared" ca="1" si="24"/>
        <v>0</v>
      </c>
      <c r="L35" s="178" cm="1">
        <f t="array" aca="1" ref="L35" ca="1">INDEX('Enveloppe du bâtiment sout.'!I:I, $F34)</f>
        <v>60</v>
      </c>
      <c r="M35" s="178" cm="1">
        <f t="array" aca="1" ref="M35" ca="1">INDEX('Enveloppe du bâtiment sout.'!G:G, $F34)</f>
        <v>4.7000000000000011</v>
      </c>
      <c r="N35" s="999" cm="1">
        <f t="array" aca="1" ref="N35" ca="1">IFERROR(INDEX('Enveloppe du bâtiment sout.'!L:L, $F34)*$K35/$M35,0)/$I$1</f>
        <v>0</v>
      </c>
      <c r="O35" s="996">
        <f t="shared" ca="1" si="21"/>
        <v>0</v>
      </c>
      <c r="P35" s="996">
        <f t="shared" ca="1" si="21"/>
        <v>0</v>
      </c>
      <c r="Q35" s="275" cm="1">
        <f t="array" aca="1" ref="Q35" ca="1">_xlfn.SWITCH(L35,Q$3,N35+R35,O$3,O35,0)</f>
        <v>0</v>
      </c>
      <c r="R35" s="999" cm="1">
        <f t="array" aca="1" ref="R35" ca="1">IFERROR(INDEX('Enveloppe du bâtiment sout.'!M:M, $F34)*$K35/$M35,0)/$I$1</f>
        <v>0</v>
      </c>
      <c r="S35" s="997">
        <f t="shared" ca="1" si="22"/>
        <v>0</v>
      </c>
      <c r="T35" s="996" cm="1">
        <f t="array" aca="1" ref="T35" ca="1">IFERROR(INDEX('Enveloppe du bâtiment sout.'!#REF!, $F34)*$K35/$M35,0)/$I$1</f>
        <v>0</v>
      </c>
    </row>
    <row r="36" spans="2:20" ht="15.75" hidden="1" customHeight="1" outlineLevel="1">
      <c r="B36" s="1536"/>
      <c r="C36" s="1546"/>
      <c r="D36" s="178"/>
      <c r="E36" s="285"/>
      <c r="F36" s="178">
        <f t="shared" ca="1" si="23"/>
        <v>31</v>
      </c>
      <c r="G36" s="178" t="str" cm="1">
        <f t="array" aca="1" ref="G36" ca="1">INDEX('Enveloppe du bâtiment sout.'!C:C, $F35)</f>
        <v>Bitumenanstrich / Emulsion de bitume [m2]</v>
      </c>
      <c r="H36" s="178" t="str" cm="1">
        <f t="array" aca="1" ref="H36" ca="1">INDEX('Enveloppe du bâtiment sout.'!D:D, $F35)</f>
        <v>Émulsion de bitume, 1 couche</v>
      </c>
      <c r="I36" s="178" t="str" cm="1">
        <f t="array" aca="1" ref="I36" ca="1">INDEX('Enveloppe du bâtiment sout.'!F:F, $F35)</f>
        <v>14.003</v>
      </c>
      <c r="J36" s="178" t="str">
        <f ca="1">_xlfn.XLOOKUP($I36,'Baumaterialien Matériaux'!A:A,'Baumaterialien Matériaux'!G:G,0,0)</f>
        <v>m2</v>
      </c>
      <c r="K36" s="286">
        <f t="shared" ca="1" si="24"/>
        <v>0</v>
      </c>
      <c r="L36" s="178" cm="1">
        <f t="array" aca="1" ref="L36" ca="1">INDEX('Enveloppe du bâtiment sout.'!I:I, $F35)</f>
        <v>60</v>
      </c>
      <c r="M36" s="178" cm="1">
        <f t="array" aca="1" ref="M36" ca="1">INDEX('Enveloppe du bâtiment sout.'!G:G, $F35)</f>
        <v>2</v>
      </c>
      <c r="N36" s="999" cm="1">
        <f t="array" aca="1" ref="N36" ca="1">IFERROR(INDEX('Enveloppe du bâtiment sout.'!L:L, $F35)*$K36/$M36,0)/$I$1</f>
        <v>0</v>
      </c>
      <c r="O36" s="996">
        <f t="shared" ca="1" si="21"/>
        <v>0</v>
      </c>
      <c r="P36" s="996">
        <f t="shared" ca="1" si="21"/>
        <v>0</v>
      </c>
      <c r="Q36" s="275" cm="1">
        <f t="array" aca="1" ref="Q36" ca="1">_xlfn.SWITCH(L36,Q$3,N36+R36,O$3,O36,0)</f>
        <v>0</v>
      </c>
      <c r="R36" s="999" cm="1">
        <f t="array" aca="1" ref="R36" ca="1">IFERROR(INDEX('Enveloppe du bâtiment sout.'!M:M, $F35)*$K36/$M36,0)/$I$1</f>
        <v>0</v>
      </c>
      <c r="S36" s="997">
        <f t="shared" ca="1" si="22"/>
        <v>0</v>
      </c>
      <c r="T36" s="996" cm="1">
        <f t="array" aca="1" ref="T36" ca="1">IFERROR(INDEX('Enveloppe du bâtiment sout.'!#REF!, $F35)*$K36/$M36,0)/$I$1</f>
        <v>0</v>
      </c>
    </row>
    <row r="37" spans="2:20" ht="15.75" hidden="1" customHeight="1" outlineLevel="1">
      <c r="B37" s="1536"/>
      <c r="C37" s="1546"/>
      <c r="D37" s="178"/>
      <c r="E37" s="285"/>
      <c r="F37" s="178">
        <f t="shared" ca="1" si="23"/>
        <v>32</v>
      </c>
      <c r="G37" s="178" t="str" cm="1">
        <f t="array" aca="1" ref="G37" ca="1">INDEX('Enveloppe du bâtiment sout.'!C:C, $F36)</f>
        <v>Noppenfolie / Feuille PE [kg]</v>
      </c>
      <c r="H37" s="178" t="str" cm="1">
        <f t="array" aca="1" ref="H37" ca="1">INDEX('Enveloppe du bâtiment sout.'!D:D, $F36)</f>
        <v>Polyéthylène (HDPE)</v>
      </c>
      <c r="I37" s="178" t="str" cm="1">
        <f t="array" aca="1" ref="I37" ca="1">INDEX('Enveloppe du bâtiment sout.'!F:F, $F36)</f>
        <v>13.002</v>
      </c>
      <c r="J37" s="178" t="str">
        <f ca="1">_xlfn.XLOOKUP($I37,'Baumaterialien Matériaux'!A:A,'Baumaterialien Matériaux'!G:G,0,0)</f>
        <v>kg</v>
      </c>
      <c r="K37" s="286">
        <f t="shared" ca="1" si="24"/>
        <v>0</v>
      </c>
      <c r="L37" s="178" cm="1">
        <f t="array" aca="1" ref="L37" ca="1">INDEX('Enveloppe du bâtiment sout.'!I:I, $F36)</f>
        <v>60</v>
      </c>
      <c r="M37" s="178" cm="1">
        <f t="array" aca="1" ref="M37" ca="1">INDEX('Enveloppe du bâtiment sout.'!G:G, $F36)</f>
        <v>2.5</v>
      </c>
      <c r="N37" s="999" cm="1">
        <f t="array" aca="1" ref="N37" ca="1">IFERROR(INDEX('Enveloppe du bâtiment sout.'!L:L, $F36)*$K37/$M37,0)/$I$1</f>
        <v>0</v>
      </c>
      <c r="O37" s="996">
        <f t="shared" ca="1" si="21"/>
        <v>0</v>
      </c>
      <c r="P37" s="996">
        <f t="shared" ca="1" si="21"/>
        <v>0</v>
      </c>
      <c r="Q37" s="275" cm="1">
        <f t="array" aca="1" ref="Q37" ca="1">_xlfn.SWITCH(L37,Q$3,N37+R37,O$3,O37,0)</f>
        <v>0</v>
      </c>
      <c r="R37" s="999" cm="1">
        <f t="array" aca="1" ref="R37" ca="1">IFERROR(INDEX('Enveloppe du bâtiment sout.'!M:M, $F36)*$K37/$M37,0)/$I$1</f>
        <v>0</v>
      </c>
      <c r="S37" s="997">
        <f t="shared" ca="1" si="22"/>
        <v>0</v>
      </c>
      <c r="T37" s="996" cm="1">
        <f t="array" aca="1" ref="T37" ca="1">IFERROR(INDEX('Enveloppe du bâtiment sout.'!#REF!, $F36)*$K37/$M37,0)/$I$1</f>
        <v>0</v>
      </c>
    </row>
    <row r="38" spans="2:20" ht="15.75" hidden="1" customHeight="1" outlineLevel="1">
      <c r="B38" s="1536"/>
      <c r="C38" s="1546"/>
      <c r="D38" s="178"/>
      <c r="E38" s="285"/>
      <c r="F38" s="178">
        <f t="shared" ca="1" si="23"/>
        <v>2</v>
      </c>
      <c r="G38" s="178" cm="1">
        <f t="array" aca="1" ref="G38" ca="1">INDEX('Enveloppe du bâtiment sout.'!C:C, $F37)</f>
        <v>0</v>
      </c>
      <c r="H38" s="178" cm="1">
        <f t="array" aca="1" ref="H38" ca="1">INDEX('Enveloppe du bâtiment sout.'!D:D, $F37)</f>
        <v>0</v>
      </c>
      <c r="I38" s="178" cm="1">
        <f t="array" aca="1" ref="I38" ca="1">INDEX('Enveloppe du bâtiment sout.'!F:F, $F37)</f>
        <v>0</v>
      </c>
      <c r="J38" s="178">
        <f ca="1">_xlfn.XLOOKUP($I38,'Baumaterialien Matériaux'!A:A,'Baumaterialien Matériaux'!G:G,0,0)</f>
        <v>0</v>
      </c>
      <c r="K38" s="286">
        <f t="shared" ca="1" si="24"/>
        <v>0</v>
      </c>
      <c r="L38" s="178" cm="1">
        <f t="array" aca="1" ref="L38" ca="1">INDEX('Enveloppe du bâtiment sout.'!I:I, $F37)</f>
        <v>60</v>
      </c>
      <c r="M38" s="178" cm="1">
        <f t="array" aca="1" ref="M38" ca="1">INDEX('Enveloppe du bâtiment sout.'!G:G, $F37)</f>
        <v>0</v>
      </c>
      <c r="N38" s="999" cm="1">
        <f t="array" aca="1" ref="N38" ca="1">IFERROR(INDEX('Enveloppe du bâtiment sout.'!L:L, $F37)*$K38/$M38,0)/$I$1</f>
        <v>0</v>
      </c>
      <c r="O38" s="996">
        <f t="shared" ca="1" si="21"/>
        <v>0</v>
      </c>
      <c r="P38" s="996">
        <f t="shared" ca="1" si="21"/>
        <v>0</v>
      </c>
      <c r="Q38" s="275" cm="1">
        <f t="array" aca="1" ref="Q38" ca="1">_xlfn.SWITCH(L38,Q$3,N38+R38,O$3,O38,0)</f>
        <v>0</v>
      </c>
      <c r="R38" s="999" cm="1">
        <f t="array" aca="1" ref="R38" ca="1">IFERROR(INDEX('Enveloppe du bâtiment sout.'!M:M, $F37)*$K38/$M38,0)/$I$1</f>
        <v>0</v>
      </c>
      <c r="S38" s="997">
        <f t="shared" ca="1" si="22"/>
        <v>0</v>
      </c>
      <c r="T38" s="996" cm="1">
        <f t="array" aca="1" ref="T38" ca="1">IFERROR(INDEX('Enveloppe du bâtiment sout.'!#REF!, $F37)*$K38/$M38,0)/$I$1</f>
        <v>0</v>
      </c>
    </row>
    <row r="39" spans="2:20" ht="15.75" hidden="1" customHeight="1" outlineLevel="1">
      <c r="B39" s="1536"/>
      <c r="C39" s="1546"/>
      <c r="D39" s="178"/>
      <c r="E39" s="285"/>
      <c r="F39" s="178">
        <f t="shared" ca="1" si="23"/>
        <v>2</v>
      </c>
      <c r="G39" s="178" cm="1">
        <f t="array" aca="1" ref="G39" ca="1">INDEX('Enveloppe du bâtiment sout.'!C:C, $F38)</f>
        <v>0</v>
      </c>
      <c r="H39" s="178" cm="1">
        <f t="array" aca="1" ref="H39" ca="1">INDEX('Enveloppe du bâtiment sout.'!D:D, $F38)</f>
        <v>0</v>
      </c>
      <c r="I39" s="178" cm="1">
        <f t="array" aca="1" ref="I39" ca="1">INDEX('Enveloppe du bâtiment sout.'!F:F, $F38)</f>
        <v>0</v>
      </c>
      <c r="J39" s="178">
        <f ca="1">_xlfn.XLOOKUP($I39,'Baumaterialien Matériaux'!A:A,'Baumaterialien Matériaux'!G:G,0,0)</f>
        <v>0</v>
      </c>
      <c r="K39" s="286">
        <f t="shared" ca="1" si="24"/>
        <v>0</v>
      </c>
      <c r="L39" s="178" cm="1">
        <f t="array" aca="1" ref="L39" ca="1">INDEX('Enveloppe du bâtiment sout.'!I:I, $F38)</f>
        <v>0</v>
      </c>
      <c r="M39" s="178" cm="1">
        <f t="array" aca="1" ref="M39" ca="1">INDEX('Enveloppe du bâtiment sout.'!G:G, $F38)</f>
        <v>0</v>
      </c>
      <c r="N39" s="999" cm="1">
        <f t="array" aca="1" ref="N39" ca="1">IFERROR(INDEX('Enveloppe du bâtiment sout.'!L:L, $F38)*$K39/$M39,0)/$I$1</f>
        <v>0</v>
      </c>
      <c r="O39" s="996">
        <f t="shared" ca="1" si="21"/>
        <v>0</v>
      </c>
      <c r="P39" s="996">
        <f t="shared" ca="1" si="21"/>
        <v>0</v>
      </c>
      <c r="Q39" s="275" cm="1">
        <f t="array" aca="1" ref="Q39" ca="1">_xlfn.SWITCH(L39,Q$3,N39+R39,O$3,O39,0)</f>
        <v>0</v>
      </c>
      <c r="R39" s="999" cm="1">
        <f t="array" aca="1" ref="R39" ca="1">IFERROR(INDEX('Enveloppe du bâtiment sout.'!M:M, $F38)*$K39/$M39,0)/$I$1</f>
        <v>0</v>
      </c>
      <c r="S39" s="997">
        <f t="shared" ca="1" si="22"/>
        <v>0</v>
      </c>
      <c r="T39" s="996" cm="1">
        <f t="array" aca="1" ref="T39" ca="1">IFERROR(INDEX('Enveloppe du bâtiment sout.'!#REF!, $F38)*$K39/$M39,0)/$I$1</f>
        <v>0</v>
      </c>
    </row>
    <row r="40" spans="2:20" ht="15.75" hidden="1" customHeight="1" outlineLevel="1">
      <c r="B40" s="1536"/>
      <c r="C40" s="1546"/>
      <c r="D40" s="178"/>
      <c r="E40" s="285"/>
      <c r="F40" s="178">
        <f t="shared" ca="1" si="23"/>
        <v>2</v>
      </c>
      <c r="G40" s="178" cm="1">
        <f t="array" aca="1" ref="G40" ca="1">INDEX('Enveloppe du bâtiment sout.'!C:C, $F39)</f>
        <v>0</v>
      </c>
      <c r="H40" s="178" cm="1">
        <f t="array" aca="1" ref="H40" ca="1">INDEX('Enveloppe du bâtiment sout.'!D:D, $F39)</f>
        <v>0</v>
      </c>
      <c r="I40" s="178" cm="1">
        <f t="array" aca="1" ref="I40" ca="1">INDEX('Enveloppe du bâtiment sout.'!F:F, $F39)</f>
        <v>0</v>
      </c>
      <c r="J40" s="178">
        <f ca="1">_xlfn.XLOOKUP($I40,'Baumaterialien Matériaux'!A:A,'Baumaterialien Matériaux'!G:G,0,0)</f>
        <v>0</v>
      </c>
      <c r="K40" s="286">
        <f t="shared" ca="1" si="24"/>
        <v>0</v>
      </c>
      <c r="L40" s="178" cm="1">
        <f t="array" aca="1" ref="L40" ca="1">INDEX('Enveloppe du bâtiment sout.'!I:I, $F39)</f>
        <v>0</v>
      </c>
      <c r="M40" s="178" cm="1">
        <f t="array" aca="1" ref="M40" ca="1">INDEX('Enveloppe du bâtiment sout.'!G:G, $F39)</f>
        <v>0</v>
      </c>
      <c r="N40" s="999" cm="1">
        <f t="array" aca="1" ref="N40" ca="1">IFERROR(INDEX('Enveloppe du bâtiment sout.'!L:L, $F39)*$K40/$M40,0)/$I$1</f>
        <v>0</v>
      </c>
      <c r="O40" s="996">
        <f t="shared" ca="1" si="21"/>
        <v>0</v>
      </c>
      <c r="P40" s="996">
        <f t="shared" ca="1" si="21"/>
        <v>0</v>
      </c>
      <c r="Q40" s="275" cm="1">
        <f t="array" aca="1" ref="Q40" ca="1">_xlfn.SWITCH(L40,Q$3,N40+R40,O$3,O40,0)</f>
        <v>0</v>
      </c>
      <c r="R40" s="999" cm="1">
        <f t="array" aca="1" ref="R40" ca="1">IFERROR(INDEX('Enveloppe du bâtiment sout.'!M:M, $F39)*$K40/$M40,0)/$I$1</f>
        <v>0</v>
      </c>
      <c r="S40" s="997">
        <f t="shared" ca="1" si="22"/>
        <v>0</v>
      </c>
      <c r="T40" s="996" cm="1">
        <f t="array" aca="1" ref="T40" ca="1">IFERROR(INDEX('Enveloppe du bâtiment sout.'!#REF!, $F39)*$K40/$M40,0)/$I$1</f>
        <v>0</v>
      </c>
    </row>
    <row r="41" spans="2:20" ht="15.6" customHeight="1" collapsed="1">
      <c r="B41" s="1536"/>
      <c r="C41" s="1538" t="s">
        <v>528</v>
      </c>
      <c r="D41" s="177" t="s">
        <v>529</v>
      </c>
      <c r="E41" s="177"/>
      <c r="F41" s="177">
        <f>MATCH(D41, 'Enveloppe du bâtiment sout.'!B:B,0)</f>
        <v>52</v>
      </c>
      <c r="G41" s="177"/>
      <c r="H41" s="177"/>
      <c r="I41" s="177"/>
      <c r="J41" s="177"/>
      <c r="K41" s="289"/>
      <c r="L41" s="288"/>
      <c r="M41" s="288"/>
      <c r="N41" s="993">
        <f t="shared" ref="N41" ca="1" si="25">N42</f>
        <v>0</v>
      </c>
      <c r="O41" s="993">
        <f t="shared" ref="O41:T41" ca="1" si="26">O42</f>
        <v>0</v>
      </c>
      <c r="P41" s="993">
        <f t="shared" ca="1" si="26"/>
        <v>0</v>
      </c>
      <c r="Q41" s="993">
        <f t="shared" ca="1" si="26"/>
        <v>0</v>
      </c>
      <c r="R41" s="993">
        <f t="shared" ca="1" si="26"/>
        <v>0</v>
      </c>
      <c r="S41" s="993">
        <f t="shared" ca="1" si="26"/>
        <v>0</v>
      </c>
      <c r="T41" s="1053">
        <f t="shared" ca="1" si="26"/>
        <v>0</v>
      </c>
    </row>
    <row r="42" spans="2:20" ht="16.5" thickBot="1">
      <c r="B42" s="1536"/>
      <c r="C42" s="1539"/>
      <c r="D42" s="178" t="str">
        <f>'Outil détaillé'!D16</f>
        <v>Toiture souterraine</v>
      </c>
      <c r="E42" s="179" t="str">
        <f>'Outil détaillé'!E16</f>
        <v>non-isolés</v>
      </c>
      <c r="F42" s="927">
        <f ca="1">MATCH(E42, INDIRECT("'Enveloppe du bâtiment sout.'!A"&amp;F41+1&amp;":A500"),0)+F41</f>
        <v>53</v>
      </c>
      <c r="G42" s="179"/>
      <c r="H42" s="179"/>
      <c r="I42" s="179"/>
      <c r="J42" s="179" t="s">
        <v>97</v>
      </c>
      <c r="K42" s="294">
        <f>'Outil détaillé'!J16</f>
        <v>0</v>
      </c>
      <c r="L42" s="295"/>
      <c r="M42" s="295"/>
      <c r="N42" s="994">
        <f t="shared" ref="N42" ca="1" si="27">SUM(N43:N52)</f>
        <v>0</v>
      </c>
      <c r="O42" s="994">
        <f t="shared" ref="O42:T42" ca="1" si="28">SUM(O43:O52)</f>
        <v>0</v>
      </c>
      <c r="P42" s="994">
        <f t="shared" ca="1" si="28"/>
        <v>0</v>
      </c>
      <c r="Q42" s="994">
        <f t="shared" ca="1" si="28"/>
        <v>0</v>
      </c>
      <c r="R42" s="994">
        <f t="shared" ca="1" si="28"/>
        <v>0</v>
      </c>
      <c r="S42" s="994">
        <f t="shared" ca="1" si="28"/>
        <v>0</v>
      </c>
      <c r="T42" s="1054">
        <f t="shared" ca="1" si="28"/>
        <v>0</v>
      </c>
    </row>
    <row r="43" spans="2:20" ht="15.75" hidden="1" customHeight="1" outlineLevel="1">
      <c r="B43" s="1536"/>
      <c r="C43" s="1539"/>
      <c r="D43" s="178"/>
      <c r="E43" s="285"/>
      <c r="F43" s="178">
        <f ca="1">IF(I43=0,2,F42+1)</f>
        <v>54</v>
      </c>
      <c r="G43" s="178" t="str" cm="1">
        <f t="array" aca="1" ref="G43" ca="1">INDEX('Enveloppe du bâtiment sout.'!C:C, $F42)</f>
        <v>Hochbaubeton / béton pour bâtiment, 30 cm [kg], 2'300 [kg/m3]</v>
      </c>
      <c r="H43" s="178" t="str" cm="1">
        <f t="array" aca="1" ref="H43" ca="1">INDEX('Enveloppe du bâtiment sout.'!D:D, $F42)</f>
        <v>Béton pour bâtiment (sans armature)</v>
      </c>
      <c r="I43" s="178" t="str" cm="1">
        <f t="array" aca="1" ref="I43" ca="1">INDEX('Enveloppe du bâtiment sout.'!F:F, $F42)</f>
        <v>01.002</v>
      </c>
      <c r="J43" s="178" t="str">
        <f ca="1">_xlfn.XLOOKUP($I43,'Baumaterialien Matériaux'!A:A,'Baumaterialien Matériaux'!G:G,0,0)</f>
        <v>kg</v>
      </c>
      <c r="K43" s="286">
        <f ca="1">M43*K$42</f>
        <v>0</v>
      </c>
      <c r="L43" s="178" cm="1">
        <f t="array" aca="1" ref="L43" ca="1">INDEX('Enveloppe du bâtiment sout.'!I:I, $F42)</f>
        <v>60</v>
      </c>
      <c r="M43" s="178" cm="1">
        <f t="array" aca="1" ref="M43" ca="1">INDEX('Enveloppe du bâtiment sout.'!G:G, $F42)</f>
        <v>680.11146496815275</v>
      </c>
      <c r="N43" s="999" cm="1">
        <f t="array" aca="1" ref="N43" ca="1">IFERROR(INDEX('Enveloppe du bâtiment sout.'!L:L, $F42)*$K43/$M43,0)/$I$1</f>
        <v>0</v>
      </c>
      <c r="O43" s="996">
        <f t="shared" ref="O43:P52" ca="1" si="29">IF($L43=O$3,$N43+$R43,0)</f>
        <v>0</v>
      </c>
      <c r="P43" s="996">
        <f t="shared" ca="1" si="29"/>
        <v>0</v>
      </c>
      <c r="Q43" s="275" cm="1">
        <f t="array" aca="1" ref="Q43" ca="1">_xlfn.SWITCH(L43,Q$3,N43+R43,O$3,O43,0)</f>
        <v>0</v>
      </c>
      <c r="R43" s="999" cm="1">
        <f t="array" aca="1" ref="R43" ca="1">IFERROR(INDEX('Enveloppe du bâtiment sout.'!M:M, $F42)*$K43/$M43,0)/$I$1</f>
        <v>0</v>
      </c>
      <c r="S43" s="997">
        <f t="shared" ref="S43:S52" ca="1" si="30">SUM(N43:R43)</f>
        <v>0</v>
      </c>
      <c r="T43" s="996" cm="1">
        <f t="array" aca="1" ref="T43" ca="1">IFERROR(INDEX('Enveloppe du bâtiment sout.'!#REF!, $F42)*$K43/$M43,0)/$I$1</f>
        <v>0</v>
      </c>
    </row>
    <row r="44" spans="2:20" ht="15.75" hidden="1" customHeight="1" outlineLevel="1">
      <c r="B44" s="1536"/>
      <c r="C44" s="1539"/>
      <c r="D44" s="178"/>
      <c r="E44" s="285"/>
      <c r="F44" s="178">
        <f t="shared" ref="F44:F51" ca="1" si="31">IF(I44=0,2,F43+1)</f>
        <v>55</v>
      </c>
      <c r="G44" s="178" t="str" cm="1">
        <f t="array" aca="1" ref="G44" ca="1">INDEX('Enveloppe du bâtiment sout.'!C:C, $F43)</f>
        <v>Armierungsstahl / Acier d'armature [kg], 7'850 [kg/m3]</v>
      </c>
      <c r="H44" s="178" t="str" cm="1">
        <f t="array" aca="1" ref="H44" ca="1">INDEX('Enveloppe du bâtiment sout.'!D:D, $F43)</f>
        <v>Acier d'armature</v>
      </c>
      <c r="I44" s="178" t="str" cm="1">
        <f t="array" aca="1" ref="I44" ca="1">INDEX('Enveloppe du bâtiment sout.'!F:F, $F43)</f>
        <v>06.003</v>
      </c>
      <c r="J44" s="178" t="str">
        <f ca="1">_xlfn.XLOOKUP($I44,'Baumaterialien Matériaux'!A:A,'Baumaterialien Matériaux'!G:G,0,0)</f>
        <v>kg</v>
      </c>
      <c r="K44" s="286">
        <f t="shared" ref="K44:K52" ca="1" si="32">M44*K$42</f>
        <v>0</v>
      </c>
      <c r="L44" s="178" cm="1">
        <f t="array" aca="1" ref="L44" ca="1">INDEX('Enveloppe du bâtiment sout.'!I:I, $F43)</f>
        <v>60</v>
      </c>
      <c r="M44" s="178" cm="1">
        <f t="array" aca="1" ref="M44" ca="1">INDEX('Enveloppe du bâtiment sout.'!G:G, $F43)</f>
        <v>33.75</v>
      </c>
      <c r="N44" s="999" cm="1">
        <f t="array" aca="1" ref="N44" ca="1">IFERROR(INDEX('Enveloppe du bâtiment sout.'!L:L, $F43)*$K44/$M44,0)/$I$1</f>
        <v>0</v>
      </c>
      <c r="O44" s="996">
        <f t="shared" ca="1" si="29"/>
        <v>0</v>
      </c>
      <c r="P44" s="996">
        <f t="shared" ca="1" si="29"/>
        <v>0</v>
      </c>
      <c r="Q44" s="275" cm="1">
        <f t="array" aca="1" ref="Q44" ca="1">_xlfn.SWITCH(L44,Q$3,N44+R44,O$3,O44,0)</f>
        <v>0</v>
      </c>
      <c r="R44" s="999" cm="1">
        <f t="array" aca="1" ref="R44" ca="1">IFERROR(INDEX('Enveloppe du bâtiment sout.'!M:M, $F43)*$K44/$M44,0)/$I$1</f>
        <v>0</v>
      </c>
      <c r="S44" s="997">
        <f t="shared" ca="1" si="30"/>
        <v>0</v>
      </c>
      <c r="T44" s="996" cm="1">
        <f t="array" aca="1" ref="T44" ca="1">IFERROR(INDEX('Enveloppe du bâtiment sout.'!#REF!, $F43)*$K44/$M44,0)/$I$1</f>
        <v>0</v>
      </c>
    </row>
    <row r="45" spans="2:20" ht="15.75" hidden="1" customHeight="1" outlineLevel="1">
      <c r="B45" s="1536"/>
      <c r="C45" s="1539"/>
      <c r="D45" s="178"/>
      <c r="E45" s="285"/>
      <c r="F45" s="178">
        <f t="shared" ca="1" si="31"/>
        <v>56</v>
      </c>
      <c r="G45" s="178" t="str" cm="1">
        <f t="array" aca="1" ref="G45" ca="1">INDEX('Enveloppe du bâtiment sout.'!C:C, $F44)</f>
        <v>3-SP Schalung/Coffrage 2.5cm (Annahme/Hyp. 5xverwendet/utilisé) [kg]</v>
      </c>
      <c r="H45" s="178" t="str" cm="1">
        <f t="array" aca="1" ref="H45" ca="1">INDEX('Enveloppe du bâtiment sout.'!D:D, $F44)</f>
        <v>Bois massif 3 et 5 plis</v>
      </c>
      <c r="I45" s="178" t="str" cm="1">
        <f t="array" aca="1" ref="I45" ca="1">INDEX('Enveloppe du bâtiment sout.'!F:F, $F44)</f>
        <v>07.001</v>
      </c>
      <c r="J45" s="178" t="str">
        <f ca="1">_xlfn.XLOOKUP($I45,'Baumaterialien Matériaux'!A:A,'Baumaterialien Matériaux'!G:G,0,0)</f>
        <v>kg</v>
      </c>
      <c r="K45" s="286">
        <f t="shared" ca="1" si="32"/>
        <v>0</v>
      </c>
      <c r="L45" s="178" cm="1">
        <f t="array" aca="1" ref="L45" ca="1">INDEX('Enveloppe du bâtiment sout.'!I:I, $F44)</f>
        <v>60</v>
      </c>
      <c r="M45" s="178" cm="1">
        <f t="array" aca="1" ref="M45" ca="1">INDEX('Enveloppe du bâtiment sout.'!G:G, $F44)</f>
        <v>4.7000000000000011</v>
      </c>
      <c r="N45" s="999" cm="1">
        <f t="array" aca="1" ref="N45" ca="1">IFERROR(INDEX('Enveloppe du bâtiment sout.'!L:L, $F44)*$K45/$M45,0)/$I$1</f>
        <v>0</v>
      </c>
      <c r="O45" s="996">
        <f t="shared" ca="1" si="29"/>
        <v>0</v>
      </c>
      <c r="P45" s="996">
        <f t="shared" ca="1" si="29"/>
        <v>0</v>
      </c>
      <c r="Q45" s="275" cm="1">
        <f t="array" aca="1" ref="Q45" ca="1">_xlfn.SWITCH(L45,Q$3,N45+R45,O$3,O45,0)</f>
        <v>0</v>
      </c>
      <c r="R45" s="999" cm="1">
        <f t="array" aca="1" ref="R45" ca="1">IFERROR(INDEX('Enveloppe du bâtiment sout.'!M:M, $F44)*$K45/$M45,0)/$I$1</f>
        <v>0</v>
      </c>
      <c r="S45" s="997">
        <f t="shared" ca="1" si="30"/>
        <v>0</v>
      </c>
      <c r="T45" s="996" cm="1">
        <f t="array" aca="1" ref="T45" ca="1">IFERROR(INDEX('Enveloppe du bâtiment sout.'!#REF!, $F44)*$K45/$M45,0)/$I$1</f>
        <v>0</v>
      </c>
    </row>
    <row r="46" spans="2:20" ht="15.75" hidden="1" customHeight="1" outlineLevel="1">
      <c r="B46" s="1536"/>
      <c r="C46" s="1539"/>
      <c r="D46" s="178"/>
      <c r="E46" s="285"/>
      <c r="F46" s="178">
        <f t="shared" ca="1" si="31"/>
        <v>57</v>
      </c>
      <c r="G46" s="178" t="str" cm="1">
        <f t="array" aca="1" ref="G46" ca="1">INDEX('Enveloppe du bâtiment sout.'!C:C, $F45)</f>
        <v>Bitumenemulsion / Emulsion de bitume [m2]</v>
      </c>
      <c r="H46" s="178" t="str" cm="1">
        <f t="array" aca="1" ref="H46" ca="1">INDEX('Enveloppe du bâtiment sout.'!D:D, $F45)</f>
        <v>Émulsion de bitume, 1 couche</v>
      </c>
      <c r="I46" s="178" t="str" cm="1">
        <f t="array" aca="1" ref="I46" ca="1">INDEX('Enveloppe du bâtiment sout.'!F:F, $F45)</f>
        <v>14.003</v>
      </c>
      <c r="J46" s="178" t="str">
        <f ca="1">_xlfn.XLOOKUP($I46,'Baumaterialien Matériaux'!A:A,'Baumaterialien Matériaux'!G:G,0,0)</f>
        <v>m2</v>
      </c>
      <c r="K46" s="286">
        <f t="shared" ca="1" si="32"/>
        <v>0</v>
      </c>
      <c r="L46" s="178" cm="1">
        <f t="array" aca="1" ref="L46" ca="1">INDEX('Enveloppe du bâtiment sout.'!I:I, $F45)</f>
        <v>60</v>
      </c>
      <c r="M46" s="178" cm="1">
        <f t="array" aca="1" ref="M46" ca="1">INDEX('Enveloppe du bâtiment sout.'!G:G, $F45)</f>
        <v>1</v>
      </c>
      <c r="N46" s="999" cm="1">
        <f t="array" aca="1" ref="N46" ca="1">IFERROR(INDEX('Enveloppe du bâtiment sout.'!L:L, $F45)*$K46/$M46,0)/$I$1</f>
        <v>0</v>
      </c>
      <c r="O46" s="996">
        <f t="shared" ca="1" si="29"/>
        <v>0</v>
      </c>
      <c r="P46" s="996">
        <f t="shared" ca="1" si="29"/>
        <v>0</v>
      </c>
      <c r="Q46" s="275" cm="1">
        <f t="array" aca="1" ref="Q46" ca="1">_xlfn.SWITCH(L46,Q$3,N46+R46,O$3,O46,0)</f>
        <v>0</v>
      </c>
      <c r="R46" s="999" cm="1">
        <f t="array" aca="1" ref="R46" ca="1">IFERROR(INDEX('Enveloppe du bâtiment sout.'!M:M, $F45)*$K46/$M46,0)/$I$1</f>
        <v>0</v>
      </c>
      <c r="S46" s="997">
        <f t="shared" ca="1" si="30"/>
        <v>0</v>
      </c>
      <c r="T46" s="996" cm="1">
        <f t="array" aca="1" ref="T46" ca="1">IFERROR(INDEX('Enveloppe du bâtiment sout.'!#REF!, $F45)*$K46/$M46,0)/$I$1</f>
        <v>0</v>
      </c>
    </row>
    <row r="47" spans="2:20" ht="15.75" hidden="1" customHeight="1" outlineLevel="1">
      <c r="B47" s="1536"/>
      <c r="C47" s="1539"/>
      <c r="D47" s="178"/>
      <c r="E47" s="285"/>
      <c r="F47" s="178">
        <f t="shared" ca="1" si="31"/>
        <v>58</v>
      </c>
      <c r="G47" s="178" t="str" cm="1">
        <f t="array" aca="1" ref="G47" ca="1">INDEX('Enveloppe du bâtiment sout.'!C:C, $F46)</f>
        <v>Polymerbitumenbahn EP5 [kg]</v>
      </c>
      <c r="H47" s="178" t="str" cm="1">
        <f t="array" aca="1" ref="H47" ca="1">INDEX('Enveloppe du bâtiment sout.'!D:D, $F46)</f>
        <v>Lé d'étanchéité bitumineux, swissporBIKUTOP</v>
      </c>
      <c r="I47" s="178" t="str" cm="1">
        <f t="array" aca="1" ref="I47" ca="1">INDEX('Enveloppe du bâtiment sout.'!F:F, $F46)</f>
        <v>09.003.07</v>
      </c>
      <c r="J47" s="178" t="str">
        <f ca="1">_xlfn.XLOOKUP($I47,'Baumaterialien Matériaux'!A:A,'Baumaterialien Matériaux'!G:G,0,0)</f>
        <v>kg</v>
      </c>
      <c r="K47" s="286">
        <f t="shared" ca="1" si="32"/>
        <v>0</v>
      </c>
      <c r="L47" s="178" cm="1">
        <f t="array" aca="1" ref="L47" ca="1">INDEX('Enveloppe du bâtiment sout.'!I:I, $F46)</f>
        <v>60</v>
      </c>
      <c r="M47" s="178" cm="1">
        <f t="array" aca="1" ref="M47" ca="1">INDEX('Enveloppe du bâtiment sout.'!G:G, $F46)</f>
        <v>5.9</v>
      </c>
      <c r="N47" s="999" cm="1">
        <f t="array" aca="1" ref="N47" ca="1">IFERROR(INDEX('Enveloppe du bâtiment sout.'!L:L, $F46)*$K47/$M47,0)/$I$1</f>
        <v>0</v>
      </c>
      <c r="O47" s="996">
        <f t="shared" ca="1" si="29"/>
        <v>0</v>
      </c>
      <c r="P47" s="996">
        <f t="shared" ca="1" si="29"/>
        <v>0</v>
      </c>
      <c r="Q47" s="275" cm="1">
        <f t="array" aca="1" ref="Q47" ca="1">_xlfn.SWITCH(L47,Q$3,N47+R47,O$3,O47,0)</f>
        <v>0</v>
      </c>
      <c r="R47" s="999" cm="1">
        <f t="array" aca="1" ref="R47" ca="1">IFERROR(INDEX('Enveloppe du bâtiment sout.'!M:M, $F46)*$K47/$M47,0)/$I$1</f>
        <v>0</v>
      </c>
      <c r="S47" s="997">
        <f t="shared" ca="1" si="30"/>
        <v>0</v>
      </c>
      <c r="T47" s="996" cm="1">
        <f t="array" aca="1" ref="T47" ca="1">IFERROR(INDEX('Enveloppe du bâtiment sout.'!#REF!, $F46)*$K47/$M47,0)/$I$1</f>
        <v>0</v>
      </c>
    </row>
    <row r="48" spans="2:20" ht="15.75" hidden="1" customHeight="1" outlineLevel="1">
      <c r="B48" s="1536"/>
      <c r="C48" s="1539"/>
      <c r="D48" s="178"/>
      <c r="E48" s="285"/>
      <c r="F48" s="178">
        <f t="shared" ca="1" si="31"/>
        <v>59</v>
      </c>
      <c r="G48" s="178" t="str" cm="1">
        <f t="array" aca="1" ref="G48" ca="1">INDEX('Enveloppe du bâtiment sout.'!C:C, $F47)</f>
        <v>Trenn-/Schutzvlies [kg]</v>
      </c>
      <c r="H48" s="178" t="str" cm="1">
        <f t="array" aca="1" ref="H48" ca="1">INDEX('Enveloppe du bâtiment sout.'!D:D, $F47)</f>
        <v>Voile de polyéthylène (PE)</v>
      </c>
      <c r="I48" s="178" t="str" cm="1">
        <f t="array" aca="1" ref="I48" ca="1">INDEX('Enveloppe du bâtiment sout.'!F:F, $F47)</f>
        <v>09.008</v>
      </c>
      <c r="J48" s="178" t="str">
        <f ca="1">_xlfn.XLOOKUP($I48,'Baumaterialien Matériaux'!A:A,'Baumaterialien Matériaux'!G:G,0,0)</f>
        <v>kg</v>
      </c>
      <c r="K48" s="286">
        <f t="shared" ca="1" si="32"/>
        <v>0</v>
      </c>
      <c r="L48" s="178" cm="1">
        <f t="array" aca="1" ref="L48" ca="1">INDEX('Enveloppe du bâtiment sout.'!I:I, $F47)</f>
        <v>60</v>
      </c>
      <c r="M48" s="178" cm="1">
        <f t="array" aca="1" ref="M48" ca="1">INDEX('Enveloppe du bâtiment sout.'!G:G, $F47)</f>
        <v>0.4</v>
      </c>
      <c r="N48" s="999" cm="1">
        <f t="array" aca="1" ref="N48" ca="1">IFERROR(INDEX('Enveloppe du bâtiment sout.'!L:L, $F47)*$K48/$M48,0)/$I$1</f>
        <v>0</v>
      </c>
      <c r="O48" s="996">
        <f t="shared" ca="1" si="29"/>
        <v>0</v>
      </c>
      <c r="P48" s="996">
        <f t="shared" ca="1" si="29"/>
        <v>0</v>
      </c>
      <c r="Q48" s="275" cm="1">
        <f t="array" aca="1" ref="Q48" ca="1">_xlfn.SWITCH(L48,Q$3,N48+R48,O$3,O48,0)</f>
        <v>0</v>
      </c>
      <c r="R48" s="999" cm="1">
        <f t="array" aca="1" ref="R48" ca="1">IFERROR(INDEX('Enveloppe du bâtiment sout.'!M:M, $F47)*$K48/$M48,0)/$I$1</f>
        <v>0</v>
      </c>
      <c r="S48" s="997">
        <f t="shared" ca="1" si="30"/>
        <v>0</v>
      </c>
      <c r="T48" s="996" cm="1">
        <f t="array" aca="1" ref="T48" ca="1">IFERROR(INDEX('Enveloppe du bâtiment sout.'!#REF!, $F47)*$K48/$M48,0)/$I$1</f>
        <v>0</v>
      </c>
    </row>
    <row r="49" spans="2:20" ht="15.75" hidden="1" customHeight="1" outlineLevel="1">
      <c r="B49" s="1536"/>
      <c r="C49" s="1539"/>
      <c r="D49" s="178"/>
      <c r="E49" s="285"/>
      <c r="F49" s="178">
        <f t="shared" ca="1" si="31"/>
        <v>60</v>
      </c>
      <c r="G49" s="178" t="str" cm="1">
        <f t="array" aca="1" ref="G49" ca="1">INDEX('Enveloppe du bâtiment sout.'!C:C, $F48)</f>
        <v>Kies 3 cm [kg]</v>
      </c>
      <c r="H49" s="178" t="str" cm="1">
        <f t="array" aca="1" ref="H49" ca="1">INDEX('Enveloppe du bâtiment sout.'!D:D, $F48)</f>
        <v>Gravier rond</v>
      </c>
      <c r="I49" s="178" t="str" cm="1">
        <f t="array" aca="1" ref="I49" ca="1">INDEX('Enveloppe du bâtiment sout.'!F:F, $F48)</f>
        <v>03.012</v>
      </c>
      <c r="J49" s="178" t="str">
        <f ca="1">_xlfn.XLOOKUP($I49,'Baumaterialien Matériaux'!A:A,'Baumaterialien Matériaux'!G:G,0,0)</f>
        <v>kg</v>
      </c>
      <c r="K49" s="286">
        <f t="shared" ca="1" si="32"/>
        <v>0</v>
      </c>
      <c r="L49" s="178" cm="1">
        <f t="array" aca="1" ref="L49" ca="1">INDEX('Enveloppe du bâtiment sout.'!I:I, $F48)</f>
        <v>60</v>
      </c>
      <c r="M49" s="178" cm="1">
        <f t="array" aca="1" ref="M49" ca="1">INDEX('Enveloppe du bâtiment sout.'!G:G, $F48)</f>
        <v>60</v>
      </c>
      <c r="N49" s="999" cm="1">
        <f t="array" aca="1" ref="N49" ca="1">IFERROR(INDEX('Enveloppe du bâtiment sout.'!L:L, $F48)*$K49/$M49,0)/$I$1</f>
        <v>0</v>
      </c>
      <c r="O49" s="996">
        <f t="shared" ca="1" si="29"/>
        <v>0</v>
      </c>
      <c r="P49" s="996">
        <f t="shared" ca="1" si="29"/>
        <v>0</v>
      </c>
      <c r="Q49" s="275" cm="1">
        <f t="array" aca="1" ref="Q49" ca="1">_xlfn.SWITCH(L49,Q$3,N49+R49,O$3,O49,0)</f>
        <v>0</v>
      </c>
      <c r="R49" s="999" cm="1">
        <f t="array" aca="1" ref="R49" ca="1">IFERROR(INDEX('Enveloppe du bâtiment sout.'!M:M, $F48)*$K49/$M49,0)/$I$1</f>
        <v>0</v>
      </c>
      <c r="S49" s="997">
        <f t="shared" ca="1" si="30"/>
        <v>0</v>
      </c>
      <c r="T49" s="996" cm="1">
        <f t="array" aca="1" ref="T49" ca="1">IFERROR(INDEX('Enveloppe du bâtiment sout.'!#REF!, $F48)*$K49/$M49,0)/$I$1</f>
        <v>0</v>
      </c>
    </row>
    <row r="50" spans="2:20" ht="15.75" hidden="1" customHeight="1" outlineLevel="1">
      <c r="B50" s="1536"/>
      <c r="C50" s="1539"/>
      <c r="D50" s="178"/>
      <c r="E50" s="285"/>
      <c r="F50" s="178">
        <f t="shared" ca="1" si="31"/>
        <v>2</v>
      </c>
      <c r="G50" s="178" cm="1">
        <f t="array" aca="1" ref="G50" ca="1">INDEX('Enveloppe du bâtiment sout.'!C:C, $F49)</f>
        <v>0</v>
      </c>
      <c r="H50" s="178" cm="1">
        <f t="array" aca="1" ref="H50" ca="1">INDEX('Enveloppe du bâtiment sout.'!D:D, $F49)</f>
        <v>0</v>
      </c>
      <c r="I50" s="178" cm="1">
        <f t="array" aca="1" ref="I50" ca="1">INDEX('Enveloppe du bâtiment sout.'!F:F, $F49)</f>
        <v>0</v>
      </c>
      <c r="J50" s="178">
        <f ca="1">_xlfn.XLOOKUP($I50,'Baumaterialien Matériaux'!A:A,'Baumaterialien Matériaux'!G:G,0,0)</f>
        <v>0</v>
      </c>
      <c r="K50" s="286">
        <f t="shared" ca="1" si="32"/>
        <v>0</v>
      </c>
      <c r="L50" s="178" cm="1">
        <f t="array" aca="1" ref="L50" ca="1">INDEX('Enveloppe du bâtiment sout.'!I:I, $F49)</f>
        <v>60</v>
      </c>
      <c r="M50" s="178" cm="1">
        <f t="array" aca="1" ref="M50" ca="1">INDEX('Enveloppe du bâtiment sout.'!G:G, $F49)</f>
        <v>0</v>
      </c>
      <c r="N50" s="999" cm="1">
        <f t="array" aca="1" ref="N50" ca="1">IFERROR(INDEX('Enveloppe du bâtiment sout.'!L:L, $F49)*$K50/$M50,0)/$I$1</f>
        <v>0</v>
      </c>
      <c r="O50" s="996">
        <f t="shared" ca="1" si="29"/>
        <v>0</v>
      </c>
      <c r="P50" s="996">
        <f t="shared" ca="1" si="29"/>
        <v>0</v>
      </c>
      <c r="Q50" s="275" cm="1">
        <f t="array" aca="1" ref="Q50" ca="1">_xlfn.SWITCH(L50,Q$3,N50+R50,O$3,O50,0)</f>
        <v>0</v>
      </c>
      <c r="R50" s="999" cm="1">
        <f t="array" aca="1" ref="R50" ca="1">IFERROR(INDEX('Enveloppe du bâtiment sout.'!M:M, $F49)*$K50/$M50,0)/$I$1</f>
        <v>0</v>
      </c>
      <c r="S50" s="997">
        <f t="shared" ca="1" si="30"/>
        <v>0</v>
      </c>
      <c r="T50" s="996" cm="1">
        <f t="array" aca="1" ref="T50" ca="1">IFERROR(INDEX('Enveloppe du bâtiment sout.'!#REF!, $F49)*$K50/$M50,0)/$I$1</f>
        <v>0</v>
      </c>
    </row>
    <row r="51" spans="2:20" ht="15.75" hidden="1" customHeight="1" outlineLevel="1">
      <c r="B51" s="1536"/>
      <c r="C51" s="1539"/>
      <c r="D51" s="178"/>
      <c r="E51" s="285"/>
      <c r="F51" s="178">
        <f t="shared" ca="1" si="31"/>
        <v>2</v>
      </c>
      <c r="G51" s="178" cm="1">
        <f t="array" aca="1" ref="G51" ca="1">INDEX('Enveloppe du bâtiment sout.'!C:C, $F50)</f>
        <v>0</v>
      </c>
      <c r="H51" s="178" cm="1">
        <f t="array" aca="1" ref="H51" ca="1">INDEX('Enveloppe du bâtiment sout.'!D:D, $F50)</f>
        <v>0</v>
      </c>
      <c r="I51" s="178" cm="1">
        <f t="array" aca="1" ref="I51" ca="1">INDEX('Enveloppe du bâtiment sout.'!F:F, $F50)</f>
        <v>0</v>
      </c>
      <c r="J51" s="178">
        <f ca="1">_xlfn.XLOOKUP($I51,'Baumaterialien Matériaux'!A:A,'Baumaterialien Matériaux'!G:G,0,0)</f>
        <v>0</v>
      </c>
      <c r="K51" s="286">
        <f t="shared" ca="1" si="32"/>
        <v>0</v>
      </c>
      <c r="L51" s="178" cm="1">
        <f t="array" aca="1" ref="L51" ca="1">INDEX('Enveloppe du bâtiment sout.'!I:I, $F50)</f>
        <v>0</v>
      </c>
      <c r="M51" s="178" cm="1">
        <f t="array" aca="1" ref="M51" ca="1">INDEX('Enveloppe du bâtiment sout.'!G:G, $F50)</f>
        <v>0</v>
      </c>
      <c r="N51" s="999" cm="1">
        <f t="array" aca="1" ref="N51" ca="1">IFERROR(INDEX('Enveloppe du bâtiment sout.'!L:L, $F50)*$K51/$M51,0)/$I$1</f>
        <v>0</v>
      </c>
      <c r="O51" s="996">
        <f t="shared" ca="1" si="29"/>
        <v>0</v>
      </c>
      <c r="P51" s="996">
        <f t="shared" ca="1" si="29"/>
        <v>0</v>
      </c>
      <c r="Q51" s="275" cm="1">
        <f t="array" aca="1" ref="Q51" ca="1">_xlfn.SWITCH(L51,Q$3,N51+R51,O$3,O51,0)</f>
        <v>0</v>
      </c>
      <c r="R51" s="999" cm="1">
        <f t="array" aca="1" ref="R51" ca="1">IFERROR(INDEX('Enveloppe du bâtiment sout.'!M:M, $F50)*$K51/$M51,0)/$I$1</f>
        <v>0</v>
      </c>
      <c r="S51" s="997">
        <f t="shared" ca="1" si="30"/>
        <v>0</v>
      </c>
      <c r="T51" s="996" cm="1">
        <f t="array" aca="1" ref="T51" ca="1">IFERROR(INDEX('Enveloppe du bâtiment sout.'!#REF!, $F50)*$K51/$M51,0)/$I$1</f>
        <v>0</v>
      </c>
    </row>
    <row r="52" spans="2:20" ht="15.75" hidden="1" customHeight="1" outlineLevel="1" thickBot="1">
      <c r="B52" s="1537"/>
      <c r="C52" s="1547"/>
      <c r="D52" s="732"/>
      <c r="E52" s="1263"/>
      <c r="F52" s="732">
        <f t="shared" ref="F52" ca="1" si="33">IF(I52=0,2,F51+1)</f>
        <v>2</v>
      </c>
      <c r="G52" s="732" cm="1">
        <f t="array" aca="1" ref="G52" ca="1">INDEX('Enveloppe du bâtiment sout.'!C:C, $F51)</f>
        <v>0</v>
      </c>
      <c r="H52" s="732" cm="1">
        <f t="array" aca="1" ref="H52" ca="1">INDEX('Enveloppe du bâtiment sout.'!D:D, $F51)</f>
        <v>0</v>
      </c>
      <c r="I52" s="732" cm="1">
        <f t="array" aca="1" ref="I52" ca="1">INDEX('Enveloppe du bâtiment sout.'!F:F, $F51)</f>
        <v>0</v>
      </c>
      <c r="J52" s="732">
        <f ca="1">_xlfn.XLOOKUP($I52,'Baumaterialien Matériaux'!A:A,'Baumaterialien Matériaux'!G:G,0,0)</f>
        <v>0</v>
      </c>
      <c r="K52" s="1264">
        <f t="shared" ca="1" si="32"/>
        <v>0</v>
      </c>
      <c r="L52" s="732" cm="1">
        <f t="array" aca="1" ref="L52" ca="1">INDEX('Enveloppe du bâtiment sout.'!I:I, $F51)</f>
        <v>0</v>
      </c>
      <c r="M52" s="732" cm="1">
        <f t="array" aca="1" ref="M52" ca="1">INDEX('Enveloppe du bâtiment sout.'!G:G, $F51)</f>
        <v>0</v>
      </c>
      <c r="N52" s="1265" cm="1">
        <f t="array" aca="1" ref="N52" ca="1">IFERROR(INDEX('Enveloppe du bâtiment sout.'!L:L, $F51)*$K52/$M52,0)/$I$1</f>
        <v>0</v>
      </c>
      <c r="O52" s="1258">
        <f t="shared" ca="1" si="29"/>
        <v>0</v>
      </c>
      <c r="P52" s="1258">
        <f t="shared" ca="1" si="29"/>
        <v>0</v>
      </c>
      <c r="Q52" s="331" cm="1">
        <f t="array" aca="1" ref="Q52" ca="1">_xlfn.SWITCH(L52,Q$3,N52+R52,O$3,O52,0)</f>
        <v>0</v>
      </c>
      <c r="R52" s="1265" cm="1">
        <f t="array" aca="1" ref="R52" ca="1">IFERROR(INDEX('Enveloppe du bâtiment sout.'!M:M, $F51)*$K52/$M52,0)/$I$1</f>
        <v>0</v>
      </c>
      <c r="S52" s="1266">
        <f t="shared" ca="1" si="30"/>
        <v>0</v>
      </c>
      <c r="T52" s="1258" cm="1">
        <f t="array" aca="1" ref="T52" ca="1">IFERROR(INDEX('Enveloppe du bâtiment sout.'!#REF!, $F51)*$K52/$M52,0)/$I$1</f>
        <v>0</v>
      </c>
    </row>
    <row r="53" spans="2:20" ht="15.6" customHeight="1" collapsed="1">
      <c r="B53" s="1535" t="s">
        <v>615</v>
      </c>
      <c r="C53" s="1544" t="str">
        <f>'Outil détaillé'!C17</f>
        <v>C02.01 (B)</v>
      </c>
      <c r="D53" s="726" t="str">
        <f>'Outil détaillé'!D17</f>
        <v>Parois extérieures hors terrain</v>
      </c>
      <c r="E53" s="726"/>
      <c r="F53" s="726">
        <f>MATCH(D53, 'Enveloppe du bâtiment hors terr'!B:B,0)</f>
        <v>3</v>
      </c>
      <c r="G53" s="726"/>
      <c r="H53" s="726"/>
      <c r="I53" s="726"/>
      <c r="J53" s="726"/>
      <c r="K53" s="1261"/>
      <c r="L53" s="1254"/>
      <c r="M53" s="1254"/>
      <c r="N53" s="1255">
        <f t="shared" ref="N53" ca="1" si="34">N54</f>
        <v>3.760353733333333</v>
      </c>
      <c r="O53" s="1255">
        <f t="shared" ref="O53:Q53" ca="1" si="35">O54</f>
        <v>0</v>
      </c>
      <c r="P53" s="1255">
        <f t="shared" ca="1" si="35"/>
        <v>0</v>
      </c>
      <c r="Q53" s="1255">
        <f t="shared" ca="1" si="35"/>
        <v>0</v>
      </c>
      <c r="R53" s="1255">
        <f t="shared" ref="R53" ca="1" si="36">R54</f>
        <v>1.6222765000000003</v>
      </c>
      <c r="S53" s="1255">
        <f ca="1">S54</f>
        <v>5.3826302333333338</v>
      </c>
      <c r="T53" s="1256">
        <f ca="1">T54</f>
        <v>62.991471277777777</v>
      </c>
    </row>
    <row r="54" spans="2:20" ht="15.75">
      <c r="B54" s="1536"/>
      <c r="C54" s="1539"/>
      <c r="D54" s="178" t="str">
        <f>'Outil détaillé'!D18</f>
        <v>Façade structure</v>
      </c>
      <c r="E54" s="179" t="str">
        <f>'Outil détaillé'!E18</f>
        <v>Paroi en bois</v>
      </c>
      <c r="F54" s="927">
        <f ca="1">MATCH(E54, INDIRECT("'Enveloppe du bâtiment hors terr'!A"&amp;F53+1&amp;":A500"),0)+F53</f>
        <v>9</v>
      </c>
      <c r="G54" s="295"/>
      <c r="H54" s="295"/>
      <c r="I54" s="295"/>
      <c r="J54" s="179" t="s">
        <v>97</v>
      </c>
      <c r="K54" s="294">
        <f>'Outil détaillé'!J18</f>
        <v>827.64833333333331</v>
      </c>
      <c r="L54" s="295"/>
      <c r="M54" s="295"/>
      <c r="N54" s="994">
        <f t="shared" ref="N54" ca="1" si="37">SUM(N55:N60)</f>
        <v>3.760353733333333</v>
      </c>
      <c r="O54" s="994">
        <f t="shared" ref="O54:Q54" ca="1" si="38">SUM(O55:O60)</f>
        <v>0</v>
      </c>
      <c r="P54" s="994">
        <f t="shared" ca="1" si="38"/>
        <v>0</v>
      </c>
      <c r="Q54" s="994">
        <f t="shared" ca="1" si="38"/>
        <v>0</v>
      </c>
      <c r="R54" s="994">
        <f t="shared" ref="R54" ca="1" si="39">SUM(R55:R60)</f>
        <v>1.6222765000000003</v>
      </c>
      <c r="S54" s="994">
        <f ca="1">SUM(S55:S60)</f>
        <v>5.3826302333333338</v>
      </c>
      <c r="T54" s="1054">
        <f ca="1">SUM(T55:T60)</f>
        <v>62.991471277777777</v>
      </c>
    </row>
    <row r="55" spans="2:20" ht="15.75" hidden="1" customHeight="1" outlineLevel="1">
      <c r="B55" s="1536"/>
      <c r="C55" s="1539"/>
      <c r="D55" s="178"/>
      <c r="E55" s="285"/>
      <c r="F55" s="178">
        <f ca="1">IF(I55=0,2,F54+1)</f>
        <v>10</v>
      </c>
      <c r="G55" s="178" t="str" cm="1">
        <f t="array" aca="1" ref="G55" ca="1">INDEX( 'Enveloppe du bâtiment hors terr'!C:C, $F54)</f>
        <v>Nadelschnittholz [kg]</v>
      </c>
      <c r="H55" s="178" t="str" cm="1">
        <f t="array" aca="1" ref="H55" ca="1">INDEX( 'Enveloppe du bâtiment hors terr'!D:D, $F54)</f>
        <v>Bois massif épicéa / sapin / mélèze, séché à l'air, brut</v>
      </c>
      <c r="I55" s="178" t="str" cm="1">
        <f t="array" aca="1" ref="I55" ca="1">INDEX( 'Enveloppe du bâtiment hors terr'!F:F, $F54)</f>
        <v>07.009</v>
      </c>
      <c r="J55" s="178" t="str">
        <f ca="1">_xlfn.XLOOKUP($I55,'Baumaterialien Matériaux'!A:A,'Baumaterialien Matériaux'!G:G,0,0)</f>
        <v>kg</v>
      </c>
      <c r="K55" s="286">
        <f ca="1">M55*K$54</f>
        <v>40140.944166666668</v>
      </c>
      <c r="L55" s="178" cm="1">
        <f t="array" aca="1" ref="L55" ca="1">INDEX( 'Enveloppe du bâtiment hors terr'!I:I, $F54)</f>
        <v>60</v>
      </c>
      <c r="M55" s="178" cm="1">
        <f t="array" aca="1" ref="M55" ca="1">INDEX( 'Enveloppe du bâtiment hors terr'!G:G, $F54)</f>
        <v>48.5</v>
      </c>
      <c r="N55" s="999" cm="1">
        <f t="array" aca="1" ref="N55" ca="1">IFERROR(INDEX('Enveloppe du bâtiment hors terr'!L:L, $F54)*$K55/$M55,0)/$I$1</f>
        <v>3.760353733333333</v>
      </c>
      <c r="O55" s="996">
        <f t="shared" ref="O55:P60" ca="1" si="40">IF($L55=O$3,$N55+$R55,0)</f>
        <v>0</v>
      </c>
      <c r="P55" s="996">
        <f t="shared" ca="1" si="40"/>
        <v>0</v>
      </c>
      <c r="Q55" s="275" cm="1">
        <f t="array" aca="1" ref="Q55" ca="1">_xlfn.SWITCH(L55,Q$3,N55+R55,O$3,O55,0)</f>
        <v>0</v>
      </c>
      <c r="R55" s="999" cm="1">
        <f t="array" aca="1" ref="R55" ca="1">IFERROR(INDEX('Enveloppe du bâtiment hors terr'!M:M, $F54)*$K55/$M55,0)/$I$1</f>
        <v>1.6222765000000003</v>
      </c>
      <c r="S55" s="997">
        <f t="shared" ref="S55:S60" ca="1" si="41">SUM(N55:R55)</f>
        <v>5.3826302333333338</v>
      </c>
      <c r="T55" s="996" cm="1">
        <f t="array" aca="1" ref="T55" ca="1">IFERROR(INDEX('Enveloppe du bâtiment hors terr'!N:N, $F54)*$K55/$M55,0)/$I$1</f>
        <v>62.991471277777777</v>
      </c>
    </row>
    <row r="56" spans="2:20" ht="15.75" hidden="1" customHeight="1" outlineLevel="1">
      <c r="B56" s="1536"/>
      <c r="C56" s="1539"/>
      <c r="D56" s="178"/>
      <c r="E56" s="285"/>
      <c r="F56" s="178">
        <f t="shared" ref="F56:F60" ca="1" si="42">IF(I56=0,2,F55+1)</f>
        <v>2</v>
      </c>
      <c r="G56" s="178" cm="1">
        <f t="array" aca="1" ref="G56" ca="1">INDEX( 'Enveloppe du bâtiment hors terr'!C:C, $F55)</f>
        <v>0</v>
      </c>
      <c r="H56" s="178" cm="1">
        <f t="array" aca="1" ref="H56" ca="1">INDEX( 'Enveloppe du bâtiment hors terr'!D:D, $F55)</f>
        <v>0</v>
      </c>
      <c r="I56" s="178" cm="1">
        <f t="array" aca="1" ref="I56" ca="1">INDEX( 'Enveloppe du bâtiment hors terr'!F:F, $F55)</f>
        <v>0</v>
      </c>
      <c r="J56" s="178">
        <f ca="1">_xlfn.XLOOKUP($I56,'Baumaterialien Matériaux'!A:A,'Baumaterialien Matériaux'!G:G,0,0)</f>
        <v>0</v>
      </c>
      <c r="K56" s="286">
        <f t="shared" ref="K56:K60" ca="1" si="43">M56*K$54</f>
        <v>0</v>
      </c>
      <c r="L56" s="178" cm="1">
        <f t="array" aca="1" ref="L56" ca="1">INDEX( 'Enveloppe du bâtiment hors terr'!I:I, $F55)</f>
        <v>0</v>
      </c>
      <c r="M56" s="178" cm="1">
        <f t="array" aca="1" ref="M56" ca="1">INDEX( 'Enveloppe du bâtiment hors terr'!G:G, $F55)</f>
        <v>0</v>
      </c>
      <c r="N56" s="999" cm="1">
        <f t="array" aca="1" ref="N56" ca="1">IFERROR(INDEX('Enveloppe du bâtiment hors terr'!L:L, $F55)*$K56/$M56,0)/$I$1</f>
        <v>0</v>
      </c>
      <c r="O56" s="996">
        <f t="shared" ca="1" si="40"/>
        <v>0</v>
      </c>
      <c r="P56" s="996">
        <f t="shared" ca="1" si="40"/>
        <v>0</v>
      </c>
      <c r="Q56" s="275" cm="1">
        <f t="array" aca="1" ref="Q56" ca="1">_xlfn.SWITCH(L56,Q$3,N56+R56,O$3,O56,0)</f>
        <v>0</v>
      </c>
      <c r="R56" s="999" cm="1">
        <f t="array" aca="1" ref="R56" ca="1">IFERROR(INDEX('Enveloppe du bâtiment hors terr'!M:M, $F55)*$K56/$M56,0)/$I$1</f>
        <v>0</v>
      </c>
      <c r="S56" s="997">
        <f t="shared" ca="1" si="41"/>
        <v>0</v>
      </c>
      <c r="T56" s="996" cm="1">
        <f t="array" aca="1" ref="T56" ca="1">IFERROR(INDEX('Enveloppe du bâtiment hors terr'!N:N, $F55)*$K56/$M56,0)/$I$1</f>
        <v>0</v>
      </c>
    </row>
    <row r="57" spans="2:20" ht="15.75" hidden="1" customHeight="1" outlineLevel="1">
      <c r="B57" s="1536"/>
      <c r="C57" s="1539"/>
      <c r="D57" s="178"/>
      <c r="E57" s="285"/>
      <c r="F57" s="178">
        <f t="shared" ca="1" si="42"/>
        <v>2</v>
      </c>
      <c r="G57" s="178" cm="1">
        <f t="array" aca="1" ref="G57" ca="1">INDEX( 'Enveloppe du bâtiment hors terr'!C:C, $F56)</f>
        <v>0</v>
      </c>
      <c r="H57" s="178" cm="1">
        <f t="array" aca="1" ref="H57" ca="1">INDEX( 'Enveloppe du bâtiment hors terr'!D:D, $F56)</f>
        <v>0</v>
      </c>
      <c r="I57" s="178" cm="1">
        <f t="array" aca="1" ref="I57" ca="1">INDEX( 'Enveloppe du bâtiment hors terr'!F:F, $F56)</f>
        <v>0</v>
      </c>
      <c r="J57" s="178">
        <f ca="1">_xlfn.XLOOKUP($I57,'Baumaterialien Matériaux'!A:A,'Baumaterialien Matériaux'!G:G,0,0)</f>
        <v>0</v>
      </c>
      <c r="K57" s="286">
        <f t="shared" ca="1" si="43"/>
        <v>0</v>
      </c>
      <c r="L57" s="178" cm="1">
        <f t="array" aca="1" ref="L57" ca="1">INDEX( 'Enveloppe du bâtiment hors terr'!I:I, $F56)</f>
        <v>0</v>
      </c>
      <c r="M57" s="178" cm="1">
        <f t="array" aca="1" ref="M57" ca="1">INDEX( 'Enveloppe du bâtiment hors terr'!G:G, $F56)</f>
        <v>0</v>
      </c>
      <c r="N57" s="999" cm="1">
        <f t="array" aca="1" ref="N57" ca="1">IFERROR(INDEX('Enveloppe du bâtiment hors terr'!L:L, $F56)*$K57/$M57,0)/$I$1</f>
        <v>0</v>
      </c>
      <c r="O57" s="996">
        <f t="shared" ca="1" si="40"/>
        <v>0</v>
      </c>
      <c r="P57" s="996">
        <f t="shared" ca="1" si="40"/>
        <v>0</v>
      </c>
      <c r="Q57" s="275" cm="1">
        <f t="array" aca="1" ref="Q57" ca="1">_xlfn.SWITCH(L57,Q$3,N57+R57,O$3,O57,0)</f>
        <v>0</v>
      </c>
      <c r="R57" s="999" cm="1">
        <f t="array" aca="1" ref="R57" ca="1">IFERROR(INDEX('Enveloppe du bâtiment hors terr'!M:M, $F56)*$K57/$M57,0)/$I$1</f>
        <v>0</v>
      </c>
      <c r="S57" s="997">
        <f t="shared" ca="1" si="41"/>
        <v>0</v>
      </c>
      <c r="T57" s="996" cm="1">
        <f t="array" aca="1" ref="T57" ca="1">IFERROR(INDEX('Enveloppe du bâtiment hors terr'!N:N, $F56)*$K57/$M57,0)/$I$1</f>
        <v>0</v>
      </c>
    </row>
    <row r="58" spans="2:20" ht="15.75" hidden="1" customHeight="1" outlineLevel="1">
      <c r="B58" s="1536"/>
      <c r="C58" s="1539"/>
      <c r="D58" s="178"/>
      <c r="E58" s="285"/>
      <c r="F58" s="178">
        <f t="shared" ca="1" si="42"/>
        <v>2</v>
      </c>
      <c r="G58" s="178" cm="1">
        <f t="array" aca="1" ref="G58" ca="1">INDEX( 'Enveloppe du bâtiment hors terr'!C:C, $F57)</f>
        <v>0</v>
      </c>
      <c r="H58" s="178" cm="1">
        <f t="array" aca="1" ref="H58" ca="1">INDEX( 'Enveloppe du bâtiment hors terr'!D:D, $F57)</f>
        <v>0</v>
      </c>
      <c r="I58" s="178" cm="1">
        <f t="array" aca="1" ref="I58" ca="1">INDEX( 'Enveloppe du bâtiment hors terr'!F:F, $F57)</f>
        <v>0</v>
      </c>
      <c r="J58" s="178">
        <f ca="1">_xlfn.XLOOKUP($I58,'Baumaterialien Matériaux'!A:A,'Baumaterialien Matériaux'!G:G,0,0)</f>
        <v>0</v>
      </c>
      <c r="K58" s="286">
        <f t="shared" ca="1" si="43"/>
        <v>0</v>
      </c>
      <c r="L58" s="178" cm="1">
        <f t="array" aca="1" ref="L58" ca="1">INDEX( 'Enveloppe du bâtiment hors terr'!I:I, $F57)</f>
        <v>0</v>
      </c>
      <c r="M58" s="178" cm="1">
        <f t="array" aca="1" ref="M58" ca="1">INDEX( 'Enveloppe du bâtiment hors terr'!G:G, $F57)</f>
        <v>0</v>
      </c>
      <c r="N58" s="999" cm="1">
        <f t="array" aca="1" ref="N58" ca="1">IFERROR(INDEX('Enveloppe du bâtiment hors terr'!L:L, $F57)*$K58/$M58,0)/$I$1</f>
        <v>0</v>
      </c>
      <c r="O58" s="996">
        <f t="shared" ca="1" si="40"/>
        <v>0</v>
      </c>
      <c r="P58" s="996">
        <f t="shared" ca="1" si="40"/>
        <v>0</v>
      </c>
      <c r="Q58" s="275" cm="1">
        <f t="array" aca="1" ref="Q58" ca="1">_xlfn.SWITCH(L58,Q$3,N58+R58,O$3,O58,0)</f>
        <v>0</v>
      </c>
      <c r="R58" s="999" cm="1">
        <f t="array" aca="1" ref="R58" ca="1">IFERROR(INDEX('Enveloppe du bâtiment hors terr'!M:M, $F57)*$K58/$M58,0)/$I$1</f>
        <v>0</v>
      </c>
      <c r="S58" s="997">
        <f t="shared" ca="1" si="41"/>
        <v>0</v>
      </c>
      <c r="T58" s="996" cm="1">
        <f t="array" aca="1" ref="T58" ca="1">IFERROR(INDEX('Enveloppe du bâtiment hors terr'!N:N, $F57)*$K58/$M58,0)/$I$1</f>
        <v>0</v>
      </c>
    </row>
    <row r="59" spans="2:20" ht="15.75" hidden="1" customHeight="1" outlineLevel="1">
      <c r="B59" s="1536"/>
      <c r="C59" s="1539"/>
      <c r="D59" s="178"/>
      <c r="E59" s="285"/>
      <c r="F59" s="178">
        <f t="shared" ca="1" si="42"/>
        <v>2</v>
      </c>
      <c r="G59" s="178" cm="1">
        <f t="array" aca="1" ref="G59" ca="1">INDEX( 'Enveloppe du bâtiment hors terr'!C:C, $F58)</f>
        <v>0</v>
      </c>
      <c r="H59" s="178" cm="1">
        <f t="array" aca="1" ref="H59" ca="1">INDEX( 'Enveloppe du bâtiment hors terr'!D:D, $F58)</f>
        <v>0</v>
      </c>
      <c r="I59" s="178" cm="1">
        <f t="array" aca="1" ref="I59" ca="1">INDEX( 'Enveloppe du bâtiment hors terr'!F:F, $F58)</f>
        <v>0</v>
      </c>
      <c r="J59" s="178">
        <f ca="1">_xlfn.XLOOKUP($I59,'Baumaterialien Matériaux'!A:A,'Baumaterialien Matériaux'!G:G,0,0)</f>
        <v>0</v>
      </c>
      <c r="K59" s="286">
        <f t="shared" ca="1" si="43"/>
        <v>0</v>
      </c>
      <c r="L59" s="178" cm="1">
        <f t="array" aca="1" ref="L59" ca="1">INDEX( 'Enveloppe du bâtiment hors terr'!I:I, $F58)</f>
        <v>0</v>
      </c>
      <c r="M59" s="178" cm="1">
        <f t="array" aca="1" ref="M59" ca="1">INDEX( 'Enveloppe du bâtiment hors terr'!G:G, $F58)</f>
        <v>0</v>
      </c>
      <c r="N59" s="999" cm="1">
        <f t="array" aca="1" ref="N59" ca="1">IFERROR(INDEX('Enveloppe du bâtiment hors terr'!L:L, $F58)*$K59/$M59,0)/$I$1</f>
        <v>0</v>
      </c>
      <c r="O59" s="996">
        <f t="shared" ca="1" si="40"/>
        <v>0</v>
      </c>
      <c r="P59" s="996">
        <f t="shared" ca="1" si="40"/>
        <v>0</v>
      </c>
      <c r="Q59" s="275" cm="1">
        <f t="array" aca="1" ref="Q59" ca="1">_xlfn.SWITCH(L59,Q$3,N59+R59,O$3,O59,0)</f>
        <v>0</v>
      </c>
      <c r="R59" s="999" cm="1">
        <f t="array" aca="1" ref="R59" ca="1">IFERROR(INDEX('Enveloppe du bâtiment hors terr'!M:M, $F58)*$K59/$M59,0)/$I$1</f>
        <v>0</v>
      </c>
      <c r="S59" s="997">
        <f t="shared" ca="1" si="41"/>
        <v>0</v>
      </c>
      <c r="T59" s="996" cm="1">
        <f t="array" aca="1" ref="T59" ca="1">IFERROR(INDEX('Enveloppe du bâtiment hors terr'!N:N, $F58)*$K59/$M59,0)/$I$1</f>
        <v>0</v>
      </c>
    </row>
    <row r="60" spans="2:20" ht="15.75" hidden="1" customHeight="1" outlineLevel="1">
      <c r="B60" s="1536"/>
      <c r="C60" s="1540"/>
      <c r="D60" s="178"/>
      <c r="E60" s="285"/>
      <c r="F60" s="178">
        <f t="shared" ca="1" si="42"/>
        <v>2</v>
      </c>
      <c r="G60" s="178" cm="1">
        <f t="array" aca="1" ref="G60" ca="1">INDEX( 'Enveloppe du bâtiment hors terr'!C:C, $F59)</f>
        <v>0</v>
      </c>
      <c r="H60" s="178" cm="1">
        <f t="array" aca="1" ref="H60" ca="1">INDEX( 'Enveloppe du bâtiment hors terr'!D:D, $F59)</f>
        <v>0</v>
      </c>
      <c r="I60" s="178" cm="1">
        <f t="array" aca="1" ref="I60" ca="1">INDEX( 'Enveloppe du bâtiment hors terr'!F:F, $F59)</f>
        <v>0</v>
      </c>
      <c r="J60" s="178">
        <f ca="1">_xlfn.XLOOKUP($I60,'Baumaterialien Matériaux'!A:A,'Baumaterialien Matériaux'!G:G,0,0)</f>
        <v>0</v>
      </c>
      <c r="K60" s="286">
        <f t="shared" ca="1" si="43"/>
        <v>0</v>
      </c>
      <c r="L60" s="178" cm="1">
        <f t="array" aca="1" ref="L60" ca="1">INDEX( 'Enveloppe du bâtiment hors terr'!I:I, $F59)</f>
        <v>0</v>
      </c>
      <c r="M60" s="178" cm="1">
        <f t="array" aca="1" ref="M60" ca="1">INDEX( 'Enveloppe du bâtiment hors terr'!G:G, $F59)</f>
        <v>0</v>
      </c>
      <c r="N60" s="999" cm="1">
        <f t="array" aca="1" ref="N60" ca="1">IFERROR(INDEX('Enveloppe du bâtiment hors terr'!L:L, $F59)*$K60/$M60,0)/$I$1</f>
        <v>0</v>
      </c>
      <c r="O60" s="996">
        <f t="shared" ca="1" si="40"/>
        <v>0</v>
      </c>
      <c r="P60" s="996">
        <f t="shared" ca="1" si="40"/>
        <v>0</v>
      </c>
      <c r="Q60" s="275" cm="1">
        <f t="array" aca="1" ref="Q60" ca="1">_xlfn.SWITCH(L60,Q$3,N60+R60,O$3,O60,0)</f>
        <v>0</v>
      </c>
      <c r="R60" s="999" cm="1">
        <f t="array" aca="1" ref="R60" ca="1">IFERROR(INDEX('Enveloppe du bâtiment hors terr'!M:M, $F59)*$K60/$M60,0)/$I$1</f>
        <v>0</v>
      </c>
      <c r="S60" s="997">
        <f t="shared" ca="1" si="41"/>
        <v>0</v>
      </c>
      <c r="T60" s="996" cm="1">
        <f t="array" aca="1" ref="T60" ca="1">IFERROR(INDEX('Enveloppe du bâtiment hors terr'!N:N, $F59)*$K60/$M60,0)/$I$1</f>
        <v>0</v>
      </c>
    </row>
    <row r="61" spans="2:20" ht="15.75" collapsed="1">
      <c r="B61" s="1536"/>
      <c r="C61" s="1538" t="str">
        <f>'Outil détaillé'!C19</f>
        <v>E02</v>
      </c>
      <c r="D61" s="177" t="str">
        <f>'Outil détaillé'!D19</f>
        <v>Revetements extérieurs de facades</v>
      </c>
      <c r="E61" s="288"/>
      <c r="F61" s="177">
        <f>MATCH(D61, 'Enveloppe du bâtiment hors terr'!B:B,0)</f>
        <v>25</v>
      </c>
      <c r="G61" s="177"/>
      <c r="H61" s="177"/>
      <c r="I61" s="177"/>
      <c r="J61" s="177"/>
      <c r="K61" s="288"/>
      <c r="L61" s="288"/>
      <c r="M61" s="288"/>
      <c r="N61" s="993">
        <f ca="1">N62+N71</f>
        <v>17.809038797499998</v>
      </c>
      <c r="O61" s="993">
        <f t="shared" ref="O61:S61" ca="1" si="44">O62+O71</f>
        <v>0</v>
      </c>
      <c r="P61" s="993">
        <f t="shared" ca="1" si="44"/>
        <v>0</v>
      </c>
      <c r="Q61" s="993">
        <f t="shared" ca="1" si="44"/>
        <v>19.805205049992832</v>
      </c>
      <c r="R61" s="993">
        <f t="shared" ca="1" si="44"/>
        <v>1.9961662524928334</v>
      </c>
      <c r="S61" s="993">
        <f t="shared" ca="1" si="44"/>
        <v>39.610410099985664</v>
      </c>
      <c r="T61" s="1053">
        <f ca="1">T62+T71</f>
        <v>18.795951542500003</v>
      </c>
    </row>
    <row r="62" spans="2:20" ht="15.75">
      <c r="B62" s="1536"/>
      <c r="C62" s="1539"/>
      <c r="D62" s="178" t="str">
        <f>'Outil détaillé'!D20</f>
        <v>Façade revêtement extérieur</v>
      </c>
      <c r="E62" s="179" t="str">
        <f>'Outil détaillé'!E20</f>
        <v>Revêtement bois ventilé</v>
      </c>
      <c r="F62" s="179">
        <f ca="1">MATCH(E62, INDIRECT("'Enveloppe du bâtiment hors terr'!A"&amp;F61+1&amp;":A500"),0)+F61</f>
        <v>35</v>
      </c>
      <c r="G62" s="179"/>
      <c r="H62" s="179"/>
      <c r="I62" s="179"/>
      <c r="J62" s="179" t="s">
        <v>97</v>
      </c>
      <c r="K62" s="294">
        <f>'Outil détaillé'!J20</f>
        <v>827.64833333333331</v>
      </c>
      <c r="L62" s="295"/>
      <c r="M62" s="295"/>
      <c r="N62" s="994">
        <f ca="1">SUM(N63:N70)</f>
        <v>7.5746739975000006</v>
      </c>
      <c r="O62" s="994">
        <f t="shared" ref="O62:T62" ca="1" si="45">SUM(O63:O70)</f>
        <v>0</v>
      </c>
      <c r="P62" s="994">
        <f t="shared" ca="1" si="45"/>
        <v>0</v>
      </c>
      <c r="Q62" s="994">
        <f t="shared" ca="1" si="45"/>
        <v>9.0346682179928344</v>
      </c>
      <c r="R62" s="994">
        <f t="shared" ca="1" si="45"/>
        <v>1.4599942204928333</v>
      </c>
      <c r="S62" s="994">
        <f t="shared" ca="1" si="45"/>
        <v>18.069336435985669</v>
      </c>
      <c r="T62" s="1054">
        <f t="shared" ca="1" si="45"/>
        <v>18.795951542500003</v>
      </c>
    </row>
    <row r="63" spans="2:20" ht="15.75" hidden="1" customHeight="1" outlineLevel="1">
      <c r="B63" s="1536"/>
      <c r="C63" s="1539"/>
      <c r="D63" s="178"/>
      <c r="E63" s="178"/>
      <c r="F63" s="178">
        <f ca="1">IF(I63=0,2,F62+1)</f>
        <v>36</v>
      </c>
      <c r="G63" s="178" t="str" cm="1">
        <f t="array" aca="1" ref="G63" ca="1">INDEX( 'Enveloppe du bâtiment hors terr'!C:C, $F62)</f>
        <v>Holzschalung mit Nut und Kamm [kg]</v>
      </c>
      <c r="H63" s="178" t="str" cm="1">
        <f t="array" aca="1" ref="H63" ca="1">INDEX( 'Enveloppe du bâtiment hors terr'!D:D, $F62)</f>
        <v>Bois massif épicéa / sapin / mélèze, séché en cellule, raboté</v>
      </c>
      <c r="I63" s="178" t="str" cm="1">
        <f t="array" aca="1" ref="I63" ca="1">INDEX( 'Enveloppe du bâtiment hors terr'!F:F, $F62)</f>
        <v>07.011</v>
      </c>
      <c r="J63" s="178" t="str">
        <f ca="1">_xlfn.XLOOKUP($I63,'Baumaterialien Matériaux'!A:A,'Baumaterialien Matériaux'!G:G,0,0)</f>
        <v>kg</v>
      </c>
      <c r="K63" s="286">
        <f ca="1">M63*$K$62</f>
        <v>10968.409537500002</v>
      </c>
      <c r="L63" s="178" cm="1">
        <f t="array" aca="1" ref="L63" ca="1">INDEX( 'Enveloppe du bâtiment hors terr'!I:I, $F62)</f>
        <v>40</v>
      </c>
      <c r="M63" s="178" cm="1">
        <f t="array" aca="1" ref="M63" ca="1">INDEX( 'Enveloppe du bâtiment hors terr'!G:G, $F62)</f>
        <v>13.252500000000001</v>
      </c>
      <c r="N63" s="999" cm="1">
        <f t="array" aca="1" ref="N63" ca="1">IFERROR(INDEX('Enveloppe du bâtiment hors terr'!L:L, $F62)*$K63/$M63,0)/$I$1</f>
        <v>1.5230744850000004</v>
      </c>
      <c r="O63" s="996">
        <f t="shared" ref="O63:P74" ca="1" si="46">IF($L63=O$3,$N63+$R63,0)</f>
        <v>0</v>
      </c>
      <c r="P63" s="996">
        <f t="shared" ca="1" si="46"/>
        <v>0</v>
      </c>
      <c r="Q63" s="275" cm="1">
        <f t="array" aca="1" ref="Q63" ca="1">_xlfn.SWITCH(L63,Q$3,N63+R63,O$3,O63,0)</f>
        <v>1.9663573575000004</v>
      </c>
      <c r="R63" s="999" cm="1">
        <f t="array" aca="1" ref="R63" ca="1">IFERROR(INDEX('Enveloppe du bâtiment hors terr'!M:M, $F62)*$K63/$M63,0)/$I$1</f>
        <v>0.44328287250000004</v>
      </c>
      <c r="S63" s="997">
        <f t="shared" ref="S63:S70" ca="1" si="47">SUM(N63:R63)</f>
        <v>3.9327147150000012</v>
      </c>
      <c r="T63" s="996" cm="1">
        <f t="array" aca="1" ref="T63" ca="1">IFERROR(INDEX('Enveloppe du bâtiment hors terr'!N:N, $F62)*$K63/$M63,0)/$I$1</f>
        <v>18.795951542500003</v>
      </c>
    </row>
    <row r="64" spans="2:20" ht="15.75" hidden="1" customHeight="1" outlineLevel="1">
      <c r="B64" s="1536"/>
      <c r="C64" s="1539"/>
      <c r="D64" s="178"/>
      <c r="E64" s="178"/>
      <c r="F64" s="178">
        <f t="shared" ref="F64:F70" ca="1" si="48">IF(I64=0,2,F63+1)</f>
        <v>37</v>
      </c>
      <c r="G64" s="178" t="str" cm="1">
        <f t="array" aca="1" ref="G64" ca="1">INDEX( 'Enveloppe du bâtiment hors terr'!C:C, $F63)</f>
        <v>Vergrauungslasur [m2]</v>
      </c>
      <c r="H64" s="178" t="str" cm="1">
        <f t="array" aca="1" ref="H64" ca="1">INDEX( 'Enveloppe du bâtiment hors terr'!D:D, $F63)</f>
        <v>Enduit, diluable à l'eau, 2 couches</v>
      </c>
      <c r="I64" s="178" t="str" cm="1">
        <f t="array" aca="1" ref="I64" ca="1">INDEX( 'Enveloppe du bâtiment hors terr'!F:F, $F63)</f>
        <v>14.001</v>
      </c>
      <c r="J64" s="178" t="str">
        <f ca="1">_xlfn.XLOOKUP($I64,'Baumaterialien Matériaux'!A:A,'Baumaterialien Matériaux'!G:G,0,0)</f>
        <v>m2</v>
      </c>
      <c r="K64" s="286">
        <f t="shared" ref="K64:K70" ca="1" si="49">M64*$K$62</f>
        <v>827.64833333333331</v>
      </c>
      <c r="L64" s="178" cm="1">
        <f t="array" aca="1" ref="L64" ca="1">INDEX( 'Enveloppe du bâtiment hors terr'!I:I, $F63)</f>
        <v>40</v>
      </c>
      <c r="M64" s="178" cm="1">
        <f t="array" aca="1" ref="M64" ca="1">INDEX( 'Enveloppe du bâtiment hors terr'!G:G, $F63)</f>
        <v>1</v>
      </c>
      <c r="N64" s="999" cm="1">
        <f t="array" aca="1" ref="N64" ca="1">IFERROR(INDEX('Enveloppe du bâtiment hors terr'!L:L, $F63)*$K64/$M64,0)/$I$1</f>
        <v>0.55319499999999999</v>
      </c>
      <c r="O64" s="996">
        <f t="shared" ca="1" si="46"/>
        <v>0</v>
      </c>
      <c r="P64" s="996">
        <f t="shared" ca="1" si="46"/>
        <v>0</v>
      </c>
      <c r="Q64" s="275" cm="1">
        <f t="array" aca="1" ref="Q64" ca="1">_xlfn.SWITCH(L64,Q$3,N64+R64,O$3,O64,0)</f>
        <v>0.60139586666666667</v>
      </c>
      <c r="R64" s="999" cm="1">
        <f t="array" aca="1" ref="R64" ca="1">IFERROR(INDEX('Enveloppe du bâtiment hors terr'!M:M, $F63)*$K64/$M64,0)/$I$1</f>
        <v>4.8200866666666661E-2</v>
      </c>
      <c r="S64" s="997">
        <f t="shared" ca="1" si="47"/>
        <v>1.2027917333333333</v>
      </c>
      <c r="T64" s="996" cm="1">
        <f t="array" aca="1" ref="T64" ca="1">IFERROR(INDEX('Enveloppe du bâtiment hors terr'!N:N, $F63)*$K64/$M64,0)/$I$1</f>
        <v>0</v>
      </c>
    </row>
    <row r="65" spans="2:20" ht="15.75" hidden="1" customHeight="1" outlineLevel="1">
      <c r="B65" s="1536"/>
      <c r="C65" s="1539"/>
      <c r="D65" s="178"/>
      <c r="E65" s="178"/>
      <c r="F65" s="178">
        <f t="shared" ca="1" si="48"/>
        <v>38</v>
      </c>
      <c r="G65" s="178" t="str" cm="1">
        <f t="array" aca="1" ref="G65" ca="1">INDEX( 'Enveloppe du bâtiment hors terr'!C:C, $F64)</f>
        <v>Chromstahl 18/8 (Rogger Dübel), 3.5 Stk./m2 [kg]</v>
      </c>
      <c r="H65" s="178" t="str" cm="1">
        <f t="array" aca="1" ref="H65" ca="1">INDEX( 'Enveloppe du bâtiment hors terr'!D:D, $F64)</f>
        <v>Tôle d'acier nickel-chrome 18/8, nue</v>
      </c>
      <c r="I65" s="178" t="str" cm="1">
        <f t="array" aca="1" ref="I65" ca="1">INDEX( 'Enveloppe du bâtiment hors terr'!F:F, $F64)</f>
        <v>06.004</v>
      </c>
      <c r="J65" s="178" t="str">
        <f ca="1">_xlfn.XLOOKUP($I65,'Baumaterialien Matériaux'!A:A,'Baumaterialien Matériaux'!G:G,0,0)</f>
        <v>kg</v>
      </c>
      <c r="K65" s="286">
        <f t="shared" ca="1" si="49"/>
        <v>306.76785474999997</v>
      </c>
      <c r="L65" s="178" cm="1">
        <f t="array" aca="1" ref="L65" ca="1">INDEX( 'Enveloppe du bâtiment hors terr'!I:I, $F64)</f>
        <v>40</v>
      </c>
      <c r="M65" s="178" cm="1">
        <f t="array" aca="1" ref="M65" ca="1">INDEX( 'Enveloppe du bâtiment hors terr'!G:G, $F64)</f>
        <v>0.37064999999999998</v>
      </c>
      <c r="N65" s="999" cm="1">
        <f t="array" aca="1" ref="N65" ca="1">IFERROR(INDEX('Enveloppe du bâtiment hors terr'!L:L, $F64)*$K65/$M65,0)/$I$1</f>
        <v>1.3065449565</v>
      </c>
      <c r="O65" s="996">
        <f t="shared" ca="1" si="46"/>
        <v>0</v>
      </c>
      <c r="P65" s="996">
        <f t="shared" ca="1" si="46"/>
        <v>0</v>
      </c>
      <c r="Q65" s="275" cm="1">
        <f t="array" aca="1" ref="Q65" ca="1">_xlfn.SWITCH(L65,Q$3,N65+R65,O$3,O65,0)</f>
        <v>1.3087479629595</v>
      </c>
      <c r="R65" s="999" cm="1">
        <f t="array" aca="1" ref="R65" ca="1">IFERROR(INDEX('Enveloppe du bâtiment hors terr'!M:M, $F64)*$K65/$M65,0)/$I$1</f>
        <v>2.2030064595000001E-3</v>
      </c>
      <c r="S65" s="997">
        <f t="shared" ca="1" si="47"/>
        <v>2.6174959259189996</v>
      </c>
      <c r="T65" s="996" cm="1">
        <f t="array" aca="1" ref="T65" ca="1">IFERROR(INDEX('Enveloppe du bâtiment hors terr'!N:N, $F64)*$K65/$M65,0)/$I$1</f>
        <v>0</v>
      </c>
    </row>
    <row r="66" spans="2:20" ht="15.75" hidden="1" customHeight="1" outlineLevel="1">
      <c r="B66" s="1536"/>
      <c r="C66" s="1539"/>
      <c r="D66" s="178"/>
      <c r="E66" s="178"/>
      <c r="F66" s="178">
        <f t="shared" ca="1" si="48"/>
        <v>39</v>
      </c>
      <c r="G66" s="178" t="str" cm="1">
        <f t="array" aca="1" ref="G66" ca="1">INDEX( 'Enveloppe du bâtiment hors terr'!C:C, $F65)</f>
        <v>Polyamid glasfaserverstärkt (Rogger Dübel) [kg]</v>
      </c>
      <c r="H66" s="178" t="str" cm="1">
        <f t="array" aca="1" ref="H66" ca="1">INDEX( 'Enveloppe du bâtiment hors terr'!D:D, $F65)</f>
        <v xml:space="preserve">Polyamide (PA) renforcé par des fibres de verre </v>
      </c>
      <c r="I66" s="178" t="str" cm="1">
        <f t="array" aca="1" ref="I66" ca="1">INDEX( 'Enveloppe du bâtiment hors terr'!F:F, $F65)</f>
        <v>15.002</v>
      </c>
      <c r="J66" s="178" t="str">
        <f ca="1">_xlfn.XLOOKUP($I66,'Baumaterialien Matériaux'!A:A,'Baumaterialien Matériaux'!G:G,0,0)</f>
        <v>kg</v>
      </c>
      <c r="K66" s="286">
        <f t="shared" ca="1" si="49"/>
        <v>69.853519333333338</v>
      </c>
      <c r="L66" s="178" cm="1">
        <f t="array" aca="1" ref="L66" ca="1">INDEX( 'Enveloppe du bâtiment hors terr'!I:I, $F65)</f>
        <v>40</v>
      </c>
      <c r="M66" s="178" cm="1">
        <f t="array" aca="1" ref="M66" ca="1">INDEX( 'Enveloppe du bâtiment hors terr'!G:G, $F65)</f>
        <v>8.4400000000000003E-2</v>
      </c>
      <c r="N66" s="999" cm="1">
        <f t="array" aca="1" ref="N66" ca="1">IFERROR(INDEX('Enveloppe du bâtiment hors terr'!L:L, $F65)*$K66/$M66,0)/$I$1</f>
        <v>0.64352102266666678</v>
      </c>
      <c r="O66" s="996">
        <f t="shared" ca="1" si="46"/>
        <v>0</v>
      </c>
      <c r="P66" s="996">
        <f t="shared" ca="1" si="46"/>
        <v>0</v>
      </c>
      <c r="Q66" s="275" cm="1">
        <f t="array" aca="1" ref="Q66" ca="1">_xlfn.SWITCH(L66,Q$3,N66+R66,O$3,O66,0)</f>
        <v>0.83317513733333348</v>
      </c>
      <c r="R66" s="999" cm="1">
        <f t="array" aca="1" ref="R66" ca="1">IFERROR(INDEX('Enveloppe du bâtiment hors terr'!M:M, $F65)*$K66/$M66,0)/$I$1</f>
        <v>0.18965411466666671</v>
      </c>
      <c r="S66" s="997">
        <f t="shared" ca="1" si="47"/>
        <v>1.6663502746666672</v>
      </c>
      <c r="T66" s="996" cm="1">
        <f t="array" aca="1" ref="T66" ca="1">IFERROR(INDEX('Enveloppe du bâtiment hors terr'!N:N, $F65)*$K66/$M66,0)/$I$1</f>
        <v>0</v>
      </c>
    </row>
    <row r="67" spans="2:20" ht="15.75" hidden="1" customHeight="1" outlineLevel="1">
      <c r="B67" s="1536"/>
      <c r="C67" s="1539"/>
      <c r="D67" s="178"/>
      <c r="E67" s="178"/>
      <c r="F67" s="178">
        <f t="shared" ca="1" si="48"/>
        <v>40</v>
      </c>
      <c r="G67" s="178" t="str" cm="1">
        <f t="array" aca="1" ref="G67" ca="1">INDEX( 'Enveloppe du bâtiment hors terr'!C:C, $F66)</f>
        <v>Stahlprofile verzinkt [kg]</v>
      </c>
      <c r="H67" s="178" t="str" cm="1">
        <f t="array" aca="1" ref="H67" ca="1">INDEX( 'Enveloppe du bâtiment hors terr'!D:D, $F66)</f>
        <v>Tôle d'acier, zinguée</v>
      </c>
      <c r="I67" s="178" t="str" cm="1">
        <f t="array" aca="1" ref="I67" ca="1">INDEX( 'Enveloppe du bâtiment hors terr'!F:F, $F66)</f>
        <v>06.011</v>
      </c>
      <c r="J67" s="178" t="str">
        <f ca="1">_xlfn.XLOOKUP($I67,'Baumaterialien Matériaux'!A:A,'Baumaterialien Matériaux'!G:G,0,0)</f>
        <v>kg</v>
      </c>
      <c r="K67" s="286">
        <f t="shared" ca="1" si="49"/>
        <v>446.93010000000004</v>
      </c>
      <c r="L67" s="178" cm="1">
        <f t="array" aca="1" ref="L67" ca="1">INDEX( 'Enveloppe du bâtiment hors terr'!I:I, $F66)</f>
        <v>40</v>
      </c>
      <c r="M67" s="178" cm="1">
        <f t="array" aca="1" ref="M67" ca="1">INDEX( 'Enveloppe du bâtiment hors terr'!G:G, $F66)</f>
        <v>0.54</v>
      </c>
      <c r="N67" s="999" cm="1">
        <f t="array" aca="1" ref="N67" ca="1">IFERROR(INDEX('Enveloppe du bâtiment hors terr'!L:L, $F66)*$K67/$M67,0)/$I$1</f>
        <v>2.0748672000000004</v>
      </c>
      <c r="O67" s="996">
        <f t="shared" ca="1" si="46"/>
        <v>0</v>
      </c>
      <c r="P67" s="996">
        <f t="shared" ca="1" si="46"/>
        <v>0</v>
      </c>
      <c r="Q67" s="275" cm="1">
        <f t="array" aca="1" ref="Q67" ca="1">_xlfn.SWITCH(L67,Q$3,N67+R67,O$3,O67,0)</f>
        <v>2.0780767602000005</v>
      </c>
      <c r="R67" s="999" cm="1">
        <f t="array" aca="1" ref="R67" ca="1">IFERROR(INDEX('Enveloppe du bâtiment hors terr'!M:M, $F66)*$K67/$M67,0)/$I$1</f>
        <v>3.2095602000000007E-3</v>
      </c>
      <c r="S67" s="997">
        <f t="shared" ca="1" si="47"/>
        <v>4.1561535204000011</v>
      </c>
      <c r="T67" s="996" cm="1">
        <f t="array" aca="1" ref="T67" ca="1">IFERROR(INDEX('Enveloppe du bâtiment hors terr'!N:N, $F66)*$K67/$M67,0)/$I$1</f>
        <v>0</v>
      </c>
    </row>
    <row r="68" spans="2:20" ht="15.75" hidden="1" customHeight="1" outlineLevel="1">
      <c r="B68" s="1536"/>
      <c r="C68" s="1539"/>
      <c r="D68" s="178"/>
      <c r="E68" s="178"/>
      <c r="F68" s="178">
        <f t="shared" ca="1" si="48"/>
        <v>41</v>
      </c>
      <c r="G68" s="178" t="str" cm="1">
        <f t="array" aca="1" ref="G68" ca="1">INDEX( 'Enveloppe du bâtiment hors terr'!C:C, $F67)</f>
        <v>Dämmstoffdübel (3 Stk. à 40 g pro m2) [kg]</v>
      </c>
      <c r="H68" s="178" t="str" cm="1">
        <f t="array" aca="1" ref="H68" ca="1">INDEX( 'Enveloppe du bâtiment hors terr'!D:D, $F67)</f>
        <v xml:space="preserve">Polyamide (PA) renforcé par des fibres de verre </v>
      </c>
      <c r="I68" s="178" t="str" cm="1">
        <f t="array" aca="1" ref="I68" ca="1">INDEX( 'Enveloppe du bâtiment hors terr'!F:F, $F67)</f>
        <v>15.002</v>
      </c>
      <c r="J68" s="178" t="str">
        <f ca="1">_xlfn.XLOOKUP($I68,'Baumaterialien Matériaux'!A:A,'Baumaterialien Matériaux'!G:G,0,0)</f>
        <v>kg</v>
      </c>
      <c r="K68" s="286">
        <f t="shared" ca="1" si="49"/>
        <v>99.317799999999991</v>
      </c>
      <c r="L68" s="178" cm="1">
        <f t="array" aca="1" ref="L68" ca="1">INDEX( 'Enveloppe du bâtiment hors terr'!I:I, $F67)</f>
        <v>40</v>
      </c>
      <c r="M68" s="178" cm="1">
        <f t="array" aca="1" ref="M68" ca="1">INDEX( 'Enveloppe du bâtiment hors terr'!G:G, $F67)</f>
        <v>0.12</v>
      </c>
      <c r="N68" s="999" cm="1">
        <f t="array" aca="1" ref="N68" ca="1">IFERROR(INDEX('Enveloppe du bâtiment hors terr'!L:L, $F67)*$K68/$M68,0)/$I$1</f>
        <v>0.91495880000000007</v>
      </c>
      <c r="O68" s="996">
        <f t="shared" ca="1" si="46"/>
        <v>0</v>
      </c>
      <c r="P68" s="996">
        <f t="shared" ca="1" si="46"/>
        <v>0</v>
      </c>
      <c r="Q68" s="275" cm="1">
        <f t="array" aca="1" ref="Q68" ca="1">_xlfn.SWITCH(L68,Q$3,N68+R68,O$3,O68,0)</f>
        <v>1.1846092000000001</v>
      </c>
      <c r="R68" s="999" cm="1">
        <f t="array" aca="1" ref="R68" ca="1">IFERROR(INDEX('Enveloppe du bâtiment hors terr'!M:M, $F67)*$K68/$M68,0)/$I$1</f>
        <v>0.26965039999999996</v>
      </c>
      <c r="S68" s="997">
        <f t="shared" ca="1" si="47"/>
        <v>2.3692184000000003</v>
      </c>
      <c r="T68" s="996" cm="1">
        <f t="array" aca="1" ref="T68" ca="1">IFERROR(INDEX('Enveloppe du bâtiment hors terr'!N:N, $F67)*$K68/$M68,0)/$I$1</f>
        <v>0</v>
      </c>
    </row>
    <row r="69" spans="2:20" ht="15.75" hidden="1" customHeight="1" outlineLevel="1">
      <c r="B69" s="1536"/>
      <c r="C69" s="1539"/>
      <c r="D69" s="178"/>
      <c r="E69" s="178"/>
      <c r="F69" s="178">
        <f t="shared" ca="1" si="48"/>
        <v>42</v>
      </c>
      <c r="G69" s="178" t="str" cm="1">
        <f t="array" aca="1" ref="G69" ca="1">INDEX( 'Enveloppe du bâtiment hors terr'!C:C, $F68)</f>
        <v>Winpapier (PE Spinnvlies) [kg]</v>
      </c>
      <c r="H69" s="178" t="str" cm="1">
        <f t="array" aca="1" ref="H69" ca="1">INDEX( 'Enveloppe du bâtiment hors terr'!D:D, $F68)</f>
        <v>Voile de polyéthylène (PE)</v>
      </c>
      <c r="I69" s="178" t="str" cm="1">
        <f t="array" aca="1" ref="I69" ca="1">INDEX( 'Enveloppe du bâtiment hors terr'!F:F, $F68)</f>
        <v>09.008</v>
      </c>
      <c r="J69" s="178" t="str">
        <f ca="1">_xlfn.XLOOKUP($I69,'Baumaterialien Matériaux'!A:A,'Baumaterialien Matériaux'!G:G,0,0)</f>
        <v>kg</v>
      </c>
      <c r="K69" s="286">
        <f t="shared" ca="1" si="49"/>
        <v>182.08263333333332</v>
      </c>
      <c r="L69" s="178" cm="1">
        <f t="array" aca="1" ref="L69" ca="1">INDEX( 'Enveloppe du bâtiment hors terr'!I:I, $F68)</f>
        <v>40</v>
      </c>
      <c r="M69" s="178" cm="1">
        <f t="array" aca="1" ref="M69" ca="1">INDEX( 'Enveloppe du bâtiment hors terr'!G:G, $F68)</f>
        <v>0.22</v>
      </c>
      <c r="N69" s="999" cm="1">
        <f t="array" aca="1" ref="N69" ca="1">IFERROR(INDEX('Enveloppe du bâtiment hors terr'!L:L, $F68)*$K69/$M69,0)/$I$1</f>
        <v>0.55851253333333339</v>
      </c>
      <c r="O69" s="996">
        <f t="shared" ca="1" si="46"/>
        <v>0</v>
      </c>
      <c r="P69" s="996">
        <f t="shared" ca="1" si="46"/>
        <v>0</v>
      </c>
      <c r="Q69" s="275" cm="1">
        <f t="array" aca="1" ref="Q69" ca="1">_xlfn.SWITCH(L69,Q$3,N69+R69,O$3,O69,0)</f>
        <v>1.0623059333333333</v>
      </c>
      <c r="R69" s="999" cm="1">
        <f t="array" aca="1" ref="R69" ca="1">IFERROR(INDEX('Enveloppe du bâtiment hors terr'!M:M, $F68)*$K69/$M69,0)/$I$1</f>
        <v>0.50379339999999995</v>
      </c>
      <c r="S69" s="997">
        <f t="shared" ca="1" si="47"/>
        <v>2.1246118666666667</v>
      </c>
      <c r="T69" s="996" cm="1">
        <f t="array" aca="1" ref="T69" ca="1">IFERROR(INDEX('Enveloppe du bâtiment hors terr'!N:N, $F68)*$K69/$M69,0)/$I$1</f>
        <v>0</v>
      </c>
    </row>
    <row r="70" spans="2:20" ht="15.75" hidden="1" customHeight="1" outlineLevel="1">
      <c r="B70" s="1536"/>
      <c r="C70" s="1540"/>
      <c r="D70" s="178"/>
      <c r="E70" s="178"/>
      <c r="F70" s="178">
        <f t="shared" ca="1" si="48"/>
        <v>2</v>
      </c>
      <c r="G70" s="178" cm="1">
        <f t="array" aca="1" ref="G70" ca="1">INDEX( 'Enveloppe du bâtiment hors terr'!C:C, $F69)</f>
        <v>0</v>
      </c>
      <c r="H70" s="178" cm="1">
        <f t="array" aca="1" ref="H70" ca="1">INDEX( 'Enveloppe du bâtiment hors terr'!D:D, $F69)</f>
        <v>0</v>
      </c>
      <c r="I70" s="178" cm="1">
        <f t="array" aca="1" ref="I70" ca="1">INDEX( 'Enveloppe du bâtiment hors terr'!F:F, $F69)</f>
        <v>0</v>
      </c>
      <c r="J70" s="178">
        <f ca="1">_xlfn.XLOOKUP($I70,'Baumaterialien Matériaux'!A:A,'Baumaterialien Matériaux'!G:G,0,0)</f>
        <v>0</v>
      </c>
      <c r="K70" s="286">
        <f t="shared" ca="1" si="49"/>
        <v>0</v>
      </c>
      <c r="L70" s="178" cm="1">
        <f t="array" aca="1" ref="L70" ca="1">INDEX( 'Enveloppe du bâtiment hors terr'!I:I, $F69)</f>
        <v>40</v>
      </c>
      <c r="M70" s="178" cm="1">
        <f t="array" aca="1" ref="M70" ca="1">INDEX( 'Enveloppe du bâtiment hors terr'!G:G, $F69)</f>
        <v>0</v>
      </c>
      <c r="N70" s="999" cm="1">
        <f t="array" aca="1" ref="N70" ca="1">IFERROR(INDEX('Enveloppe du bâtiment hors terr'!L:L, $F69)*$K70/$M70,0)/$I$1</f>
        <v>0</v>
      </c>
      <c r="O70" s="996">
        <f t="shared" ca="1" si="46"/>
        <v>0</v>
      </c>
      <c r="P70" s="996">
        <f t="shared" ca="1" si="46"/>
        <v>0</v>
      </c>
      <c r="Q70" s="275" cm="1">
        <f t="array" aca="1" ref="Q70" ca="1">_xlfn.SWITCH(L70,Q$3,N70+R70,O$3,O70,0)</f>
        <v>0</v>
      </c>
      <c r="R70" s="999" cm="1">
        <f t="array" aca="1" ref="R70" ca="1">IFERROR(INDEX('Enveloppe du bâtiment hors terr'!M:M, $F69)*$K70/$M70,0)/$I$1</f>
        <v>0</v>
      </c>
      <c r="S70" s="997">
        <f t="shared" ca="1" si="47"/>
        <v>0</v>
      </c>
      <c r="T70" s="996" cm="1">
        <f t="array" aca="1" ref="T70" ca="1">IFERROR(INDEX('Enveloppe du bâtiment hors terr'!N:N, $F69)*$K70/$M70,0)/$I$1</f>
        <v>0</v>
      </c>
    </row>
    <row r="71" spans="2:20" ht="15.75" hidden="1" customHeight="1" outlineLevel="1">
      <c r="B71" s="1536"/>
      <c r="C71" s="1175"/>
      <c r="D71" s="178" t="str">
        <f>'Outil détaillé'!D21</f>
        <v>Façade isolant</v>
      </c>
      <c r="E71" s="179" t="str">
        <f>'Outil détaillé'!E21</f>
        <v>Laine de roche</v>
      </c>
      <c r="F71" s="179">
        <f ca="1">MATCH(E71, INDIRECT("'Enveloppe du bâtiment hors terr'!A"&amp;F61+1&amp;":A500"),0)+F61</f>
        <v>85</v>
      </c>
      <c r="G71" s="179"/>
      <c r="H71" s="179"/>
      <c r="I71" s="179"/>
      <c r="J71" s="179" t="s">
        <v>97</v>
      </c>
      <c r="K71" s="294">
        <f>'Outil détaillé'!J21</f>
        <v>827.64833333333331</v>
      </c>
      <c r="L71" s="295"/>
      <c r="M71" s="295"/>
      <c r="N71" s="994">
        <f ca="1">SUM(N72:N74)</f>
        <v>10.234364799999998</v>
      </c>
      <c r="O71" s="994">
        <f t="shared" ref="O71:T71" ca="1" si="50">SUM(O72:O74)</f>
        <v>0</v>
      </c>
      <c r="P71" s="994">
        <f t="shared" ca="1" si="50"/>
        <v>0</v>
      </c>
      <c r="Q71" s="994">
        <f t="shared" ca="1" si="50"/>
        <v>10.770536831999998</v>
      </c>
      <c r="R71" s="994">
        <f t="shared" ca="1" si="50"/>
        <v>0.53617203199999997</v>
      </c>
      <c r="S71" s="994">
        <f t="shared" ca="1" si="50"/>
        <v>21.541073663999995</v>
      </c>
      <c r="T71" s="994">
        <f t="shared" ca="1" si="50"/>
        <v>0</v>
      </c>
    </row>
    <row r="72" spans="2:20" ht="15.75" hidden="1" customHeight="1" outlineLevel="1">
      <c r="B72" s="1536"/>
      <c r="C72" s="1175"/>
      <c r="D72" s="178"/>
      <c r="E72" s="178"/>
      <c r="F72" s="178">
        <f ca="1">IF(I72=0,2,F71+1)</f>
        <v>86</v>
      </c>
      <c r="G72" s="178" t="str" cm="1">
        <f t="array" aca="1" ref="G72" ca="1">INDEX( 'Enveloppe du bâtiment hors terr'!C:C, $F71)</f>
        <v>220 mm Steinwolle (48 kg/m3, 0.034 W/mK) [kg]</v>
      </c>
      <c r="H72" s="178" t="str" cm="1">
        <f t="array" aca="1" ref="H72" ca="1">INDEX( 'Enveloppe du bâtiment hors terr'!D:D, $F71)</f>
        <v>Laine de roche</v>
      </c>
      <c r="I72" s="178" t="str" cm="1">
        <f t="array" aca="1" ref="I72" ca="1">INDEX( 'Enveloppe du bâtiment hors terr'!F:F, $F71)</f>
        <v>10.008</v>
      </c>
      <c r="J72" s="178" t="str">
        <f ca="1">_xlfn.XLOOKUP($I72,'Baumaterialien Matériaux'!A:A,'Baumaterialien Matériaux'!G:G,0,0)</f>
        <v>kg</v>
      </c>
      <c r="K72" s="286">
        <f ca="1">M72*$K$71</f>
        <v>8739.9663999999993</v>
      </c>
      <c r="L72" s="178">
        <f ca="1">L63</f>
        <v>40</v>
      </c>
      <c r="M72" s="178" cm="1">
        <f t="array" aca="1" ref="M72" ca="1">INDEX( 'Enveloppe du bâtiment hors terr'!G:G, $F71)</f>
        <v>10.56</v>
      </c>
      <c r="N72" s="999" cm="1">
        <f t="array" aca="1" ref="N72" ca="1">IFERROR(INDEX('Enveloppe du bâtiment hors terr'!L:L, $F71)*$K72/$M72,0)/$I$1</f>
        <v>10.234364799999998</v>
      </c>
      <c r="O72" s="996">
        <f t="shared" ca="1" si="46"/>
        <v>0</v>
      </c>
      <c r="P72" s="996">
        <f t="shared" ca="1" si="46"/>
        <v>0</v>
      </c>
      <c r="Q72" s="275" cm="1">
        <f t="array" aca="1" ref="Q72" ca="1">_xlfn.SWITCH(L72,Q$3,N72+R72,O$3,O72,0)</f>
        <v>10.770536831999998</v>
      </c>
      <c r="R72" s="999" cm="1">
        <f t="array" aca="1" ref="R72" ca="1">IFERROR(INDEX('Enveloppe du bâtiment hors terr'!M:M, $F71)*$K72/$M72,0)/$I$1</f>
        <v>0.53617203199999997</v>
      </c>
      <c r="S72" s="997">
        <f t="shared" ref="S72:S74" ca="1" si="51">SUM(N72:R72)</f>
        <v>21.541073663999995</v>
      </c>
      <c r="T72" s="996" cm="1">
        <f t="array" aca="1" ref="T72" ca="1">IFERROR(INDEX('Enveloppe du bâtiment hors terr'!N:N, $F71)*$K72/$M72,0)/$I$1</f>
        <v>0</v>
      </c>
    </row>
    <row r="73" spans="2:20" ht="15.75" hidden="1" customHeight="1" outlineLevel="1">
      <c r="B73" s="1536"/>
      <c r="C73" s="1175"/>
      <c r="D73" s="178"/>
      <c r="E73" s="178"/>
      <c r="F73" s="178">
        <f t="shared" ref="F73:F74" ca="1" si="52">IF(I73=0,2,F72+1)</f>
        <v>2</v>
      </c>
      <c r="G73" s="178" cm="1">
        <f t="array" aca="1" ref="G73" ca="1">INDEX( 'Enveloppe du bâtiment hors terr'!C:C, $F72)</f>
        <v>0</v>
      </c>
      <c r="H73" s="178" cm="1">
        <f t="array" aca="1" ref="H73" ca="1">INDEX( 'Enveloppe du bâtiment hors terr'!D:D, $F72)</f>
        <v>0</v>
      </c>
      <c r="I73" s="178" cm="1">
        <f t="array" aca="1" ref="I73" ca="1">INDEX( 'Enveloppe du bâtiment hors terr'!F:F, $F72)</f>
        <v>0</v>
      </c>
      <c r="J73" s="178">
        <f ca="1">_xlfn.XLOOKUP($I73,'Baumaterialien Matériaux'!A:A,'Baumaterialien Matériaux'!G:G,0,0)</f>
        <v>0</v>
      </c>
      <c r="K73" s="286">
        <f t="shared" ref="K73:K74" ca="1" si="53">M73*$K$62</f>
        <v>0</v>
      </c>
      <c r="L73" s="178">
        <f ca="1">L64</f>
        <v>40</v>
      </c>
      <c r="M73" s="178" cm="1">
        <f t="array" aca="1" ref="M73" ca="1">INDEX( 'Enveloppe du bâtiment hors terr'!G:G, $F72)</f>
        <v>0</v>
      </c>
      <c r="N73" s="999" cm="1">
        <f t="array" aca="1" ref="N73" ca="1">IFERROR(INDEX('Enveloppe du bâtiment hors terr'!L:L, $F72)*$K73/$M73,0)/$I$1</f>
        <v>0</v>
      </c>
      <c r="O73" s="996">
        <f t="shared" ca="1" si="46"/>
        <v>0</v>
      </c>
      <c r="P73" s="996">
        <f t="shared" ca="1" si="46"/>
        <v>0</v>
      </c>
      <c r="Q73" s="275" cm="1">
        <f t="array" aca="1" ref="Q73" ca="1">_xlfn.SWITCH(L73,Q$3,N73+R73,O$3,O73,0)</f>
        <v>0</v>
      </c>
      <c r="R73" s="999" cm="1">
        <f t="array" aca="1" ref="R73" ca="1">IFERROR(INDEX('Enveloppe du bâtiment hors terr'!M:M, $F72)*$K73/$M73,0)/$I$1</f>
        <v>0</v>
      </c>
      <c r="S73" s="997">
        <f t="shared" ca="1" si="51"/>
        <v>0</v>
      </c>
      <c r="T73" s="996" cm="1">
        <f t="array" aca="1" ref="T73" ca="1">IFERROR(INDEX('Enveloppe du bâtiment hors terr'!N:N, $F72)*$K73/$M73,0)/$I$1</f>
        <v>0</v>
      </c>
    </row>
    <row r="74" spans="2:20" ht="15.75" hidden="1" customHeight="1" outlineLevel="1">
      <c r="B74" s="1536"/>
      <c r="C74" s="1175"/>
      <c r="D74" s="178"/>
      <c r="E74" s="178"/>
      <c r="F74" s="178">
        <f t="shared" ca="1" si="52"/>
        <v>2</v>
      </c>
      <c r="G74" s="178" cm="1">
        <f t="array" aca="1" ref="G74" ca="1">INDEX( 'Enveloppe du bâtiment hors terr'!C:C, $F73)</f>
        <v>0</v>
      </c>
      <c r="H74" s="178" cm="1">
        <f t="array" aca="1" ref="H74" ca="1">INDEX( 'Enveloppe du bâtiment hors terr'!D:D, $F73)</f>
        <v>0</v>
      </c>
      <c r="I74" s="178" cm="1">
        <f t="array" aca="1" ref="I74" ca="1">INDEX( 'Enveloppe du bâtiment hors terr'!F:F, $F73)</f>
        <v>0</v>
      </c>
      <c r="J74" s="178">
        <f ca="1">_xlfn.XLOOKUP($I74,'Baumaterialien Matériaux'!A:A,'Baumaterialien Matériaux'!G:G,0,0)</f>
        <v>0</v>
      </c>
      <c r="K74" s="286">
        <f t="shared" ca="1" si="53"/>
        <v>0</v>
      </c>
      <c r="L74" s="178">
        <f ca="1">L63</f>
        <v>40</v>
      </c>
      <c r="M74" s="178" cm="1">
        <f t="array" aca="1" ref="M74" ca="1">INDEX( 'Enveloppe du bâtiment hors terr'!G:G, $F73)</f>
        <v>0</v>
      </c>
      <c r="N74" s="999" cm="1">
        <f t="array" aca="1" ref="N74" ca="1">IFERROR(INDEX('Enveloppe du bâtiment hors terr'!L:L, $F73)*$K74/$M74,0)/$I$1</f>
        <v>0</v>
      </c>
      <c r="O74" s="996">
        <f t="shared" ca="1" si="46"/>
        <v>0</v>
      </c>
      <c r="P74" s="996">
        <f t="shared" ca="1" si="46"/>
        <v>0</v>
      </c>
      <c r="Q74" s="275" cm="1">
        <f t="array" aca="1" ref="Q74" ca="1">_xlfn.SWITCH(L74,Q$3,N74+R74,O$3,O74,0)</f>
        <v>0</v>
      </c>
      <c r="R74" s="999" cm="1">
        <f t="array" aca="1" ref="R74" ca="1">IFERROR(INDEX('Enveloppe du bâtiment hors terr'!M:M, $F73)*$K74/$M74,0)/$I$1</f>
        <v>0</v>
      </c>
      <c r="S74" s="997">
        <f t="shared" ca="1" si="51"/>
        <v>0</v>
      </c>
      <c r="T74" s="996" cm="1">
        <f t="array" aca="1" ref="T74" ca="1">IFERROR(INDEX('Enveloppe du bâtiment hors terr'!N:N, $F73)*$K74/$M74,0)/$I$1</f>
        <v>0</v>
      </c>
    </row>
    <row r="75" spans="2:20" ht="15.75" customHeight="1" collapsed="1">
      <c r="B75" s="1536"/>
      <c r="C75" s="1538" t="str">
        <f>'Outil détaillé'!C22</f>
        <v>E03 / F02</v>
      </c>
      <c r="D75" s="177" t="str">
        <f>'Outil détaillé'!D22</f>
        <v>Fenetres et portes</v>
      </c>
      <c r="E75" s="177"/>
      <c r="F75" s="177">
        <f>MATCH(D75, 'Enveloppe du bâtiment hors terr'!B:B,0)</f>
        <v>91</v>
      </c>
      <c r="G75" s="177"/>
      <c r="H75" s="177"/>
      <c r="I75" s="177"/>
      <c r="J75" s="177"/>
      <c r="K75" s="289"/>
      <c r="L75" s="288"/>
      <c r="M75" s="288"/>
      <c r="N75" s="993">
        <f t="shared" ref="N75" ca="1" si="54">N76+N81</f>
        <v>24.545551326424871</v>
      </c>
      <c r="O75" s="993">
        <f t="shared" ref="O75:T75" ca="1" si="55">O76+O81</f>
        <v>0</v>
      </c>
      <c r="P75" s="993">
        <f t="shared" ca="1" si="55"/>
        <v>26.651679246977547</v>
      </c>
      <c r="Q75" s="993">
        <f t="shared" ca="1" si="55"/>
        <v>0</v>
      </c>
      <c r="R75" s="993">
        <f t="shared" ca="1" si="55"/>
        <v>2.1061279205526775</v>
      </c>
      <c r="S75" s="993">
        <f t="shared" ca="1" si="55"/>
        <v>53.303358493955095</v>
      </c>
      <c r="T75" s="1053">
        <f t="shared" ca="1" si="55"/>
        <v>4.8308333333333335</v>
      </c>
    </row>
    <row r="76" spans="2:20" ht="15.75">
      <c r="B76" s="1536"/>
      <c r="C76" s="1539"/>
      <c r="D76" s="178" t="str">
        <f>'Outil détaillé'!D23</f>
        <v>Fenêtres</v>
      </c>
      <c r="E76" s="179" t="str">
        <f>'Outil détaillé'!E23</f>
        <v>Triple vitrage isolant, cadre bois y c. protection solaire</v>
      </c>
      <c r="F76" s="179">
        <f ca="1">MATCH(E76, INDIRECT("'Enveloppe du bâtiment hors terr'!A"&amp;F75+1&amp;":A500"),0)+F75</f>
        <v>104</v>
      </c>
      <c r="G76" s="179"/>
      <c r="H76" s="179"/>
      <c r="I76" s="179"/>
      <c r="J76" s="179" t="s">
        <v>97</v>
      </c>
      <c r="K76" s="294">
        <f>'Outil détaillé'!J23</f>
        <v>169.51833333333335</v>
      </c>
      <c r="L76" s="295"/>
      <c r="M76" s="295"/>
      <c r="N76" s="994">
        <f t="shared" ref="N76" ca="1" si="56">SUM(N77:N80)</f>
        <v>24.108142000000001</v>
      </c>
      <c r="O76" s="994">
        <f t="shared" ref="O76:T76" ca="1" si="57">SUM(O77:O80)</f>
        <v>0</v>
      </c>
      <c r="P76" s="994">
        <f t="shared" ca="1" si="57"/>
        <v>26.182062666666667</v>
      </c>
      <c r="Q76" s="994">
        <f t="shared" ca="1" si="57"/>
        <v>0</v>
      </c>
      <c r="R76" s="994">
        <f t="shared" ca="1" si="57"/>
        <v>2.073920666666667</v>
      </c>
      <c r="S76" s="994">
        <f t="shared" ca="1" si="57"/>
        <v>52.364125333333334</v>
      </c>
      <c r="T76" s="1054">
        <f t="shared" ca="1" si="57"/>
        <v>4.8308333333333335</v>
      </c>
    </row>
    <row r="77" spans="2:20" ht="15.75" hidden="1" customHeight="1" outlineLevel="1">
      <c r="B77" s="1536"/>
      <c r="C77" s="1539"/>
      <c r="D77" s="178"/>
      <c r="E77" s="178"/>
      <c r="F77" s="178">
        <f ca="1">IF(I77=0,2,F76+1)</f>
        <v>105</v>
      </c>
      <c r="G77" s="178" t="str" cm="1">
        <f t="array" aca="1" ref="G77" ca="1">INDEX( 'Enveloppe du bâtiment hors terr'!C:C, $F76)</f>
        <v>Holz-Metallfenster [m2 i.L.]</v>
      </c>
      <c r="H77" s="178" t="str" cm="1">
        <f t="array" aca="1" ref="H77" ca="1">INDEX( 'Enveloppe du bâtiment hors terr'!D:D, $F76)</f>
        <v>Cadre de fenêtre en bois</v>
      </c>
      <c r="I77" s="178" t="str" cm="1">
        <f t="array" aca="1" ref="I77" ca="1">INDEX( 'Enveloppe du bâtiment hors terr'!F:F, $F76)</f>
        <v>05.005</v>
      </c>
      <c r="J77" s="178" t="str">
        <f ca="1">_xlfn.XLOOKUP($I77,'Baumaterialien Matériaux'!A:A,'Baumaterialien Matériaux'!G:G,0,0)</f>
        <v>m2</v>
      </c>
      <c r="K77" s="286">
        <f ca="1">M77*$K$76</f>
        <v>169.51833333333335</v>
      </c>
      <c r="L77" s="178" cm="1">
        <f t="array" aca="1" ref="L77" ca="1">INDEX( 'Enveloppe du bâtiment hors terr'!I:I, $F76)</f>
        <v>30</v>
      </c>
      <c r="M77" s="178" cm="1">
        <f t="array" aca="1" ref="M77" ca="1">INDEX( 'Enveloppe du bâtiment hors terr'!G:G, $F76)</f>
        <v>1</v>
      </c>
      <c r="N77" s="999" cm="1">
        <f t="array" aca="1" ref="N77" ca="1">IFERROR(INDEX('Enveloppe du bâtiment hors terr'!L:L, $F76)*$K77/$M77,0)/$I$1</f>
        <v>5.3227000000000011</v>
      </c>
      <c r="O77" s="996">
        <f t="shared" ref="O77:P80" ca="1" si="58">IF($L77=O$3,$N77+$R77,0)</f>
        <v>0</v>
      </c>
      <c r="P77" s="996">
        <f t="shared" ca="1" si="58"/>
        <v>6.357376666666668</v>
      </c>
      <c r="Q77" s="275" cm="1">
        <f t="array" aca="1" ref="Q77" ca="1">_xlfn.SWITCH(L77,Q$3,N77+R77,O$3,O77,0)</f>
        <v>0</v>
      </c>
      <c r="R77" s="999" cm="1">
        <f t="array" aca="1" ref="R77" ca="1">IFERROR(INDEX('Enveloppe du bâtiment hors terr'!M:M, $F76)*$K77/$M77,0)/$I$1</f>
        <v>1.0346766666666667</v>
      </c>
      <c r="S77" s="997">
        <f ca="1">SUM(N77:R77)</f>
        <v>12.714753333333334</v>
      </c>
      <c r="T77" s="996" cm="1">
        <f t="array" aca="1" ref="T77" ca="1">IFERROR(INDEX('Enveloppe du bâtiment hors terr'!N:N, $F76)*$K77/$M77,0)/$I$1</f>
        <v>4.8308333333333335</v>
      </c>
    </row>
    <row r="78" spans="2:20" ht="15.75" hidden="1" customHeight="1" outlineLevel="1">
      <c r="B78" s="1536"/>
      <c r="C78" s="1539"/>
      <c r="D78" s="178"/>
      <c r="E78" s="178"/>
      <c r="F78" s="178">
        <f t="shared" ref="F78:F79" ca="1" si="59">IF(I78=0,2,F77+1)</f>
        <v>106</v>
      </c>
      <c r="G78" s="178" t="str" cm="1">
        <f t="array" aca="1" ref="G78" ca="1">INDEX( 'Enveloppe du bâtiment hors terr'!C:C, $F77)</f>
        <v>Isolierverglasung 3-fach, Ug-Wert 0.6 W/m2K, Dicke 40 mm [m2]</v>
      </c>
      <c r="H78" s="178" t="str" cm="1">
        <f t="array" aca="1" ref="H78" ca="1">INDEX( 'Enveloppe du bâtiment hors terr'!D:D, $F77)</f>
        <v>Triple vitrage, U&lt;0.6 W/m2K, épaisseur 40 mm 3</v>
      </c>
      <c r="I78" s="178" t="str" cm="1">
        <f t="array" aca="1" ref="I78" ca="1">INDEX( 'Enveloppe du bâtiment hors terr'!F:F, $F77)</f>
        <v>05.012</v>
      </c>
      <c r="J78" s="178" t="str">
        <f ca="1">_xlfn.XLOOKUP($I78,'Baumaterialien Matériaux'!A:A,'Baumaterialien Matériaux'!G:G,0,0)</f>
        <v>m2</v>
      </c>
      <c r="K78" s="286">
        <f t="shared" ref="K78:K80" ca="1" si="60">M78*$K$76</f>
        <v>132.2243</v>
      </c>
      <c r="L78" s="178" cm="1">
        <f t="array" aca="1" ref="L78" ca="1">INDEX( 'Enveloppe du bâtiment hors terr'!I:I, $F77)</f>
        <v>30</v>
      </c>
      <c r="M78" s="178" cm="1">
        <f t="array" aca="1" ref="M78" ca="1">INDEX( 'Enveloppe du bâtiment hors terr'!G:G, $F77)</f>
        <v>0.78</v>
      </c>
      <c r="N78" s="999" cm="1">
        <f t="array" aca="1" ref="N78" ca="1">IFERROR(INDEX('Enveloppe du bâtiment hors terr'!L:L, $F77)*$K78/$M78,0)/$I$1</f>
        <v>8.5089419999999993</v>
      </c>
      <c r="O78" s="996">
        <f t="shared" ca="1" si="58"/>
        <v>0</v>
      </c>
      <c r="P78" s="996">
        <f t="shared" ca="1" si="58"/>
        <v>9.2899560000000001</v>
      </c>
      <c r="Q78" s="275" cm="1">
        <f t="array" aca="1" ref="Q78" ca="1">_xlfn.SWITCH(L78,Q$3,N78+R78,O$3,O78,0)</f>
        <v>0</v>
      </c>
      <c r="R78" s="999" cm="1">
        <f t="array" aca="1" ref="R78" ca="1">IFERROR(INDEX('Enveloppe du bâtiment hors terr'!M:M, $F77)*$K78/$M78,0)/$I$1</f>
        <v>0.7810140000000001</v>
      </c>
      <c r="S78" s="997">
        <f ca="1">SUM(N78:R78)</f>
        <v>18.579912</v>
      </c>
      <c r="T78" s="996" cm="1">
        <f t="array" aca="1" ref="T78" ca="1">IFERROR(INDEX('Enveloppe du bâtiment hors terr'!N:N, $F77)*$K78/$M78,0)/$I$1</f>
        <v>0</v>
      </c>
    </row>
    <row r="79" spans="2:20" ht="15.75" hidden="1" customHeight="1" outlineLevel="1">
      <c r="B79" s="1536"/>
      <c r="C79" s="1539"/>
      <c r="D79" s="178"/>
      <c r="E79" s="178"/>
      <c r="F79" s="178">
        <f t="shared" ca="1" si="59"/>
        <v>107</v>
      </c>
      <c r="G79" s="178" t="str" cm="1">
        <f t="array" aca="1" ref="G79" ca="1">INDEX( 'Enveloppe du bâtiment hors terr'!C:C, $F78)</f>
        <v>Lamellenstoren [m2]</v>
      </c>
      <c r="H79" s="178" t="str" cm="1">
        <f t="array" aca="1" ref="H79" ca="1">INDEX( 'Enveloppe du bâtiment hors terr'!D:D, $F78)</f>
        <v>Protection solaire, stores vénitiens avec moteur 4</v>
      </c>
      <c r="I79" s="178" t="str" cm="1">
        <f t="array" aca="1" ref="I79" ca="1">INDEX( 'Enveloppe du bâtiment hors terr'!F:F, $F78)</f>
        <v>05.017</v>
      </c>
      <c r="J79" s="178" t="str">
        <f ca="1">_xlfn.XLOOKUP($I79,'Baumaterialien Matériaux'!A:A,'Baumaterialien Matériaux'!G:G,0,0)</f>
        <v>m2</v>
      </c>
      <c r="K79" s="286">
        <f ca="1">M79*$K$76</f>
        <v>169.51833333333335</v>
      </c>
      <c r="L79" s="178" cm="1">
        <f t="array" aca="1" ref="L79" ca="1">INDEX( 'Enveloppe du bâtiment hors terr'!I:I, $F78)</f>
        <v>30</v>
      </c>
      <c r="M79" s="178" cm="1">
        <f t="array" aca="1" ref="M79" ca="1">INDEX( 'Enveloppe du bâtiment hors terr'!G:G, $F78)</f>
        <v>1</v>
      </c>
      <c r="N79" s="999" cm="1">
        <f t="array" aca="1" ref="N79" ca="1">IFERROR(INDEX('Enveloppe du bâtiment hors terr'!L:L, $F78)*$K79/$M79,0)/$I$1</f>
        <v>10.2765</v>
      </c>
      <c r="O79" s="996">
        <f t="shared" ca="1" si="58"/>
        <v>0</v>
      </c>
      <c r="P79" s="996">
        <f t="shared" ca="1" si="58"/>
        <v>10.53473</v>
      </c>
      <c r="Q79" s="275" cm="1">
        <f t="array" aca="1" ref="Q79" ca="1">_xlfn.SWITCH(L79,Q$3,N79+R79,O$3,O79,0)</f>
        <v>0</v>
      </c>
      <c r="R79" s="999" cm="1">
        <f t="array" aca="1" ref="R79" ca="1">IFERROR(INDEX('Enveloppe du bâtiment hors terr'!M:M, $F78)*$K79/$M79,0)/$I$1</f>
        <v>0.25823000000000002</v>
      </c>
      <c r="S79" s="997">
        <f ca="1">SUM(N79:R79)</f>
        <v>21.069460000000003</v>
      </c>
      <c r="T79" s="996" cm="1">
        <f t="array" aca="1" ref="T79" ca="1">IFERROR(INDEX('Enveloppe du bâtiment hors terr'!N:N, $F78)*$K79/$M79,0)/$I$1</f>
        <v>0</v>
      </c>
    </row>
    <row r="80" spans="2:20" ht="15.75" hidden="1" customHeight="1" outlineLevel="1">
      <c r="B80" s="1536"/>
      <c r="C80" s="1539"/>
      <c r="D80" s="178"/>
      <c r="E80" s="178"/>
      <c r="F80" s="178">
        <f t="shared" ref="F80" ca="1" si="61">IF(I80=0,2,F79+1)</f>
        <v>2</v>
      </c>
      <c r="G80" s="178" cm="1">
        <f t="array" aca="1" ref="G80" ca="1">INDEX( 'Enveloppe du bâtiment hors terr'!C:C, $F79)</f>
        <v>0</v>
      </c>
      <c r="H80" s="178" cm="1">
        <f t="array" aca="1" ref="H80" ca="1">INDEX( 'Enveloppe du bâtiment hors terr'!D:D, $F79)</f>
        <v>0</v>
      </c>
      <c r="I80" s="178" cm="1">
        <f t="array" aca="1" ref="I80" ca="1">INDEX( 'Enveloppe du bâtiment hors terr'!F:F, $F79)</f>
        <v>0</v>
      </c>
      <c r="J80" s="178">
        <f ca="1">_xlfn.XLOOKUP($I80,'Baumaterialien Matériaux'!A:A,'Baumaterialien Matériaux'!G:G,0,0)</f>
        <v>0</v>
      </c>
      <c r="K80" s="286">
        <f t="shared" ca="1" si="60"/>
        <v>0</v>
      </c>
      <c r="L80" s="178" cm="1">
        <f t="array" aca="1" ref="L80" ca="1">INDEX( 'Enveloppe du bâtiment hors terr'!I:I, $F79)</f>
        <v>30</v>
      </c>
      <c r="M80" s="178" cm="1">
        <f t="array" aca="1" ref="M80" ca="1">INDEX( 'Enveloppe du bâtiment hors terr'!G:G, $F79)</f>
        <v>0</v>
      </c>
      <c r="N80" s="999" cm="1">
        <f t="array" aca="1" ref="N80" ca="1">IFERROR(INDEX('Enveloppe du bâtiment hors terr'!L:L, $F79)*$K80/$M80,0)/$I$1</f>
        <v>0</v>
      </c>
      <c r="O80" s="996">
        <f t="shared" ca="1" si="58"/>
        <v>0</v>
      </c>
      <c r="P80" s="996">
        <f t="shared" ca="1" si="58"/>
        <v>0</v>
      </c>
      <c r="Q80" s="275" cm="1">
        <f t="array" aca="1" ref="Q80" ca="1">_xlfn.SWITCH(L80,Q$3,N80+R80,O$3,O80,0)</f>
        <v>0</v>
      </c>
      <c r="R80" s="999" cm="1">
        <f t="array" aca="1" ref="R80" ca="1">IFERROR(INDEX('Enveloppe du bâtiment hors terr'!M:M, $F79)*$K80/$M80,0)/$I$1</f>
        <v>0</v>
      </c>
      <c r="S80" s="997">
        <f ca="1">SUM(N80:R80)</f>
        <v>0</v>
      </c>
      <c r="T80" s="996" cm="1">
        <f t="array" aca="1" ref="T80" ca="1">IFERROR(INDEX('Enveloppe du bâtiment hors terr'!N:N, $F79)*$K80/$M80,0)/$I$1</f>
        <v>0</v>
      </c>
    </row>
    <row r="81" spans="2:20" ht="15.75" collapsed="1">
      <c r="B81" s="1536"/>
      <c r="C81" s="1539"/>
      <c r="D81" s="178" t="str">
        <f>'Outil détaillé'!D24</f>
        <v>Porte</v>
      </c>
      <c r="E81" s="751" t="str">
        <f>'Outil détaillé'!E24</f>
        <v>Porte extérieure</v>
      </c>
      <c r="F81" s="928">
        <f ca="1">MATCH(E81, INDIRECT("'Enveloppe du bâtiment hors terr'!A"&amp;F75+1&amp;":A500"),0)+F75</f>
        <v>115</v>
      </c>
      <c r="G81" s="751"/>
      <c r="H81" s="751"/>
      <c r="I81" s="751"/>
      <c r="J81" s="751" t="s">
        <v>97</v>
      </c>
      <c r="K81" s="752">
        <f>'Outil détaillé'!J24</f>
        <v>2.1</v>
      </c>
      <c r="L81" s="753"/>
      <c r="M81" s="751"/>
      <c r="N81" s="994">
        <f t="shared" ref="N81" ca="1" si="62">SUM(N82:N85)</f>
        <v>0.43740932642487051</v>
      </c>
      <c r="O81" s="994">
        <f t="shared" ref="O81:T81" ca="1" si="63">SUM(O82:O85)</f>
        <v>0</v>
      </c>
      <c r="P81" s="994">
        <f t="shared" ca="1" si="63"/>
        <v>0.46961658031088088</v>
      </c>
      <c r="Q81" s="994">
        <f t="shared" ca="1" si="63"/>
        <v>0</v>
      </c>
      <c r="R81" s="994">
        <f t="shared" ca="1" si="63"/>
        <v>3.2207253886010367E-2</v>
      </c>
      <c r="S81" s="994">
        <f t="shared" ca="1" si="63"/>
        <v>0.93923316062176165</v>
      </c>
      <c r="T81" s="1054">
        <f t="shared" ca="1" si="63"/>
        <v>0</v>
      </c>
    </row>
    <row r="82" spans="2:20" ht="15.75" hidden="1" customHeight="1" outlineLevel="1">
      <c r="B82" s="1536"/>
      <c r="C82" s="1539"/>
      <c r="D82" s="178"/>
      <c r="E82" s="178"/>
      <c r="F82" s="178">
        <f t="shared" ref="F82" ca="1" si="64">IF(I82=0,2,F81+1)</f>
        <v>116</v>
      </c>
      <c r="G82" s="178" t="str" cm="1">
        <f t="array" aca="1" ref="G82" ca="1">INDEX( 'Enveloppe du bâtiment hors terr'!C:C, $F81)</f>
        <v>Aussentüre, Aluminium, Glaseinsatz</v>
      </c>
      <c r="H82" s="178" t="str" cm="1">
        <f t="array" aca="1" ref="H82" ca="1">INDEX( 'Enveloppe du bâtiment hors terr'!D:D, $F81)</f>
        <v>Portes extérieures aluminium, avec vitrage</v>
      </c>
      <c r="I82" s="178" t="str" cm="1">
        <f t="array" aca="1" ref="I82" ca="1">INDEX( 'Enveloppe du bâtiment hors terr'!F:F, $F81)</f>
        <v>12.005</v>
      </c>
      <c r="J82" s="178" t="str">
        <f ca="1">_xlfn.XLOOKUP($I82,'Baumaterialien Matériaux'!A:A,'Baumaterialien Matériaux'!G:G,0,0)</f>
        <v>m2</v>
      </c>
      <c r="K82" s="286">
        <f ca="1">M82*$K$81</f>
        <v>2.1</v>
      </c>
      <c r="L82" s="178" cm="1">
        <f t="array" aca="1" ref="L82" ca="1">INDEX( 'Enveloppe du bâtiment hors terr'!I:I, $F81)</f>
        <v>30</v>
      </c>
      <c r="M82" s="178" cm="1">
        <f t="array" aca="1" ref="M82" ca="1">INDEX( 'Enveloppe du bâtiment hors terr'!G:G, $F81)</f>
        <v>1</v>
      </c>
      <c r="N82" s="999" cm="1">
        <f t="array" aca="1" ref="N82" ca="1">IFERROR(INDEX('Enveloppe du bâtiment hors terr'!L:L, $F81)*$K82/$M82,0)/$I$1</f>
        <v>0.43740932642487051</v>
      </c>
      <c r="O82" s="996">
        <f t="shared" ref="O82:P85" ca="1" si="65">IF($L82=O$3,$N82+$R82,0)</f>
        <v>0</v>
      </c>
      <c r="P82" s="996">
        <f t="shared" ca="1" si="65"/>
        <v>0.46961658031088088</v>
      </c>
      <c r="Q82" s="275" cm="1">
        <f t="array" aca="1" ref="Q82" ca="1">_xlfn.SWITCH(L82,Q$3,N82+R82,O$3,O82,0)</f>
        <v>0</v>
      </c>
      <c r="R82" s="999" cm="1">
        <f t="array" aca="1" ref="R82" ca="1">IFERROR(INDEX('Enveloppe du bâtiment hors terr'!M:M, $F81)*$K82/$M82,0)/$I$1</f>
        <v>3.2207253886010367E-2</v>
      </c>
      <c r="S82" s="997">
        <f ca="1">SUM(N82:R82)</f>
        <v>0.93923316062176165</v>
      </c>
      <c r="T82" s="996" cm="1">
        <f t="array" aca="1" ref="T82" ca="1">IFERROR(INDEX('Enveloppe du bâtiment hors terr'!N:N, $F81)*$K82/$M82,0)/$I$1</f>
        <v>0</v>
      </c>
    </row>
    <row r="83" spans="2:20" ht="15.75" hidden="1" customHeight="1" outlineLevel="1">
      <c r="B83" s="1536"/>
      <c r="C83" s="1539"/>
      <c r="D83" s="178"/>
      <c r="E83" s="178"/>
      <c r="F83" s="178">
        <f t="shared" ref="F83:F85" ca="1" si="66">IF(I83=0,2,F82+1)</f>
        <v>2</v>
      </c>
      <c r="G83" s="178" cm="1">
        <f t="array" aca="1" ref="G83" ca="1">INDEX( 'Enveloppe du bâtiment hors terr'!C:C, $F82)</f>
        <v>0</v>
      </c>
      <c r="H83" s="178" cm="1">
        <f t="array" aca="1" ref="H83" ca="1">INDEX( 'Enveloppe du bâtiment hors terr'!D:D, $F82)</f>
        <v>0</v>
      </c>
      <c r="I83" s="178" cm="1">
        <f t="array" aca="1" ref="I83" ca="1">INDEX( 'Enveloppe du bâtiment hors terr'!F:F, $F82)</f>
        <v>0</v>
      </c>
      <c r="J83" s="178">
        <f ca="1">_xlfn.XLOOKUP($I83,'Baumaterialien Matériaux'!A:A,'Baumaterialien Matériaux'!G:G,0,0)</f>
        <v>0</v>
      </c>
      <c r="K83" s="286">
        <f t="shared" ref="K83:K85" ca="1" si="67">M83*$K$81</f>
        <v>0</v>
      </c>
      <c r="L83" s="178" cm="1">
        <f t="array" aca="1" ref="L83" ca="1">INDEX( 'Enveloppe du bâtiment hors terr'!I:I, $F82)</f>
        <v>0</v>
      </c>
      <c r="M83" s="178" cm="1">
        <f t="array" aca="1" ref="M83" ca="1">INDEX( 'Enveloppe du bâtiment hors terr'!G:G, $F82)</f>
        <v>0</v>
      </c>
      <c r="N83" s="999" cm="1">
        <f t="array" aca="1" ref="N83" ca="1">IFERROR(INDEX('Enveloppe du bâtiment hors terr'!L:L, $F82)*$K83/$M83,0)/$I$1</f>
        <v>0</v>
      </c>
      <c r="O83" s="996">
        <f t="shared" ca="1" si="65"/>
        <v>0</v>
      </c>
      <c r="P83" s="996">
        <f t="shared" ca="1" si="65"/>
        <v>0</v>
      </c>
      <c r="Q83" s="275" cm="1">
        <f t="array" aca="1" ref="Q83" ca="1">_xlfn.SWITCH(L83,Q$3,N83+R83,O$3,O83,0)</f>
        <v>0</v>
      </c>
      <c r="R83" s="999" cm="1">
        <f t="array" aca="1" ref="R83" ca="1">IFERROR(INDEX('Enveloppe du bâtiment hors terr'!M:M, $F82)*$K83/$M83,0)/$I$1</f>
        <v>0</v>
      </c>
      <c r="S83" s="997">
        <f ca="1">SUM(N83:R83)</f>
        <v>0</v>
      </c>
      <c r="T83" s="996" cm="1">
        <f t="array" aca="1" ref="T83" ca="1">IFERROR(INDEX('Enveloppe du bâtiment hors terr'!N:N, $F82)*$K83/$M83,0)/$I$1</f>
        <v>0</v>
      </c>
    </row>
    <row r="84" spans="2:20" ht="15.75" hidden="1" customHeight="1" outlineLevel="1">
      <c r="B84" s="1536"/>
      <c r="C84" s="1539"/>
      <c r="D84" s="178"/>
      <c r="E84" s="178"/>
      <c r="F84" s="178">
        <f t="shared" ca="1" si="66"/>
        <v>2</v>
      </c>
      <c r="G84" s="178" cm="1">
        <f t="array" aca="1" ref="G84" ca="1">INDEX( 'Enveloppe du bâtiment hors terr'!C:C, $F83)</f>
        <v>0</v>
      </c>
      <c r="H84" s="178" cm="1">
        <f t="array" aca="1" ref="H84" ca="1">INDEX( 'Enveloppe du bâtiment hors terr'!D:D, $F83)</f>
        <v>0</v>
      </c>
      <c r="I84" s="178" cm="1">
        <f t="array" aca="1" ref="I84" ca="1">INDEX( 'Enveloppe du bâtiment hors terr'!F:F, $F83)</f>
        <v>0</v>
      </c>
      <c r="J84" s="178">
        <f ca="1">_xlfn.XLOOKUP($I84,'Baumaterialien Matériaux'!A:A,'Baumaterialien Matériaux'!G:G,0,0)</f>
        <v>0</v>
      </c>
      <c r="K84" s="286">
        <f t="shared" ca="1" si="67"/>
        <v>0</v>
      </c>
      <c r="L84" s="178" cm="1">
        <f t="array" aca="1" ref="L84" ca="1">INDEX( 'Enveloppe du bâtiment hors terr'!I:I, $F83)</f>
        <v>0</v>
      </c>
      <c r="M84" s="178" cm="1">
        <f t="array" aca="1" ref="M84" ca="1">INDEX( 'Enveloppe du bâtiment hors terr'!G:G, $F83)</f>
        <v>0</v>
      </c>
      <c r="N84" s="999" cm="1">
        <f t="array" aca="1" ref="N84" ca="1">IFERROR(INDEX('Enveloppe du bâtiment hors terr'!L:L, $F83)*$K84/$M84,0)/$I$1</f>
        <v>0</v>
      </c>
      <c r="O84" s="996">
        <f t="shared" ca="1" si="65"/>
        <v>0</v>
      </c>
      <c r="P84" s="996">
        <f t="shared" ca="1" si="65"/>
        <v>0</v>
      </c>
      <c r="Q84" s="275" cm="1">
        <f t="array" aca="1" ref="Q84" ca="1">_xlfn.SWITCH(L84,Q$3,N84+R84,O$3,O84,0)</f>
        <v>0</v>
      </c>
      <c r="R84" s="999" cm="1">
        <f t="array" aca="1" ref="R84" ca="1">IFERROR(INDEX('Enveloppe du bâtiment hors terr'!M:M, $F83)*$K84/$M84,0)/$I$1</f>
        <v>0</v>
      </c>
      <c r="S84" s="997">
        <f ca="1">SUM(N84:R84)</f>
        <v>0</v>
      </c>
      <c r="T84" s="996" cm="1">
        <f t="array" aca="1" ref="T84" ca="1">IFERROR(INDEX('Enveloppe du bâtiment hors terr'!N:N, $F83)*$K84/$M84,0)/$I$1</f>
        <v>0</v>
      </c>
    </row>
    <row r="85" spans="2:20" ht="15.75" hidden="1" customHeight="1" outlineLevel="1">
      <c r="B85" s="1536"/>
      <c r="C85" s="1540"/>
      <c r="D85" s="178"/>
      <c r="E85" s="178"/>
      <c r="F85" s="178">
        <f t="shared" ca="1" si="66"/>
        <v>2</v>
      </c>
      <c r="G85" s="178" cm="1">
        <f t="array" aca="1" ref="G85" ca="1">INDEX( 'Enveloppe du bâtiment hors terr'!C:C, $F84)</f>
        <v>0</v>
      </c>
      <c r="H85" s="178" cm="1">
        <f t="array" aca="1" ref="H85" ca="1">INDEX( 'Enveloppe du bâtiment hors terr'!D:D, $F84)</f>
        <v>0</v>
      </c>
      <c r="I85" s="178" cm="1">
        <f t="array" aca="1" ref="I85" ca="1">INDEX( 'Enveloppe du bâtiment hors terr'!F:F, $F84)</f>
        <v>0</v>
      </c>
      <c r="J85" s="178">
        <f ca="1">_xlfn.XLOOKUP($I85,'Baumaterialien Matériaux'!A:A,'Baumaterialien Matériaux'!G:G,0,0)</f>
        <v>0</v>
      </c>
      <c r="K85" s="286">
        <f t="shared" ca="1" si="67"/>
        <v>0</v>
      </c>
      <c r="L85" s="178" cm="1">
        <f t="array" aca="1" ref="L85" ca="1">INDEX( 'Enveloppe du bâtiment hors terr'!I:I, $F84)</f>
        <v>0</v>
      </c>
      <c r="M85" s="178" cm="1">
        <f t="array" aca="1" ref="M85" ca="1">INDEX( 'Enveloppe du bâtiment hors terr'!G:G, $F84)</f>
        <v>0</v>
      </c>
      <c r="N85" s="999" cm="1">
        <f t="array" aca="1" ref="N85" ca="1">IFERROR(INDEX('Enveloppe du bâtiment hors terr'!L:L, $F84)*$K85/$M85,0)/$I$1</f>
        <v>0</v>
      </c>
      <c r="O85" s="996">
        <f t="shared" ca="1" si="65"/>
        <v>0</v>
      </c>
      <c r="P85" s="996">
        <f t="shared" ca="1" si="65"/>
        <v>0</v>
      </c>
      <c r="Q85" s="275" cm="1">
        <f t="array" aca="1" ref="Q85" ca="1">_xlfn.SWITCH(L85,Q$3,N85+R85,O$3,O85,0)</f>
        <v>0</v>
      </c>
      <c r="R85" s="999" cm="1">
        <f t="array" aca="1" ref="R85" ca="1">IFERROR(INDEX('Enveloppe du bâtiment hors terr'!M:M, $F84)*$K85/$M85,0)/$I$1</f>
        <v>0</v>
      </c>
      <c r="S85" s="997">
        <f ca="1">SUM(N85:R85)</f>
        <v>0</v>
      </c>
      <c r="T85" s="996" cm="1">
        <f t="array" aca="1" ref="T85" ca="1">IFERROR(INDEX('Enveloppe du bâtiment hors terr'!N:N, $F84)*$K85/$M85,0)/$I$1</f>
        <v>0</v>
      </c>
    </row>
    <row r="86" spans="2:20" ht="15.75" customHeight="1" collapsed="1">
      <c r="B86" s="1536"/>
      <c r="C86" s="1538" t="str">
        <f>'Outil détaillé'!C25</f>
        <v>C04.04 / C04.05</v>
      </c>
      <c r="D86" s="177" t="str">
        <f>'Outil détaillé'!D25</f>
        <v>Toitures (structure porteuse)</v>
      </c>
      <c r="E86" s="177"/>
      <c r="F86" s="177">
        <f>MATCH(D86, 'Enveloppe du bâtiment hors terr'!B:B,0)</f>
        <v>118</v>
      </c>
      <c r="G86" s="177"/>
      <c r="H86" s="177"/>
      <c r="I86" s="177"/>
      <c r="J86" s="177"/>
      <c r="K86" s="289"/>
      <c r="L86" s="288"/>
      <c r="M86" s="288"/>
      <c r="N86" s="993">
        <f t="shared" ref="N86" ca="1" si="68">N87</f>
        <v>6.0743</v>
      </c>
      <c r="O86" s="993">
        <f t="shared" ref="O86:T86" ca="1" si="69">O87</f>
        <v>0</v>
      </c>
      <c r="P86" s="993">
        <f t="shared" ca="1" si="69"/>
        <v>0</v>
      </c>
      <c r="Q86" s="993">
        <f t="shared" ca="1" si="69"/>
        <v>0</v>
      </c>
      <c r="R86" s="993">
        <f t="shared" ca="1" si="69"/>
        <v>1.5636233333333334</v>
      </c>
      <c r="S86" s="993">
        <f t="shared" ca="1" si="69"/>
        <v>7.6379233333333332</v>
      </c>
      <c r="T86" s="1053">
        <f t="shared" ca="1" si="69"/>
        <v>63.927905555555554</v>
      </c>
    </row>
    <row r="87" spans="2:20" ht="15.75">
      <c r="B87" s="1536"/>
      <c r="C87" s="1539"/>
      <c r="D87" s="178" t="str">
        <f>'Outil détaillé'!D26</f>
        <v>Toiture structure</v>
      </c>
      <c r="E87" s="179" t="str">
        <f>'Outil détaillé'!E26</f>
        <v>Plafond en bois massif</v>
      </c>
      <c r="F87" s="179">
        <f ca="1">MATCH(E87, INDIRECT("'Enveloppe du bâtiment hors terr'!A"&amp;F86+1&amp;":A500"),0)+F86</f>
        <v>125</v>
      </c>
      <c r="G87" s="179"/>
      <c r="H87" s="179"/>
      <c r="I87" s="179"/>
      <c r="J87" s="179" t="s">
        <v>97</v>
      </c>
      <c r="K87" s="294">
        <f>'Outil détaillé'!J26</f>
        <v>321.66666666666669</v>
      </c>
      <c r="L87" s="295"/>
      <c r="M87" s="295"/>
      <c r="N87" s="994">
        <f t="shared" ref="N87" ca="1" si="70">SUM(N88:N94)</f>
        <v>6.0743</v>
      </c>
      <c r="O87" s="994">
        <f t="shared" ref="O87:T87" ca="1" si="71">SUM(O88:O94)</f>
        <v>0</v>
      </c>
      <c r="P87" s="994">
        <f t="shared" ca="1" si="71"/>
        <v>0</v>
      </c>
      <c r="Q87" s="994">
        <f t="shared" ca="1" si="71"/>
        <v>0</v>
      </c>
      <c r="R87" s="994">
        <f t="shared" ca="1" si="71"/>
        <v>1.5636233333333334</v>
      </c>
      <c r="S87" s="994">
        <f t="shared" ca="1" si="71"/>
        <v>7.6379233333333332</v>
      </c>
      <c r="T87" s="1054">
        <f t="shared" ca="1" si="71"/>
        <v>63.927905555555554</v>
      </c>
    </row>
    <row r="88" spans="2:20" ht="15.75" hidden="1" customHeight="1" outlineLevel="1">
      <c r="B88" s="1536"/>
      <c r="C88" s="1539"/>
      <c r="D88" s="178"/>
      <c r="E88" s="178"/>
      <c r="F88" s="178">
        <f t="shared" ref="F88" ca="1" si="72">IF(I88=0,2,F87+1)</f>
        <v>126</v>
      </c>
      <c r="G88" s="178" t="str" cm="1">
        <f t="array" aca="1" ref="G88" ca="1">INDEX( 'Enveloppe du bâtiment hors terr'!C:C, $F87)</f>
        <v>3-SP [kg]</v>
      </c>
      <c r="H88" s="178" t="str" cm="1">
        <f t="array" aca="1" ref="H88" ca="1">INDEX( 'Enveloppe du bâtiment hors terr'!D:D, $F87)</f>
        <v>Bois massif 3 et 5 plis</v>
      </c>
      <c r="I88" s="178" t="str" cm="1">
        <f t="array" aca="1" ref="I88" ca="1">INDEX( 'Enveloppe du bâtiment hors terr'!F:F, $F87)</f>
        <v>07.001</v>
      </c>
      <c r="J88" s="178" t="str">
        <f ca="1">_xlfn.XLOOKUP($I88,'Baumaterialien Matériaux'!A:A,'Baumaterialien Matériaux'!G:G,0,0)</f>
        <v>kg</v>
      </c>
      <c r="K88" s="286">
        <f ca="1">M88*$K$87</f>
        <v>3023.666666666667</v>
      </c>
      <c r="L88" s="178" cm="1">
        <f t="array" aca="1" ref="L88" ca="1">INDEX( 'Enveloppe du bâtiment hors terr'!I:I, $F87)</f>
        <v>60</v>
      </c>
      <c r="M88" s="178" cm="1">
        <f t="array" aca="1" ref="M88" ca="1">INDEX( 'Enveloppe du bâtiment hors terr'!G:G, $F87)</f>
        <v>9.4</v>
      </c>
      <c r="N88" s="999" cm="1">
        <f t="array" aca="1" ref="N88" ca="1">IFERROR(INDEX('Enveloppe du bâtiment hors terr'!L:L, $F87)*$K88/$M88,0)/$I$1</f>
        <v>1.2971999999999999</v>
      </c>
      <c r="O88" s="996">
        <f t="shared" ref="O88:P94" ca="1" si="73">IF($L88=O$3,$N88+$R88,0)</f>
        <v>0</v>
      </c>
      <c r="P88" s="996">
        <f t="shared" ca="1" si="73"/>
        <v>0</v>
      </c>
      <c r="Q88" s="275" cm="1">
        <f t="array" aca="1" ref="Q88" ca="1">_xlfn.SWITCH(L88,Q$3,N88+R88,O$3,O88,0)</f>
        <v>0</v>
      </c>
      <c r="R88" s="999" cm="1">
        <f t="array" aca="1" ref="R88" ca="1">IFERROR(INDEX('Enveloppe du bâtiment hors terr'!M:M, $F87)*$K88/$M88,0)/$I$1</f>
        <v>0.17327333333333336</v>
      </c>
      <c r="S88" s="997">
        <f t="shared" ref="S88:S94" ca="1" si="74">SUM(N88:R88)</f>
        <v>1.4704733333333333</v>
      </c>
      <c r="T88" s="996" cm="1">
        <f t="array" aca="1" ref="T88" ca="1">IFERROR(INDEX('Enveloppe du bâtiment hors terr'!N:N, $F87)*$K88/$M88,0)/$I$1</f>
        <v>4.9746888888888892</v>
      </c>
    </row>
    <row r="89" spans="2:20" ht="15.75" hidden="1" customHeight="1" outlineLevel="1">
      <c r="B89" s="1536"/>
      <c r="C89" s="1539"/>
      <c r="D89" s="178"/>
      <c r="E89" s="178"/>
      <c r="F89" s="178">
        <f t="shared" ref="F89:F94" ca="1" si="75">IF(I89=0,2,F88+1)</f>
        <v>127</v>
      </c>
      <c r="G89" s="178" t="str" cm="1">
        <f t="array" aca="1" ref="G89" ca="1">INDEX( 'Enveloppe du bâtiment hors terr'!C:C, $F88)</f>
        <v>Nadelschnittholz [kg]</v>
      </c>
      <c r="H89" s="178" t="str" cm="1">
        <f t="array" aca="1" ref="H89" ca="1">INDEX( 'Enveloppe du bâtiment hors terr'!D:D, $F88)</f>
        <v>Bois massif épicéa / sapin / mélèze, séché en cellule, raboté</v>
      </c>
      <c r="I89" s="178" t="str" cm="1">
        <f t="array" aca="1" ref="I89" ca="1">INDEX( 'Enveloppe du bâtiment hors terr'!F:F, $F88)</f>
        <v>07.011</v>
      </c>
      <c r="J89" s="178" t="str">
        <f ca="1">_xlfn.XLOOKUP($I89,'Baumaterialien Matériaux'!A:A,'Baumaterialien Matériaux'!G:G,0,0)</f>
        <v>kg</v>
      </c>
      <c r="K89" s="286">
        <f t="shared" ref="K89:K94" ca="1" si="76">M89*$K$87</f>
        <v>34402.25</v>
      </c>
      <c r="L89" s="178" cm="1">
        <f t="array" aca="1" ref="L89" ca="1">INDEX( 'Enveloppe du bâtiment hors terr'!I:I, $F88)</f>
        <v>60</v>
      </c>
      <c r="M89" s="178" cm="1">
        <f t="array" aca="1" ref="M89" ca="1">INDEX( 'Enveloppe du bâtiment hors terr'!G:G, $F88)</f>
        <v>106.95</v>
      </c>
      <c r="N89" s="999" cm="1">
        <f t="array" aca="1" ref="N89" ca="1">IFERROR(INDEX('Enveloppe du bâtiment hors terr'!L:L, $F88)*$K89/$M89,0)/$I$1</f>
        <v>4.7770999999999999</v>
      </c>
      <c r="O89" s="996">
        <f t="shared" ca="1" si="73"/>
        <v>0</v>
      </c>
      <c r="P89" s="996">
        <f t="shared" ca="1" si="73"/>
        <v>0</v>
      </c>
      <c r="Q89" s="275" cm="1">
        <f t="array" aca="1" ref="Q89" ca="1">_xlfn.SWITCH(L89,Q$3,N89+R89,O$3,O89,0)</f>
        <v>0</v>
      </c>
      <c r="R89" s="999" cm="1">
        <f t="array" aca="1" ref="R89" ca="1">IFERROR(INDEX('Enveloppe du bâtiment hors terr'!M:M, $F88)*$K89/$M89,0)/$I$1</f>
        <v>1.39035</v>
      </c>
      <c r="S89" s="997">
        <f t="shared" ca="1" si="74"/>
        <v>6.1674499999999997</v>
      </c>
      <c r="T89" s="996" cm="1">
        <f t="array" aca="1" ref="T89" ca="1">IFERROR(INDEX('Enveloppe du bâtiment hors terr'!N:N, $F88)*$K89/$M89,0)/$I$1</f>
        <v>58.953216666666663</v>
      </c>
    </row>
    <row r="90" spans="2:20" ht="15.75" hidden="1" customHeight="1" outlineLevel="1">
      <c r="B90" s="1536"/>
      <c r="C90" s="1539"/>
      <c r="D90" s="178"/>
      <c r="E90" s="178"/>
      <c r="F90" s="178">
        <f t="shared" ca="1" si="75"/>
        <v>2</v>
      </c>
      <c r="G90" s="178" cm="1">
        <f t="array" aca="1" ref="G90" ca="1">INDEX( 'Enveloppe du bâtiment hors terr'!C:C, $F89)</f>
        <v>0</v>
      </c>
      <c r="H90" s="178" cm="1">
        <f t="array" aca="1" ref="H90" ca="1">INDEX( 'Enveloppe du bâtiment hors terr'!D:D, $F89)</f>
        <v>0</v>
      </c>
      <c r="I90" s="178" cm="1">
        <f t="array" aca="1" ref="I90" ca="1">INDEX( 'Enveloppe du bâtiment hors terr'!F:F, $F89)</f>
        <v>0</v>
      </c>
      <c r="J90" s="178">
        <f ca="1">_xlfn.XLOOKUP($I90,'Baumaterialien Matériaux'!A:A,'Baumaterialien Matériaux'!G:G,0,0)</f>
        <v>0</v>
      </c>
      <c r="K90" s="286">
        <f t="shared" ca="1" si="76"/>
        <v>0</v>
      </c>
      <c r="L90" s="178" cm="1">
        <f t="array" aca="1" ref="L90" ca="1">INDEX( 'Enveloppe du bâtiment hors terr'!I:I, $F89)</f>
        <v>0</v>
      </c>
      <c r="M90" s="178" cm="1">
        <f t="array" aca="1" ref="M90" ca="1">INDEX( 'Enveloppe du bâtiment hors terr'!G:G, $F89)</f>
        <v>0</v>
      </c>
      <c r="N90" s="999" cm="1">
        <f t="array" aca="1" ref="N90" ca="1">IFERROR(INDEX('Enveloppe du bâtiment hors terr'!L:L, $F89)*$K90/$M90,0)/$I$1</f>
        <v>0</v>
      </c>
      <c r="O90" s="996">
        <f t="shared" ca="1" si="73"/>
        <v>0</v>
      </c>
      <c r="P90" s="996">
        <f t="shared" ca="1" si="73"/>
        <v>0</v>
      </c>
      <c r="Q90" s="275" cm="1">
        <f t="array" aca="1" ref="Q90" ca="1">_xlfn.SWITCH(L90,Q$3,N90+R90,O$3,O90,0)</f>
        <v>0</v>
      </c>
      <c r="R90" s="999" cm="1">
        <f t="array" aca="1" ref="R90" ca="1">IFERROR(INDEX('Enveloppe du bâtiment hors terr'!M:M, $F89)*$K90/$M90,0)/$I$1</f>
        <v>0</v>
      </c>
      <c r="S90" s="997">
        <f t="shared" ca="1" si="74"/>
        <v>0</v>
      </c>
      <c r="T90" s="996" cm="1">
        <f t="array" aca="1" ref="T90" ca="1">IFERROR(INDEX('Enveloppe du bâtiment hors terr'!N:N, $F89)*$K90/$M90,0)/$I$1</f>
        <v>0</v>
      </c>
    </row>
    <row r="91" spans="2:20" ht="15.75" hidden="1" customHeight="1" outlineLevel="1">
      <c r="B91" s="1536"/>
      <c r="C91" s="1539"/>
      <c r="D91" s="178"/>
      <c r="E91" s="178"/>
      <c r="F91" s="178">
        <f t="shared" ca="1" si="75"/>
        <v>2</v>
      </c>
      <c r="G91" s="178" cm="1">
        <f t="array" aca="1" ref="G91" ca="1">INDEX( 'Enveloppe du bâtiment hors terr'!C:C, $F90)</f>
        <v>0</v>
      </c>
      <c r="H91" s="178" cm="1">
        <f t="array" aca="1" ref="H91" ca="1">INDEX( 'Enveloppe du bâtiment hors terr'!D:D, $F90)</f>
        <v>0</v>
      </c>
      <c r="I91" s="178" cm="1">
        <f t="array" aca="1" ref="I91" ca="1">INDEX( 'Enveloppe du bâtiment hors terr'!F:F, $F90)</f>
        <v>0</v>
      </c>
      <c r="J91" s="178">
        <f ca="1">_xlfn.XLOOKUP($I91,'Baumaterialien Matériaux'!A:A,'Baumaterialien Matériaux'!G:G,0,0)</f>
        <v>0</v>
      </c>
      <c r="K91" s="286">
        <f t="shared" ca="1" si="76"/>
        <v>0</v>
      </c>
      <c r="L91" s="178" cm="1">
        <f t="array" aca="1" ref="L91" ca="1">INDEX( 'Enveloppe du bâtiment hors terr'!I:I, $F90)</f>
        <v>0</v>
      </c>
      <c r="M91" s="178" cm="1">
        <f t="array" aca="1" ref="M91" ca="1">INDEX( 'Enveloppe du bâtiment hors terr'!G:G, $F90)</f>
        <v>0</v>
      </c>
      <c r="N91" s="999" cm="1">
        <f t="array" aca="1" ref="N91" ca="1">IFERROR(INDEX('Enveloppe du bâtiment hors terr'!L:L, $F90)*$K91/$M91,0)/$I$1</f>
        <v>0</v>
      </c>
      <c r="O91" s="996">
        <f t="shared" ca="1" si="73"/>
        <v>0</v>
      </c>
      <c r="P91" s="996">
        <f t="shared" ca="1" si="73"/>
        <v>0</v>
      </c>
      <c r="Q91" s="275" cm="1">
        <f t="array" aca="1" ref="Q91" ca="1">_xlfn.SWITCH(L91,Q$3,N91+R91,O$3,O91,0)</f>
        <v>0</v>
      </c>
      <c r="R91" s="999" cm="1">
        <f t="array" aca="1" ref="R91" ca="1">IFERROR(INDEX('Enveloppe du bâtiment hors terr'!M:M, $F90)*$K91/$M91,0)/$I$1</f>
        <v>0</v>
      </c>
      <c r="S91" s="997">
        <f t="shared" ca="1" si="74"/>
        <v>0</v>
      </c>
      <c r="T91" s="996" cm="1">
        <f t="array" aca="1" ref="T91" ca="1">IFERROR(INDEX('Enveloppe du bâtiment hors terr'!N:N, $F90)*$K91/$M91,0)/$I$1</f>
        <v>0</v>
      </c>
    </row>
    <row r="92" spans="2:20" ht="15.75" hidden="1" customHeight="1" outlineLevel="1">
      <c r="B92" s="1536"/>
      <c r="C92" s="1539"/>
      <c r="D92" s="178"/>
      <c r="E92" s="178"/>
      <c r="F92" s="178">
        <f t="shared" ca="1" si="75"/>
        <v>2</v>
      </c>
      <c r="G92" s="178" cm="1">
        <f t="array" aca="1" ref="G92" ca="1">INDEX( 'Enveloppe du bâtiment hors terr'!C:C, $F91)</f>
        <v>0</v>
      </c>
      <c r="H92" s="178" cm="1">
        <f t="array" aca="1" ref="H92" ca="1">INDEX( 'Enveloppe du bâtiment hors terr'!D:D, $F91)</f>
        <v>0</v>
      </c>
      <c r="I92" s="178" cm="1">
        <f t="array" aca="1" ref="I92" ca="1">INDEX( 'Enveloppe du bâtiment hors terr'!F:F, $F91)</f>
        <v>0</v>
      </c>
      <c r="J92" s="178">
        <f ca="1">_xlfn.XLOOKUP($I92,'Baumaterialien Matériaux'!A:A,'Baumaterialien Matériaux'!G:G,0,0)</f>
        <v>0</v>
      </c>
      <c r="K92" s="286">
        <f t="shared" ca="1" si="76"/>
        <v>0</v>
      </c>
      <c r="L92" s="178" cm="1">
        <f t="array" aca="1" ref="L92" ca="1">INDEX( 'Enveloppe du bâtiment hors terr'!I:I, $F91)</f>
        <v>0</v>
      </c>
      <c r="M92" s="178" cm="1">
        <f t="array" aca="1" ref="M92" ca="1">INDEX( 'Enveloppe du bâtiment hors terr'!G:G, $F91)</f>
        <v>0</v>
      </c>
      <c r="N92" s="999" cm="1">
        <f t="array" aca="1" ref="N92" ca="1">IFERROR(INDEX('Enveloppe du bâtiment hors terr'!L:L, $F91)*$K92/$M92,0)/$I$1</f>
        <v>0</v>
      </c>
      <c r="O92" s="996">
        <f t="shared" ca="1" si="73"/>
        <v>0</v>
      </c>
      <c r="P92" s="996">
        <f t="shared" ca="1" si="73"/>
        <v>0</v>
      </c>
      <c r="Q92" s="275" cm="1">
        <f t="array" aca="1" ref="Q92" ca="1">_xlfn.SWITCH(L92,Q$3,N92+R92,O$3,O92,0)</f>
        <v>0</v>
      </c>
      <c r="R92" s="999" cm="1">
        <f t="array" aca="1" ref="R92" ca="1">IFERROR(INDEX('Enveloppe du bâtiment hors terr'!M:M, $F91)*$K92/$M92,0)/$I$1</f>
        <v>0</v>
      </c>
      <c r="S92" s="997">
        <f t="shared" ca="1" si="74"/>
        <v>0</v>
      </c>
      <c r="T92" s="996" cm="1">
        <f t="array" aca="1" ref="T92" ca="1">IFERROR(INDEX('Enveloppe du bâtiment hors terr'!N:N, $F91)*$K92/$M92,0)/$I$1</f>
        <v>0</v>
      </c>
    </row>
    <row r="93" spans="2:20" ht="15.75" hidden="1" customHeight="1" outlineLevel="1">
      <c r="B93" s="1536"/>
      <c r="C93" s="1539"/>
      <c r="D93" s="178"/>
      <c r="E93" s="178"/>
      <c r="F93" s="178">
        <f t="shared" ca="1" si="75"/>
        <v>2</v>
      </c>
      <c r="G93" s="178" cm="1">
        <f t="array" aca="1" ref="G93" ca="1">INDEX( 'Enveloppe du bâtiment hors terr'!C:C, $F92)</f>
        <v>0</v>
      </c>
      <c r="H93" s="178" cm="1">
        <f t="array" aca="1" ref="H93" ca="1">INDEX( 'Enveloppe du bâtiment hors terr'!D:D, $F92)</f>
        <v>0</v>
      </c>
      <c r="I93" s="178" cm="1">
        <f t="array" aca="1" ref="I93" ca="1">INDEX( 'Enveloppe du bâtiment hors terr'!F:F, $F92)</f>
        <v>0</v>
      </c>
      <c r="J93" s="178">
        <f ca="1">_xlfn.XLOOKUP($I93,'Baumaterialien Matériaux'!A:A,'Baumaterialien Matériaux'!G:G,0,0)</f>
        <v>0</v>
      </c>
      <c r="K93" s="286">
        <f t="shared" ca="1" si="76"/>
        <v>0</v>
      </c>
      <c r="L93" s="178" cm="1">
        <f t="array" aca="1" ref="L93" ca="1">INDEX( 'Enveloppe du bâtiment hors terr'!I:I, $F92)</f>
        <v>0</v>
      </c>
      <c r="M93" s="178" cm="1">
        <f t="array" aca="1" ref="M93" ca="1">INDEX( 'Enveloppe du bâtiment hors terr'!G:G, $F92)</f>
        <v>0</v>
      </c>
      <c r="N93" s="999" cm="1">
        <f t="array" aca="1" ref="N93" ca="1">IFERROR(INDEX('Enveloppe du bâtiment hors terr'!L:L, $F92)*$K93/$M93,0)/$I$1</f>
        <v>0</v>
      </c>
      <c r="O93" s="996">
        <f t="shared" ca="1" si="73"/>
        <v>0</v>
      </c>
      <c r="P93" s="996">
        <f t="shared" ca="1" si="73"/>
        <v>0</v>
      </c>
      <c r="Q93" s="275" cm="1">
        <f t="array" aca="1" ref="Q93" ca="1">_xlfn.SWITCH(L93,Q$3,N93+R93,O$3,O93,0)</f>
        <v>0</v>
      </c>
      <c r="R93" s="999" cm="1">
        <f t="array" aca="1" ref="R93" ca="1">IFERROR(INDEX('Enveloppe du bâtiment hors terr'!M:M, $F92)*$K93/$M93,0)/$I$1</f>
        <v>0</v>
      </c>
      <c r="S93" s="997">
        <f t="shared" ca="1" si="74"/>
        <v>0</v>
      </c>
      <c r="T93" s="996" cm="1">
        <f t="array" aca="1" ref="T93" ca="1">IFERROR(INDEX('Enveloppe du bâtiment hors terr'!N:N, $F92)*$K93/$M93,0)/$I$1</f>
        <v>0</v>
      </c>
    </row>
    <row r="94" spans="2:20" ht="15.75" hidden="1" customHeight="1" outlineLevel="1">
      <c r="B94" s="1536"/>
      <c r="C94" s="1540"/>
      <c r="D94" s="178"/>
      <c r="E94" s="178"/>
      <c r="F94" s="178">
        <f t="shared" ca="1" si="75"/>
        <v>2</v>
      </c>
      <c r="G94" s="178" cm="1">
        <f t="array" aca="1" ref="G94" ca="1">INDEX( 'Enveloppe du bâtiment hors terr'!C:C, $F93)</f>
        <v>0</v>
      </c>
      <c r="H94" s="178" cm="1">
        <f t="array" aca="1" ref="H94" ca="1">INDEX( 'Enveloppe du bâtiment hors terr'!D:D, $F93)</f>
        <v>0</v>
      </c>
      <c r="I94" s="178" cm="1">
        <f t="array" aca="1" ref="I94" ca="1">INDEX( 'Enveloppe du bâtiment hors terr'!F:F, $F93)</f>
        <v>0</v>
      </c>
      <c r="J94" s="178">
        <f ca="1">_xlfn.XLOOKUP($I94,'Baumaterialien Matériaux'!A:A,'Baumaterialien Matériaux'!G:G,0,0)</f>
        <v>0</v>
      </c>
      <c r="K94" s="286">
        <f t="shared" ca="1" si="76"/>
        <v>0</v>
      </c>
      <c r="L94" s="178" cm="1">
        <f t="array" aca="1" ref="L94" ca="1">INDEX( 'Enveloppe du bâtiment hors terr'!I:I, $F93)</f>
        <v>0</v>
      </c>
      <c r="M94" s="178" cm="1">
        <f t="array" aca="1" ref="M94" ca="1">INDEX( 'Enveloppe du bâtiment hors terr'!G:G, $F93)</f>
        <v>0</v>
      </c>
      <c r="N94" s="999" cm="1">
        <f t="array" aca="1" ref="N94" ca="1">IFERROR(INDEX('Enveloppe du bâtiment hors terr'!L:L, $F93)*$K94/$M94,0)/$I$1</f>
        <v>0</v>
      </c>
      <c r="O94" s="996">
        <f t="shared" ca="1" si="73"/>
        <v>0</v>
      </c>
      <c r="P94" s="996">
        <f t="shared" ca="1" si="73"/>
        <v>0</v>
      </c>
      <c r="Q94" s="275" cm="1">
        <f t="array" aca="1" ref="Q94" ca="1">_xlfn.SWITCH(L94,Q$3,N94+R94,O$3,O94,0)</f>
        <v>0</v>
      </c>
      <c r="R94" s="999" cm="1">
        <f t="array" aca="1" ref="R94" ca="1">IFERROR(INDEX('Enveloppe du bâtiment hors terr'!M:M, $F93)*$K94/$M94,0)/$I$1</f>
        <v>0</v>
      </c>
      <c r="S94" s="997">
        <f t="shared" ca="1" si="74"/>
        <v>0</v>
      </c>
      <c r="T94" s="996" cm="1">
        <f t="array" aca="1" ref="T94" ca="1">IFERROR(INDEX('Enveloppe du bâtiment hors terr'!N:N, $F93)*$K94/$M94,0)/$I$1</f>
        <v>0</v>
      </c>
    </row>
    <row r="95" spans="2:20" ht="15.75" customHeight="1" collapsed="1">
      <c r="B95" s="1536"/>
      <c r="C95" s="1538" t="str">
        <f>'Outil détaillé'!C27</f>
        <v>F01.02 / F01.03</v>
      </c>
      <c r="D95" s="177" t="str">
        <f>'Outil détaillé'!D27</f>
        <v>Couvertures</v>
      </c>
      <c r="E95" s="177"/>
      <c r="F95" s="177">
        <f>MATCH(D95, 'Enveloppe du bâtiment hors terr'!B:B,0)</f>
        <v>153</v>
      </c>
      <c r="G95" s="177"/>
      <c r="H95" s="177"/>
      <c r="I95" s="177"/>
      <c r="J95" s="177"/>
      <c r="K95" s="289"/>
      <c r="L95" s="288"/>
      <c r="M95" s="288"/>
      <c r="N95" s="993">
        <f ca="1">N96+N106</f>
        <v>18.922593081977936</v>
      </c>
      <c r="O95" s="993">
        <f t="shared" ref="O95:S95" ca="1" si="77">O96+O106</f>
        <v>0</v>
      </c>
      <c r="P95" s="993">
        <f t="shared" ca="1" si="77"/>
        <v>0</v>
      </c>
      <c r="Q95" s="993">
        <f t="shared" ca="1" si="77"/>
        <v>20.094710560356724</v>
      </c>
      <c r="R95" s="993">
        <f t="shared" ca="1" si="77"/>
        <v>1.1721174783787891</v>
      </c>
      <c r="S95" s="993">
        <f t="shared" ca="1" si="77"/>
        <v>40.189421120713448</v>
      </c>
      <c r="T95" s="1053">
        <f ca="1">T96+T106</f>
        <v>0.93395304933571044</v>
      </c>
    </row>
    <row r="96" spans="2:20" ht="16.5" thickBot="1">
      <c r="B96" s="1536"/>
      <c r="C96" s="1539"/>
      <c r="D96" s="178" t="str">
        <f>'Outil détaillé'!D28</f>
        <v>Toiture couverture</v>
      </c>
      <c r="E96" s="179" t="str">
        <f>'Outil détaillé'!E28</f>
        <v>Toiture inclinée</v>
      </c>
      <c r="F96" s="179">
        <f ca="1">MATCH(E96, INDIRECT("'Enveloppe du bâtiment hors terr'!A"&amp;F95+1&amp;":A500"),0)+F95</f>
        <v>163</v>
      </c>
      <c r="G96" s="179"/>
      <c r="H96" s="179"/>
      <c r="I96" s="179"/>
      <c r="J96" s="179" t="s">
        <v>97</v>
      </c>
      <c r="K96" s="294">
        <f>'Outil détaillé'!J28</f>
        <v>371.42867317865921</v>
      </c>
      <c r="L96" s="295"/>
      <c r="M96" s="295"/>
      <c r="N96" s="994">
        <f ca="1">SUM(N97:N104)</f>
        <v>7.9621755716820841</v>
      </c>
      <c r="O96" s="994">
        <f t="shared" ref="O96:T96" ca="1" si="78">SUM(O97:O104)</f>
        <v>0</v>
      </c>
      <c r="P96" s="994">
        <f t="shared" ca="1" si="78"/>
        <v>0</v>
      </c>
      <c r="Q96" s="994">
        <f t="shared" ca="1" si="78"/>
        <v>8.5600835663356385</v>
      </c>
      <c r="R96" s="994">
        <f t="shared" ca="1" si="78"/>
        <v>0.59790799465355482</v>
      </c>
      <c r="S96" s="994">
        <f t="shared" ca="1" si="78"/>
        <v>17.120167132671277</v>
      </c>
      <c r="T96" s="1054">
        <f t="shared" ca="1" si="78"/>
        <v>0.93395304933571044</v>
      </c>
    </row>
    <row r="97" spans="2:20" ht="15.75" hidden="1" customHeight="1" outlineLevel="1">
      <c r="B97" s="1536"/>
      <c r="C97" s="1539"/>
      <c r="D97" s="178"/>
      <c r="E97" s="178"/>
      <c r="F97" s="178">
        <f t="shared" ref="F97" ca="1" si="79">IF(I97=0,2,F96+1)</f>
        <v>164</v>
      </c>
      <c r="G97" s="178" t="str" cm="1">
        <f t="array" aca="1" ref="G97" ca="1">INDEX( 'Enveloppe du bâtiment hors terr'!C:C, $F96)</f>
        <v>Konter- und Ziegellattung aus Nadelschnittholz [kg]</v>
      </c>
      <c r="H97" s="178" t="str" cm="1">
        <f t="array" aca="1" ref="H97" ca="1">INDEX( 'Enveloppe du bâtiment hors terr'!D:D, $F96)</f>
        <v>Bois massif épicéa / sapin / mélèze, séché à l'air, brut</v>
      </c>
      <c r="I97" s="178" t="str" cm="1">
        <f t="array" aca="1" ref="I97" ca="1">INDEX( 'Enveloppe du bâtiment hors terr'!F:F, $F96)</f>
        <v>07.009</v>
      </c>
      <c r="J97" s="178" t="str">
        <f ca="1">_xlfn.XLOOKUP($I97,'Baumaterialien Matériaux'!A:A,'Baumaterialien Matériaux'!G:G,0,0)</f>
        <v>kg</v>
      </c>
      <c r="K97" s="286">
        <f ca="1">M97*$K$96</f>
        <v>595.15608140587324</v>
      </c>
      <c r="L97" s="178" cm="1">
        <f t="array" aca="1" ref="L97" ca="1">INDEX( 'Enveloppe du bâtiment hors terr'!I:I, $F96)</f>
        <v>40</v>
      </c>
      <c r="M97" s="178" cm="1">
        <f t="array" aca="1" ref="M97" ca="1">INDEX( 'Enveloppe du bâtiment hors terr'!G:G, $F96)</f>
        <v>1.6023428571428571</v>
      </c>
      <c r="N97" s="999" cm="1">
        <f t="array" aca="1" ref="N97" ca="1">IFERROR(INDEX('Enveloppe du bâtiment hors terr'!L:L, $F96)*$K97/$M97,0)/$I$1</f>
        <v>5.5753481615638277E-2</v>
      </c>
      <c r="O97" s="996">
        <f t="shared" ref="O97:P104" ca="1" si="80">IF($L97=O$3,$N97+$R97,0)</f>
        <v>0</v>
      </c>
      <c r="P97" s="996">
        <f t="shared" ca="1" si="80"/>
        <v>0</v>
      </c>
      <c r="Q97" s="275" cm="1">
        <f t="array" aca="1" ref="Q97" ca="1">_xlfn.SWITCH(L97,Q$3,N97+R97,O$3,O97,0)</f>
        <v>7.9806421693181334E-2</v>
      </c>
      <c r="R97" s="999" cm="1">
        <f t="array" aca="1" ref="R97" ca="1">IFERROR(INDEX('Enveloppe du bâtiment hors terr'!M:M, $F96)*$K97/$M97,0)/$I$1</f>
        <v>2.4052940077543064E-2</v>
      </c>
      <c r="S97" s="997">
        <f t="shared" ref="S97:S104" ca="1" si="81">SUM(N97:R97)</f>
        <v>0.15961284338636267</v>
      </c>
      <c r="T97" s="996" cm="1">
        <f t="array" aca="1" ref="T97" ca="1">IFERROR(INDEX('Enveloppe du bâtiment hors terr'!N:N, $F96)*$K97/$M97,0)/$I$1</f>
        <v>0.93395304933571044</v>
      </c>
    </row>
    <row r="98" spans="2:20" ht="15.75" hidden="1" customHeight="1" outlineLevel="1">
      <c r="B98" s="1536"/>
      <c r="C98" s="1539"/>
      <c r="D98" s="178"/>
      <c r="E98" s="178"/>
      <c r="F98" s="178">
        <f t="shared" ref="F98:F104" ca="1" si="82">IF(I98=0,2,F97+1)</f>
        <v>165</v>
      </c>
      <c r="G98" s="178" t="str" cm="1">
        <f t="array" aca="1" ref="G98" ca="1">INDEX( 'Enveloppe du bâtiment hors terr'!C:C, $F97)</f>
        <v>Unterdachfolie: PP-Vlies [kg]</v>
      </c>
      <c r="H98" s="178" t="str" cm="1">
        <f t="array" aca="1" ref="H98" ca="1">INDEX( 'Enveloppe du bâtiment hors terr'!D:D, $F97)</f>
        <v>Voile de polyéthylène (PE)</v>
      </c>
      <c r="I98" s="178" t="str" cm="1">
        <f t="array" aca="1" ref="I98" ca="1">INDEX( 'Enveloppe du bâtiment hors terr'!F:F, $F97)</f>
        <v>09.008</v>
      </c>
      <c r="J98" s="178" t="str">
        <f ca="1">_xlfn.XLOOKUP($I98,'Baumaterialien Matériaux'!A:A,'Baumaterialien Matériaux'!G:G,0,0)</f>
        <v>kg</v>
      </c>
      <c r="K98" s="286">
        <f t="shared" ref="K98:K104" ca="1" si="83">M98*$K$96</f>
        <v>52.000014245012295</v>
      </c>
      <c r="L98" s="178" cm="1">
        <f t="array" aca="1" ref="L98" ca="1">INDEX( 'Enveloppe du bâtiment hors terr'!I:I, $F97)</f>
        <v>40</v>
      </c>
      <c r="M98" s="178" cm="1">
        <f t="array" aca="1" ref="M98" ca="1">INDEX( 'Enveloppe du bâtiment hors terr'!G:G, $F97)</f>
        <v>0.14000000000000001</v>
      </c>
      <c r="N98" s="999" cm="1">
        <f t="array" aca="1" ref="N98" ca="1">IFERROR(INDEX('Enveloppe du bâtiment hors terr'!L:L, $F97)*$K98/$M98,0)/$I$1</f>
        <v>0.15950263436812062</v>
      </c>
      <c r="O98" s="996">
        <f t="shared" ca="1" si="80"/>
        <v>0</v>
      </c>
      <c r="P98" s="996">
        <f t="shared" ca="1" si="80"/>
        <v>0</v>
      </c>
      <c r="Q98" s="275" cm="1">
        <f t="array" aca="1" ref="Q98" ca="1">_xlfn.SWITCH(L98,Q$3,N98+R98,O$3,O98,0)</f>
        <v>0.30337832145017535</v>
      </c>
      <c r="R98" s="999" cm="1">
        <f t="array" aca="1" ref="R98" ca="1">IFERROR(INDEX('Enveloppe du bâtiment hors terr'!M:M, $F97)*$K98/$M98,0)/$I$1</f>
        <v>0.14387568708205473</v>
      </c>
      <c r="S98" s="997">
        <f t="shared" ca="1" si="81"/>
        <v>0.6067566429003507</v>
      </c>
      <c r="T98" s="996" cm="1">
        <f t="array" aca="1" ref="T98" ca="1">IFERROR(INDEX('Enveloppe du bâtiment hors terr'!N:N, $F97)*$K98/$M98,0)/$I$1</f>
        <v>0</v>
      </c>
    </row>
    <row r="99" spans="2:20" ht="15.75" hidden="1" customHeight="1" outlineLevel="1">
      <c r="B99" s="1536"/>
      <c r="C99" s="1539"/>
      <c r="D99" s="178"/>
      <c r="E99" s="178"/>
      <c r="F99" s="178">
        <f t="shared" ca="1" si="82"/>
        <v>166</v>
      </c>
      <c r="G99" s="178" t="str" cm="1">
        <f t="array" aca="1" ref="G99" ca="1">INDEX( 'Enveloppe du bâtiment hors terr'!C:C, $F98)</f>
        <v>Ziegeleindeckeung [kg]</v>
      </c>
      <c r="H99" s="178" t="str" cm="1">
        <f t="array" aca="1" ref="H99" ca="1">INDEX( 'Enveloppe du bâtiment hors terr'!D:D, $F98)</f>
        <v>Tuile en terre cuite</v>
      </c>
      <c r="I99" s="178" t="str" cm="1">
        <f t="array" aca="1" ref="I99" ca="1">INDEX( 'Enveloppe du bâtiment hors terr'!F:F, $F98)</f>
        <v>03.015</v>
      </c>
      <c r="J99" s="178" t="str">
        <f ca="1">_xlfn.XLOOKUP($I99,'Baumaterialien Matériaux'!A:A,'Baumaterialien Matériaux'!G:G,0,0)</f>
        <v>kg</v>
      </c>
      <c r="K99" s="286">
        <f t="shared" ca="1" si="83"/>
        <v>18571.433658932961</v>
      </c>
      <c r="L99" s="178" cm="1">
        <f t="array" aca="1" ref="L99" ca="1">INDEX( 'Enveloppe du bâtiment hors terr'!I:I, $F98)</f>
        <v>40</v>
      </c>
      <c r="M99" s="178" cm="1">
        <f t="array" aca="1" ref="M99" ca="1">INDEX( 'Enveloppe du bâtiment hors terr'!G:G, $F98)</f>
        <v>50</v>
      </c>
      <c r="N99" s="999" cm="1">
        <f t="array" aca="1" ref="N99" ca="1">IFERROR(INDEX('Enveloppe du bâtiment hors terr'!L:L, $F98)*$K99/$M99,0)/$I$1</f>
        <v>7.1783883469243461</v>
      </c>
      <c r="O99" s="996">
        <f t="shared" ca="1" si="80"/>
        <v>0</v>
      </c>
      <c r="P99" s="996">
        <f t="shared" ca="1" si="80"/>
        <v>0</v>
      </c>
      <c r="Q99" s="275" cm="1">
        <f t="array" aca="1" ref="Q99" ca="1">_xlfn.SWITCH(L99,Q$3,N99+R99,O$3,O99,0)</f>
        <v>7.4227999608812878</v>
      </c>
      <c r="R99" s="999" cm="1">
        <f t="array" aca="1" ref="R99" ca="1">IFERROR(INDEX('Enveloppe du bâtiment hors terr'!M:M, $F98)*$K99/$M99,0)/$I$1</f>
        <v>0.24441161395694158</v>
      </c>
      <c r="S99" s="997">
        <f t="shared" ca="1" si="81"/>
        <v>14.845599921762576</v>
      </c>
      <c r="T99" s="996" cm="1">
        <f t="array" aca="1" ref="T99" ca="1">IFERROR(INDEX('Enveloppe du bâtiment hors terr'!N:N, $F98)*$K99/$M99,0)/$I$1</f>
        <v>0</v>
      </c>
    </row>
    <row r="100" spans="2:20" ht="15.75" hidden="1" customHeight="1" outlineLevel="1">
      <c r="B100" s="1536"/>
      <c r="C100" s="1539"/>
      <c r="D100" s="178"/>
      <c r="E100" s="178"/>
      <c r="F100" s="178">
        <f t="shared" ca="1" si="82"/>
        <v>167</v>
      </c>
      <c r="G100" s="178" t="str" cm="1">
        <f t="array" aca="1" ref="G100" ca="1">INDEX( 'Enveloppe du bâtiment hors terr'!C:C, $F99)</f>
        <v>Befestigung mit verzinkten Stahlschrauben [kg]</v>
      </c>
      <c r="H100" s="178" t="str" cm="1">
        <f t="array" aca="1" ref="H100" ca="1">INDEX( 'Enveloppe du bâtiment hors terr'!D:D, $F99)</f>
        <v>Tôle d'acier, zinguée</v>
      </c>
      <c r="I100" s="178" t="str" cm="1">
        <f t="array" aca="1" ref="I100" ca="1">INDEX( 'Enveloppe du bâtiment hors terr'!F:F, $F99)</f>
        <v>06.011</v>
      </c>
      <c r="J100" s="178" t="str">
        <f ca="1">_xlfn.XLOOKUP($I100,'Baumaterialien Matériaux'!A:A,'Baumaterialien Matériaux'!G:G,0,0)</f>
        <v>kg</v>
      </c>
      <c r="K100" s="286">
        <f t="shared" ca="1" si="83"/>
        <v>81.423064005235219</v>
      </c>
      <c r="L100" s="178" cm="1">
        <f t="array" aca="1" ref="L100" ca="1">INDEX( 'Enveloppe du bâtiment hors terr'!I:I, $F99)</f>
        <v>40</v>
      </c>
      <c r="M100" s="178" cm="1">
        <f t="array" aca="1" ref="M100" ca="1">INDEX( 'Enveloppe du bâtiment hors terr'!G:G, $F99)</f>
        <v>0.21921588150000007</v>
      </c>
      <c r="N100" s="999" cm="1">
        <f t="array" aca="1" ref="N100" ca="1">IFERROR(INDEX('Enveloppe du bâtiment hors terr'!L:L, $F99)*$K100/$M100,0)/$I$1</f>
        <v>0.37800551994140291</v>
      </c>
      <c r="O100" s="996">
        <f t="shared" ca="1" si="80"/>
        <v>0</v>
      </c>
      <c r="P100" s="996">
        <f t="shared" ca="1" si="80"/>
        <v>0</v>
      </c>
      <c r="Q100" s="275" cm="1">
        <f t="array" aca="1" ref="Q100" ca="1">_xlfn.SWITCH(L100,Q$3,N100+R100,O$3,O100,0)</f>
        <v>0.37859024723006229</v>
      </c>
      <c r="R100" s="999" cm="1">
        <f t="array" aca="1" ref="R100" ca="1">IFERROR(INDEX('Enveloppe du bâtiment hors terr'!M:M, $F99)*$K100/$M100,0)/$I$1</f>
        <v>5.8472728865935765E-4</v>
      </c>
      <c r="S100" s="997">
        <f t="shared" ca="1" si="81"/>
        <v>0.75718049446012448</v>
      </c>
      <c r="T100" s="996" cm="1">
        <f t="array" aca="1" ref="T100" ca="1">IFERROR(INDEX('Enveloppe du bâtiment hors terr'!N:N, $F99)*$K100/$M100,0)/$I$1</f>
        <v>0</v>
      </c>
    </row>
    <row r="101" spans="2:20" ht="15.75" hidden="1" customHeight="1" outlineLevel="1">
      <c r="B101" s="1536"/>
      <c r="C101" s="1539"/>
      <c r="D101" s="178"/>
      <c r="E101" s="178"/>
      <c r="F101" s="178">
        <f t="shared" ca="1" si="82"/>
        <v>168</v>
      </c>
      <c r="G101" s="178" t="str" cm="1">
        <f t="array" aca="1" ref="G101" ca="1">INDEX( 'Enveloppe du bâtiment hors terr'!C:C, $F100)</f>
        <v>PE Dampfbremse [kg]</v>
      </c>
      <c r="H101" s="178" t="str" cm="1">
        <f t="array" aca="1" ref="H101" ca="1">INDEX( 'Enveloppe du bâtiment hors terr'!D:D, $F100)</f>
        <v>Feuille de polyéthylène (PE)</v>
      </c>
      <c r="I101" s="178" t="str" cm="1">
        <f t="array" aca="1" ref="I101" ca="1">INDEX( 'Enveloppe du bâtiment hors terr'!F:F, $F100)</f>
        <v>09.007</v>
      </c>
      <c r="J101" s="178" t="str">
        <f ca="1">_xlfn.XLOOKUP($I101,'Baumaterialien Matériaux'!A:A,'Baumaterialien Matériaux'!G:G,0,0)</f>
        <v>kg</v>
      </c>
      <c r="K101" s="286">
        <f t="shared" ca="1" si="83"/>
        <v>66.857161172158655</v>
      </c>
      <c r="L101" s="178" cm="1">
        <f t="array" aca="1" ref="L101" ca="1">INDEX( 'Enveloppe du bâtiment hors terr'!I:I, $F100)</f>
        <v>40</v>
      </c>
      <c r="M101" s="178" cm="1">
        <f t="array" aca="1" ref="M101" ca="1">INDEX( 'Enveloppe du bâtiment hors terr'!G:G, $F100)</f>
        <v>0.18</v>
      </c>
      <c r="N101" s="999" cm="1">
        <f t="array" aca="1" ref="N101" ca="1">IFERROR(INDEX('Enveloppe du bâtiment hors terr'!L:L, $F100)*$K101/$M101,0)/$I$1</f>
        <v>0.19052558883257648</v>
      </c>
      <c r="O101" s="996">
        <f t="shared" ca="1" si="80"/>
        <v>0</v>
      </c>
      <c r="P101" s="996">
        <f t="shared" ca="1" si="80"/>
        <v>0</v>
      </c>
      <c r="Q101" s="275" cm="1">
        <f t="array" aca="1" ref="Q101" ca="1">_xlfn.SWITCH(L101,Q$3,N101+R101,O$3,O101,0)</f>
        <v>0.37550861508093258</v>
      </c>
      <c r="R101" s="999" cm="1">
        <f t="array" aca="1" ref="R101" ca="1">IFERROR(INDEX('Enveloppe du bâtiment hors terr'!M:M, $F100)*$K101/$M101,0)/$I$1</f>
        <v>0.18498302624835608</v>
      </c>
      <c r="S101" s="997">
        <f t="shared" ca="1" si="81"/>
        <v>0.75101723016186517</v>
      </c>
      <c r="T101" s="996" cm="1">
        <f t="array" aca="1" ref="T101" ca="1">IFERROR(INDEX('Enveloppe du bâtiment hors terr'!N:N, $F100)*$K101/$M101,0)/$I$1</f>
        <v>0</v>
      </c>
    </row>
    <row r="102" spans="2:20" ht="15.75" hidden="1" customHeight="1" outlineLevel="1">
      <c r="B102" s="1536"/>
      <c r="C102" s="1539"/>
      <c r="D102" s="178"/>
      <c r="E102" s="178"/>
      <c r="F102" s="178">
        <f t="shared" ca="1" si="82"/>
        <v>2</v>
      </c>
      <c r="G102" s="178" cm="1">
        <f t="array" aca="1" ref="G102" ca="1">INDEX( 'Enveloppe du bâtiment hors terr'!C:C, $F101)</f>
        <v>0</v>
      </c>
      <c r="H102" s="178" cm="1">
        <f t="array" aca="1" ref="H102" ca="1">INDEX( 'Enveloppe du bâtiment hors terr'!D:D, $F101)</f>
        <v>0</v>
      </c>
      <c r="I102" s="178" cm="1">
        <f t="array" aca="1" ref="I102" ca="1">INDEX( 'Enveloppe du bâtiment hors terr'!F:F, $F101)</f>
        <v>0</v>
      </c>
      <c r="J102" s="178">
        <f ca="1">_xlfn.XLOOKUP($I102,'Baumaterialien Matériaux'!A:A,'Baumaterialien Matériaux'!G:G,0,0)</f>
        <v>0</v>
      </c>
      <c r="K102" s="286">
        <f t="shared" ca="1" si="83"/>
        <v>0</v>
      </c>
      <c r="L102" s="178" cm="1">
        <f t="array" aca="1" ref="L102" ca="1">INDEX( 'Enveloppe du bâtiment hors terr'!I:I, $F101)</f>
        <v>40</v>
      </c>
      <c r="M102" s="178" cm="1">
        <f t="array" aca="1" ref="M102" ca="1">INDEX( 'Enveloppe du bâtiment hors terr'!G:G, $F101)</f>
        <v>0</v>
      </c>
      <c r="N102" s="999" cm="1">
        <f t="array" aca="1" ref="N102" ca="1">IFERROR(INDEX('Enveloppe du bâtiment hors terr'!L:L, $F101)*$K102/$M102,0)/$I$1</f>
        <v>0</v>
      </c>
      <c r="O102" s="996">
        <f t="shared" ca="1" si="80"/>
        <v>0</v>
      </c>
      <c r="P102" s="996">
        <f t="shared" ca="1" si="80"/>
        <v>0</v>
      </c>
      <c r="Q102" s="275" cm="1">
        <f t="array" aca="1" ref="Q102" ca="1">_xlfn.SWITCH(L102,Q$3,N102+R102,O$3,O102,0)</f>
        <v>0</v>
      </c>
      <c r="R102" s="999" cm="1">
        <f t="array" aca="1" ref="R102" ca="1">IFERROR(INDEX('Enveloppe du bâtiment hors terr'!M:M, $F101)*$K102/$M102,0)/$I$1</f>
        <v>0</v>
      </c>
      <c r="S102" s="997">
        <f t="shared" ca="1" si="81"/>
        <v>0</v>
      </c>
      <c r="T102" s="996" cm="1">
        <f t="array" aca="1" ref="T102" ca="1">IFERROR(INDEX('Enveloppe du bâtiment hors terr'!N:N, $F101)*$K102/$M102,0)/$I$1</f>
        <v>0</v>
      </c>
    </row>
    <row r="103" spans="2:20" ht="15.75" hidden="1" customHeight="1" outlineLevel="1">
      <c r="B103" s="1536"/>
      <c r="C103" s="1539"/>
      <c r="D103" s="178"/>
      <c r="E103" s="178"/>
      <c r="F103" s="178">
        <f t="shared" ca="1" si="82"/>
        <v>2</v>
      </c>
      <c r="G103" s="178" cm="1">
        <f t="array" aca="1" ref="G103" ca="1">INDEX( 'Enveloppe du bâtiment hors terr'!C:C, $F102)</f>
        <v>0</v>
      </c>
      <c r="H103" s="178" cm="1">
        <f t="array" aca="1" ref="H103" ca="1">INDEX( 'Enveloppe du bâtiment hors terr'!D:D, $F102)</f>
        <v>0</v>
      </c>
      <c r="I103" s="178" cm="1">
        <f t="array" aca="1" ref="I103" ca="1">INDEX( 'Enveloppe du bâtiment hors terr'!F:F, $F102)</f>
        <v>0</v>
      </c>
      <c r="J103" s="178">
        <f ca="1">_xlfn.XLOOKUP($I103,'Baumaterialien Matériaux'!A:A,'Baumaterialien Matériaux'!G:G,0,0)</f>
        <v>0</v>
      </c>
      <c r="K103" s="286">
        <f t="shared" ca="1" si="83"/>
        <v>0</v>
      </c>
      <c r="L103" s="178" cm="1">
        <f t="array" aca="1" ref="L103" ca="1">INDEX( 'Enveloppe du bâtiment hors terr'!I:I, $F102)</f>
        <v>0</v>
      </c>
      <c r="M103" s="178" cm="1">
        <f t="array" aca="1" ref="M103" ca="1">INDEX( 'Enveloppe du bâtiment hors terr'!G:G, $F102)</f>
        <v>0</v>
      </c>
      <c r="N103" s="999" cm="1">
        <f t="array" aca="1" ref="N103" ca="1">IFERROR(INDEX('Enveloppe du bâtiment hors terr'!L:L, $F102)*$K103/$M103,0)/$I$1</f>
        <v>0</v>
      </c>
      <c r="O103" s="996">
        <f t="shared" ca="1" si="80"/>
        <v>0</v>
      </c>
      <c r="P103" s="996">
        <f t="shared" ca="1" si="80"/>
        <v>0</v>
      </c>
      <c r="Q103" s="275" cm="1">
        <f t="array" aca="1" ref="Q103" ca="1">_xlfn.SWITCH(L103,Q$3,N103+R103,O$3,O103,0)</f>
        <v>0</v>
      </c>
      <c r="R103" s="999" cm="1">
        <f t="array" aca="1" ref="R103" ca="1">IFERROR(INDEX('Enveloppe du bâtiment hors terr'!M:M, $F102)*$K103/$M103,0)/$I$1</f>
        <v>0</v>
      </c>
      <c r="S103" s="997">
        <f t="shared" ca="1" si="81"/>
        <v>0</v>
      </c>
      <c r="T103" s="996" cm="1">
        <f t="array" aca="1" ref="T103" ca="1">IFERROR(INDEX('Enveloppe du bâtiment hors terr'!N:N, $F102)*$K103/$M103,0)/$I$1</f>
        <v>0</v>
      </c>
    </row>
    <row r="104" spans="2:20" ht="15.75" hidden="1" customHeight="1" outlineLevel="1">
      <c r="B104" s="1536"/>
      <c r="C104" s="1540"/>
      <c r="D104" s="178"/>
      <c r="E104" s="178"/>
      <c r="F104" s="178">
        <f t="shared" ca="1" si="82"/>
        <v>2</v>
      </c>
      <c r="G104" s="178" cm="1">
        <f t="array" aca="1" ref="G104" ca="1">INDEX( 'Enveloppe du bâtiment hors terr'!C:C, $F103)</f>
        <v>0</v>
      </c>
      <c r="H104" s="178" cm="1">
        <f t="array" aca="1" ref="H104" ca="1">INDEX( 'Enveloppe du bâtiment hors terr'!D:D, $F103)</f>
        <v>0</v>
      </c>
      <c r="I104" s="178" cm="1">
        <f t="array" aca="1" ref="I104" ca="1">INDEX( 'Enveloppe du bâtiment hors terr'!F:F, $F103)</f>
        <v>0</v>
      </c>
      <c r="J104" s="178">
        <f ca="1">_xlfn.XLOOKUP($I104,'Baumaterialien Matériaux'!A:A,'Baumaterialien Matériaux'!G:G,0,0)</f>
        <v>0</v>
      </c>
      <c r="K104" s="286">
        <f t="shared" ca="1" si="83"/>
        <v>0</v>
      </c>
      <c r="L104" s="178" cm="1">
        <f t="array" aca="1" ref="L104" ca="1">INDEX( 'Enveloppe du bâtiment hors terr'!I:I, $F103)</f>
        <v>0</v>
      </c>
      <c r="M104" s="178" cm="1">
        <f t="array" aca="1" ref="M104" ca="1">INDEX( 'Enveloppe du bâtiment hors terr'!G:G, $F103)</f>
        <v>0</v>
      </c>
      <c r="N104" s="999" cm="1">
        <f t="array" aca="1" ref="N104" ca="1">IFERROR(INDEX('Enveloppe du bâtiment hors terr'!L:L, $F103)*$K104/$M104,0)/$I$1</f>
        <v>0</v>
      </c>
      <c r="O104" s="996">
        <f t="shared" ca="1" si="80"/>
        <v>0</v>
      </c>
      <c r="P104" s="996">
        <f t="shared" ca="1" si="80"/>
        <v>0</v>
      </c>
      <c r="Q104" s="275" cm="1">
        <f t="array" aca="1" ref="Q104" ca="1">_xlfn.SWITCH(L104,Q$3,N104+R104,O$3,O104,0)</f>
        <v>0</v>
      </c>
      <c r="R104" s="999" cm="1">
        <f t="array" aca="1" ref="R104" ca="1">IFERROR(INDEX('Enveloppe du bâtiment hors terr'!M:M, $F103)*$K104/$M104,0)/$I$1</f>
        <v>0</v>
      </c>
      <c r="S104" s="997">
        <f t="shared" ca="1" si="81"/>
        <v>0</v>
      </c>
      <c r="T104" s="996" cm="1">
        <f t="array" aca="1" ref="T104" ca="1">IFERROR(INDEX('Enveloppe du bâtiment hors terr'!N:N, $F103)*$K104/$M104,0)/$I$1</f>
        <v>0</v>
      </c>
    </row>
    <row r="105" spans="2:20" ht="15.75" hidden="1" customHeight="1" outlineLevel="1">
      <c r="B105" s="1536"/>
      <c r="C105" s="1175"/>
      <c r="E105" s="760"/>
      <c r="F105" s="760">
        <f>MATCH(D106, 'Enveloppe du bâtiment hors terr'!B:B,0)</f>
        <v>196</v>
      </c>
      <c r="G105" s="760"/>
      <c r="H105" s="760"/>
      <c r="I105" s="760"/>
      <c r="J105" s="760"/>
      <c r="K105" s="764"/>
      <c r="L105" s="760"/>
      <c r="M105" s="760"/>
      <c r="N105" s="1285"/>
      <c r="O105" s="1286"/>
      <c r="P105" s="1286"/>
      <c r="Q105" s="1286"/>
      <c r="R105" s="1285"/>
      <c r="S105" s="1000"/>
      <c r="T105" s="1286"/>
    </row>
    <row r="106" spans="2:20" ht="15.75" hidden="1" customHeight="1" outlineLevel="1">
      <c r="B106" s="1536"/>
      <c r="C106" s="1175"/>
      <c r="D106" s="178" t="str">
        <f>'Outil détaillé'!D29</f>
        <v>Toiture inclinée isolant</v>
      </c>
      <c r="E106" s="760" t="str">
        <f>'Outil détaillé'!E29</f>
        <v>Laine de roche</v>
      </c>
      <c r="F106" s="760">
        <f ca="1">MATCH(E106, INDIRECT("'Enveloppe du bâtiment hors terr'!A"&amp;F105+1&amp;":A500"),0)+F105</f>
        <v>199</v>
      </c>
      <c r="G106" s="760"/>
      <c r="H106" s="760"/>
      <c r="I106" s="760"/>
      <c r="J106" s="760" t="s">
        <v>97</v>
      </c>
      <c r="K106" s="764">
        <f>'Outil détaillé'!J29</f>
        <v>371.42867317865921</v>
      </c>
      <c r="L106" s="1287"/>
      <c r="M106" s="1287"/>
      <c r="N106" s="1000">
        <f ca="1">SUM(N107:N108)</f>
        <v>10.960417510295853</v>
      </c>
      <c r="O106" s="1000">
        <f t="shared" ref="O106:T106" ca="1" si="84">SUM(O107:O108)</f>
        <v>0</v>
      </c>
      <c r="P106" s="1000">
        <f t="shared" ca="1" si="84"/>
        <v>0</v>
      </c>
      <c r="Q106" s="1000">
        <f t="shared" ca="1" si="84"/>
        <v>11.534626994021087</v>
      </c>
      <c r="R106" s="1000">
        <f t="shared" ca="1" si="84"/>
        <v>0.57420948372523417</v>
      </c>
      <c r="S106" s="1000">
        <f t="shared" ca="1" si="84"/>
        <v>23.069253988042174</v>
      </c>
      <c r="T106" s="1000">
        <f t="shared" ca="1" si="84"/>
        <v>0</v>
      </c>
    </row>
    <row r="107" spans="2:20" ht="15.75" hidden="1" customHeight="1" outlineLevel="1">
      <c r="B107" s="1536"/>
      <c r="C107" s="1175"/>
      <c r="D107" s="178"/>
      <c r="E107" s="178"/>
      <c r="F107" s="178">
        <f t="shared" ref="F107:F108" ca="1" si="85">IF(I107=0,2,F106+1)</f>
        <v>200</v>
      </c>
      <c r="G107" s="178" t="str" cm="1">
        <f t="array" aca="1" ref="G107" ca="1">INDEX( 'Enveloppe du bâtiment hors terr'!C:C, $F106)</f>
        <v>Steinwolle 28 cm, 90 kg/m3</v>
      </c>
      <c r="H107" s="178" t="str" cm="1">
        <f t="array" aca="1" ref="H107" ca="1">INDEX( 'Enveloppe du bâtiment hors terr'!D:D, $F106)</f>
        <v>Laine de roche</v>
      </c>
      <c r="I107" s="178" t="str" cm="1">
        <f t="array" aca="1" ref="I107" ca="1">INDEX( 'Enveloppe du bâtiment hors terr'!F:F, $F106)</f>
        <v>10.008</v>
      </c>
      <c r="J107" s="178" t="str">
        <f ca="1">_xlfn.XLOOKUP($I107,'Baumaterialien Matériaux'!A:A,'Baumaterialien Matériaux'!G:G,0,0)</f>
        <v>kg</v>
      </c>
      <c r="K107" s="286">
        <f ca="1">M107*$K$96</f>
        <v>9360.002564102213</v>
      </c>
      <c r="L107" s="178" cm="1">
        <f t="array" aca="1" ref="L107" ca="1">INDEX( 'Enveloppe du bâtiment hors terr'!I:I, $F106)</f>
        <v>40</v>
      </c>
      <c r="M107" s="178" cm="1">
        <f t="array" aca="1" ref="M107" ca="1">INDEX( 'Enveloppe du bâtiment hors terr'!G:G, $F106)</f>
        <v>25.200000000000003</v>
      </c>
      <c r="N107" s="999" cm="1">
        <f t="array" aca="1" ref="N107" ca="1">IFERROR(INDEX('Enveloppe du bâtiment hors terr'!L:L, $F106)*$K107/$M107,0)/$I$1</f>
        <v>10.960417510295853</v>
      </c>
      <c r="O107" s="996">
        <f t="shared" ref="O107:P108" ca="1" si="86">IF($L107=O$3,$N107+$R107,0)</f>
        <v>0</v>
      </c>
      <c r="P107" s="996">
        <f t="shared" ca="1" si="86"/>
        <v>0</v>
      </c>
      <c r="Q107" s="275" cm="1">
        <f t="array" aca="1" ref="Q107" ca="1">_xlfn.SWITCH(L107,Q$3,N107+R107,O$3,O107,0)</f>
        <v>11.534626994021087</v>
      </c>
      <c r="R107" s="999" cm="1">
        <f t="array" aca="1" ref="R107" ca="1">IFERROR(INDEX('Enveloppe du bâtiment hors terr'!M:M, $F106)*$K107/$M107,0)/$I$1</f>
        <v>0.57420948372523417</v>
      </c>
      <c r="S107" s="997">
        <f t="shared" ref="S107:S108" ca="1" si="87">SUM(N107:R107)</f>
        <v>23.069253988042174</v>
      </c>
      <c r="T107" s="996" cm="1">
        <f t="array" aca="1" ref="T107" ca="1">IFERROR(INDEX('Enveloppe du bâtiment hors terr'!N:N, $F106)*$K107/$M107,0)/$I$1</f>
        <v>0</v>
      </c>
    </row>
    <row r="108" spans="2:20" ht="15.75" hidden="1" customHeight="1" outlineLevel="1" thickBot="1">
      <c r="B108" s="1537"/>
      <c r="C108" s="1267"/>
      <c r="D108" s="732"/>
      <c r="E108" s="732"/>
      <c r="F108" s="178">
        <f t="shared" ca="1" si="85"/>
        <v>2</v>
      </c>
      <c r="G108" s="178" cm="1">
        <f t="array" aca="1" ref="G108" ca="1">INDEX( 'Enveloppe du bâtiment hors terr'!C:C, $F107)</f>
        <v>0</v>
      </c>
      <c r="H108" s="178" cm="1">
        <f t="array" aca="1" ref="H108" ca="1">INDEX( 'Enveloppe du bâtiment hors terr'!D:D, $F107)</f>
        <v>0</v>
      </c>
      <c r="I108" s="178" cm="1">
        <f t="array" aca="1" ref="I108" ca="1">INDEX( 'Enveloppe du bâtiment hors terr'!F:F, $F107)</f>
        <v>0</v>
      </c>
      <c r="J108" s="178">
        <f ca="1">_xlfn.XLOOKUP($I108,'Baumaterialien Matériaux'!A:A,'Baumaterialien Matériaux'!G:G,0,0)</f>
        <v>0</v>
      </c>
      <c r="K108" s="286">
        <f t="shared" ref="K108" ca="1" si="88">M108*$K$96</f>
        <v>0</v>
      </c>
      <c r="L108" s="178" cm="1">
        <f t="array" aca="1" ref="L108" ca="1">INDEX( 'Enveloppe du bâtiment hors terr'!I:I, $F107)</f>
        <v>0</v>
      </c>
      <c r="M108" s="178" cm="1">
        <f t="array" aca="1" ref="M108" ca="1">INDEX( 'Enveloppe du bâtiment hors terr'!G:G, $F107)</f>
        <v>0</v>
      </c>
      <c r="N108" s="999" cm="1">
        <f t="array" aca="1" ref="N108" ca="1">IFERROR(INDEX('Enveloppe du bâtiment hors terr'!L:L, $F107)*$K108/$M108,0)/$I$1</f>
        <v>0</v>
      </c>
      <c r="O108" s="996">
        <f t="shared" ca="1" si="86"/>
        <v>0</v>
      </c>
      <c r="P108" s="996">
        <f t="shared" ca="1" si="86"/>
        <v>0</v>
      </c>
      <c r="Q108" s="275" cm="1">
        <f t="array" aca="1" ref="Q108" ca="1">_xlfn.SWITCH(L108,Q$3,N108+R108,O$3,O108,0)</f>
        <v>0</v>
      </c>
      <c r="R108" s="999" cm="1">
        <f t="array" aca="1" ref="R108" ca="1">IFERROR(INDEX('Enveloppe du bâtiment hors terr'!M:M, $F107)*$K108/$M108,0)/$I$1</f>
        <v>0</v>
      </c>
      <c r="S108" s="997">
        <f t="shared" ca="1" si="87"/>
        <v>0</v>
      </c>
      <c r="T108" s="996" cm="1">
        <f t="array" aca="1" ref="T108" ca="1">IFERROR(INDEX('Enveloppe du bâtiment hors terr'!N:N, $F107)*$K108/$M108,0)/$I$1</f>
        <v>0</v>
      </c>
    </row>
    <row r="109" spans="2:20" ht="15.6" customHeight="1" collapsed="1">
      <c r="B109" s="1535" t="s">
        <v>616</v>
      </c>
      <c r="C109" s="1544" t="str">
        <f>'Outil détaillé'!C30</f>
        <v>C02.02</v>
      </c>
      <c r="D109" s="726" t="str">
        <f>'Outil détaillé'!D30</f>
        <v>Parois intérieures</v>
      </c>
      <c r="E109" s="726"/>
      <c r="F109" s="726">
        <f>MATCH(D109, 'Eléments de constr. inté. et ex'!B:B,0)</f>
        <v>3</v>
      </c>
      <c r="G109" s="726"/>
      <c r="H109" s="726"/>
      <c r="I109" s="726"/>
      <c r="J109" s="726"/>
      <c r="K109" s="1261"/>
      <c r="L109" s="1254"/>
      <c r="M109" s="1254"/>
      <c r="N109" s="1255">
        <f t="shared" ref="N109" ca="1" si="89">N110+N119+N128</f>
        <v>34.911243845972081</v>
      </c>
      <c r="O109" s="1255">
        <f t="shared" ref="O109:T109" ca="1" si="90">O110+O119+O128</f>
        <v>0</v>
      </c>
      <c r="P109" s="1255">
        <f t="shared" ca="1" si="90"/>
        <v>12.196985313600001</v>
      </c>
      <c r="Q109" s="1255">
        <f t="shared" ca="1" si="90"/>
        <v>0</v>
      </c>
      <c r="R109" s="1255">
        <f t="shared" ca="1" si="90"/>
        <v>2.9933407163933072</v>
      </c>
      <c r="S109" s="1255">
        <f t="shared" ca="1" si="90"/>
        <v>50.101569875965382</v>
      </c>
      <c r="T109" s="1256">
        <f t="shared" ca="1" si="90"/>
        <v>44.606246613471505</v>
      </c>
    </row>
    <row r="110" spans="2:20" ht="15.75">
      <c r="B110" s="1536"/>
      <c r="C110" s="1539"/>
      <c r="D110" s="178" t="s">
        <v>551</v>
      </c>
      <c r="E110" s="179" t="str">
        <f>'Outil détaillé'!E31</f>
        <v>Paroi CLT</v>
      </c>
      <c r="F110" s="928">
        <f ca="1">MATCH(E110, INDIRECT("'Eléments de constr. inté. et ex'!A"&amp;F109+1&amp;":A500"),0)+F109</f>
        <v>10</v>
      </c>
      <c r="G110" s="179"/>
      <c r="H110" s="179"/>
      <c r="I110" s="179"/>
      <c r="J110" s="595" t="s">
        <v>97</v>
      </c>
      <c r="K110" s="294">
        <f>'Outil détaillé'!J31</f>
        <v>386</v>
      </c>
      <c r="L110" s="295"/>
      <c r="M110" s="295"/>
      <c r="N110" s="994">
        <f t="shared" ref="N110" ca="1" si="91">SUM(N111:N118)</f>
        <v>13.853419200000001</v>
      </c>
      <c r="O110" s="994">
        <f t="shared" ref="O110:T110" ca="1" si="92">SUM(O111:O118)</f>
        <v>0</v>
      </c>
      <c r="P110" s="994">
        <f t="shared" ca="1" si="92"/>
        <v>0</v>
      </c>
      <c r="Q110" s="994">
        <f t="shared" ca="1" si="92"/>
        <v>0</v>
      </c>
      <c r="R110" s="994">
        <f t="shared" ca="1" si="92"/>
        <v>1.6027718400000002</v>
      </c>
      <c r="S110" s="994">
        <f t="shared" ca="1" si="92"/>
        <v>15.45619104</v>
      </c>
      <c r="T110" s="1054">
        <f t="shared" ca="1" si="92"/>
        <v>41.426668800000002</v>
      </c>
    </row>
    <row r="111" spans="2:20" ht="15.75" hidden="1" outlineLevel="1">
      <c r="B111" s="1536"/>
      <c r="C111" s="1539"/>
      <c r="D111" s="178"/>
      <c r="E111" s="178"/>
      <c r="F111" s="178">
        <f ca="1">IF(I111=0,2,F110+1)</f>
        <v>11</v>
      </c>
      <c r="G111" s="178" t="str" cm="1">
        <f t="array" aca="1" ref="G111" ca="1">INDEX( 'Eléments de constr. inté. et ex'!C:C, $F110)</f>
        <v>2 x 72 mm CLT</v>
      </c>
      <c r="H111" s="178" t="str" cm="1">
        <f t="array" aca="1" ref="H111" ca="1">INDEX( 'Eléments de constr. inté. et ex'!D:D, $F110)</f>
        <v>Bois massif 3 et 5 plis</v>
      </c>
      <c r="I111" s="178" t="str" cm="1">
        <f t="array" aca="1" ref="I111" ca="1">INDEX( 'Eléments de constr. inté. et ex'!F:F, $F110)</f>
        <v>07.001</v>
      </c>
      <c r="J111" s="178" t="str">
        <f ca="1">_xlfn.XLOOKUP($I111,'Baumaterialien Matériaux'!A:A,'Baumaterialien Matériaux'!G:G,0,0)</f>
        <v>kg</v>
      </c>
      <c r="K111" s="286">
        <f ca="1">M111*$K$110</f>
        <v>25179.552</v>
      </c>
      <c r="L111" s="178" cm="1">
        <f t="array" aca="1" ref="L111" ca="1">INDEX( 'Eléments de constr. inté. et ex'!I:I, $F110)</f>
        <v>60</v>
      </c>
      <c r="M111" s="178" cm="1">
        <f t="array" aca="1" ref="M111" ca="1">INDEX( 'Eléments de constr. inté. et ex'!G:G, $F110)</f>
        <v>65.231999999999999</v>
      </c>
      <c r="N111" s="999" cm="1">
        <f t="array" aca="1" ref="N111" ca="1">IFERROR(INDEX('Eléments de constr. inté. et ex'!L:L, $F110)*$K111/$M111,0)/$I$1</f>
        <v>10.802419200000001</v>
      </c>
      <c r="O111" s="996">
        <f t="shared" ref="O111:P118" ca="1" si="93">IF($L111=O$3,$N111+$R111,0)</f>
        <v>0</v>
      </c>
      <c r="P111" s="996">
        <f t="shared" ca="1" si="93"/>
        <v>0</v>
      </c>
      <c r="Q111" s="275" cm="1">
        <f t="array" aca="1" ref="Q111" ca="1">_xlfn.SWITCH(L111,Q$3,N111+R111,O$3,O111,0)</f>
        <v>0</v>
      </c>
      <c r="R111" s="999" cm="1">
        <f t="array" aca="1" ref="R111" ca="1">IFERROR(INDEX('Eléments de constr. inté. et ex'!M:M, $F110)*$K111/$M111,0)/$I$1</f>
        <v>1.4429318400000002</v>
      </c>
      <c r="S111" s="997">
        <f t="shared" ref="S111:S118" ca="1" si="94">SUM(N111:R111)</f>
        <v>12.245351040000001</v>
      </c>
      <c r="T111" s="996" cm="1">
        <f t="array" aca="1" ref="T111" ca="1">IFERROR(INDEX('Eléments de constr. inté. et ex'!N:N, $F110)*$K111/$M111,0)/$I$1</f>
        <v>41.426668800000002</v>
      </c>
    </row>
    <row r="112" spans="2:20" ht="15.75" hidden="1" outlineLevel="1">
      <c r="B112" s="1536"/>
      <c r="C112" s="1539"/>
      <c r="D112" s="178"/>
      <c r="E112" s="178"/>
      <c r="F112" s="178">
        <f t="shared" ref="F112:F118" ca="1" si="95">IF(I112=0,2,F111+1)</f>
        <v>12</v>
      </c>
      <c r="G112" s="178" t="str" cm="1">
        <f t="array" aca="1" ref="G112" ca="1">INDEX( 'Eléments de constr. inté. et ex'!C:C, $F111)</f>
        <v>Steinwolle [kg]</v>
      </c>
      <c r="H112" s="178" t="str" cm="1">
        <f t="array" aca="1" ref="H112" ca="1">INDEX( 'Eléments de constr. inté. et ex'!D:D, $F111)</f>
        <v>Laine de roche</v>
      </c>
      <c r="I112" s="178" t="str" cm="1">
        <f t="array" aca="1" ref="I112" ca="1">INDEX( 'Eléments de constr. inté. et ex'!F:F, $F111)</f>
        <v>10.008</v>
      </c>
      <c r="J112" s="178" t="str">
        <f ca="1">_xlfn.XLOOKUP($I112,'Baumaterialien Matériaux'!A:A,'Baumaterialien Matériaux'!G:G,0,0)</f>
        <v>kg</v>
      </c>
      <c r="K112" s="286">
        <f t="shared" ref="K112:K118" ca="1" si="96">M112*$K$110</f>
        <v>2605.5</v>
      </c>
      <c r="L112" s="178" cm="1">
        <f t="array" aca="1" ref="L112" ca="1">INDEX( 'Eléments de constr. inté. et ex'!I:I, $F111)</f>
        <v>60</v>
      </c>
      <c r="M112" s="178" cm="1">
        <f t="array" aca="1" ref="M112" ca="1">INDEX( 'Eléments de constr. inté. et ex'!G:G, $F111)</f>
        <v>6.75</v>
      </c>
      <c r="N112" s="999" cm="1">
        <f t="array" aca="1" ref="N112" ca="1">IFERROR(INDEX('Eléments de constr. inté. et ex'!L:L, $F111)*$K112/$M112,0)/$I$1</f>
        <v>3.0509999999999997</v>
      </c>
      <c r="O112" s="996">
        <f t="shared" ca="1" si="93"/>
        <v>0</v>
      </c>
      <c r="P112" s="996">
        <f t="shared" ca="1" si="93"/>
        <v>0</v>
      </c>
      <c r="Q112" s="275" cm="1">
        <f t="array" aca="1" ref="Q112" ca="1">_xlfn.SWITCH(L112,Q$3,N112+R112,O$3,O112,0)</f>
        <v>0</v>
      </c>
      <c r="R112" s="999" cm="1">
        <f t="array" aca="1" ref="R112" ca="1">IFERROR(INDEX('Eléments de constr. inté. et ex'!M:M, $F111)*$K112/$M112,0)/$I$1</f>
        <v>0.15983999999999998</v>
      </c>
      <c r="S112" s="997">
        <f t="shared" ca="1" si="94"/>
        <v>3.2108399999999997</v>
      </c>
      <c r="T112" s="996" cm="1">
        <f t="array" aca="1" ref="T112" ca="1">IFERROR(INDEX('Eléments de constr. inté. et ex'!N:N, $F111)*$K112/$M112,0)/$I$1</f>
        <v>0</v>
      </c>
    </row>
    <row r="113" spans="2:20" ht="15.75" hidden="1" outlineLevel="1">
      <c r="B113" s="1536"/>
      <c r="C113" s="1539"/>
      <c r="D113" s="178"/>
      <c r="E113" s="178"/>
      <c r="F113" s="178">
        <f t="shared" ca="1" si="95"/>
        <v>2</v>
      </c>
      <c r="G113" s="178" cm="1">
        <f t="array" aca="1" ref="G113" ca="1">INDEX( 'Eléments de constr. inté. et ex'!C:C, $F112)</f>
        <v>0</v>
      </c>
      <c r="H113" s="178" cm="1">
        <f t="array" aca="1" ref="H113" ca="1">INDEX( 'Eléments de constr. inté. et ex'!D:D, $F112)</f>
        <v>0</v>
      </c>
      <c r="I113" s="178" cm="1">
        <f t="array" aca="1" ref="I113" ca="1">INDEX( 'Eléments de constr. inté. et ex'!F:F, $F112)</f>
        <v>0</v>
      </c>
      <c r="J113" s="178">
        <f ca="1">_xlfn.XLOOKUP($I113,'Baumaterialien Matériaux'!A:A,'Baumaterialien Matériaux'!G:G,0,0)</f>
        <v>0</v>
      </c>
      <c r="K113" s="286">
        <f t="shared" ca="1" si="96"/>
        <v>0</v>
      </c>
      <c r="L113" s="178" cm="1">
        <f t="array" aca="1" ref="L113" ca="1">INDEX( 'Eléments de constr. inté. et ex'!I:I, $F112)</f>
        <v>0</v>
      </c>
      <c r="M113" s="178" cm="1">
        <f t="array" aca="1" ref="M113" ca="1">INDEX( 'Eléments de constr. inté. et ex'!G:G, $F112)</f>
        <v>0</v>
      </c>
      <c r="N113" s="999" cm="1">
        <f t="array" aca="1" ref="N113" ca="1">IFERROR(INDEX('Eléments de constr. inté. et ex'!L:L, $F112)*$K113/$M113,0)/$I$1</f>
        <v>0</v>
      </c>
      <c r="O113" s="996">
        <f t="shared" ca="1" si="93"/>
        <v>0</v>
      </c>
      <c r="P113" s="996">
        <f t="shared" ca="1" si="93"/>
        <v>0</v>
      </c>
      <c r="Q113" s="275" cm="1">
        <f t="array" aca="1" ref="Q113" ca="1">_xlfn.SWITCH(L113,Q$3,N113+R113,O$3,O113,0)</f>
        <v>0</v>
      </c>
      <c r="R113" s="999" cm="1">
        <f t="array" aca="1" ref="R113" ca="1">IFERROR(INDEX('Eléments de constr. inté. et ex'!M:M, $F112)*$K113/$M113,0)/$I$1</f>
        <v>0</v>
      </c>
      <c r="S113" s="997">
        <f t="shared" ca="1" si="94"/>
        <v>0</v>
      </c>
      <c r="T113" s="996" cm="1">
        <f t="array" aca="1" ref="T113" ca="1">IFERROR(INDEX('Eléments de constr. inté. et ex'!N:N, $F112)*$K113/$M113,0)/$I$1</f>
        <v>0</v>
      </c>
    </row>
    <row r="114" spans="2:20" ht="15.75" hidden="1" outlineLevel="1">
      <c r="B114" s="1536"/>
      <c r="C114" s="1539"/>
      <c r="D114" s="178"/>
      <c r="E114" s="178"/>
      <c r="F114" s="178">
        <f t="shared" ca="1" si="95"/>
        <v>2</v>
      </c>
      <c r="G114" s="178" cm="1">
        <f t="array" aca="1" ref="G114" ca="1">INDEX( 'Eléments de constr. inté. et ex'!C:C, $F113)</f>
        <v>0</v>
      </c>
      <c r="H114" s="178" cm="1">
        <f t="array" aca="1" ref="H114" ca="1">INDEX( 'Eléments de constr. inté. et ex'!D:D, $F113)</f>
        <v>0</v>
      </c>
      <c r="I114" s="178" cm="1">
        <f t="array" aca="1" ref="I114" ca="1">INDEX( 'Eléments de constr. inté. et ex'!F:F, $F113)</f>
        <v>0</v>
      </c>
      <c r="J114" s="178">
        <f ca="1">_xlfn.XLOOKUP($I114,'Baumaterialien Matériaux'!A:A,'Baumaterialien Matériaux'!G:G,0,0)</f>
        <v>0</v>
      </c>
      <c r="K114" s="286">
        <f t="shared" ca="1" si="96"/>
        <v>0</v>
      </c>
      <c r="L114" s="178" cm="1">
        <f t="array" aca="1" ref="L114" ca="1">INDEX( 'Eléments de constr. inté. et ex'!I:I, $F113)</f>
        <v>0</v>
      </c>
      <c r="M114" s="178" cm="1">
        <f t="array" aca="1" ref="M114" ca="1">INDEX( 'Eléments de constr. inté. et ex'!G:G, $F113)</f>
        <v>0</v>
      </c>
      <c r="N114" s="999" cm="1">
        <f t="array" aca="1" ref="N114" ca="1">IFERROR(INDEX('Eléments de constr. inté. et ex'!L:L, $F113)*$K114/$M114,0)/$I$1</f>
        <v>0</v>
      </c>
      <c r="O114" s="996">
        <f t="shared" ca="1" si="93"/>
        <v>0</v>
      </c>
      <c r="P114" s="996">
        <f t="shared" ca="1" si="93"/>
        <v>0</v>
      </c>
      <c r="Q114" s="275" cm="1">
        <f t="array" aca="1" ref="Q114" ca="1">_xlfn.SWITCH(L114,Q$3,N114+R114,O$3,O114,0)</f>
        <v>0</v>
      </c>
      <c r="R114" s="999" cm="1">
        <f t="array" aca="1" ref="R114" ca="1">IFERROR(INDEX('Eléments de constr. inté. et ex'!M:M, $F113)*$K114/$M114,0)/$I$1</f>
        <v>0</v>
      </c>
      <c r="S114" s="997">
        <f t="shared" ca="1" si="94"/>
        <v>0</v>
      </c>
      <c r="T114" s="996" cm="1">
        <f t="array" aca="1" ref="T114" ca="1">IFERROR(INDEX('Eléments de constr. inté. et ex'!N:N, $F113)*$K114/$M114,0)/$I$1</f>
        <v>0</v>
      </c>
    </row>
    <row r="115" spans="2:20" ht="15.75" hidden="1" outlineLevel="1">
      <c r="B115" s="1536"/>
      <c r="C115" s="1539"/>
      <c r="D115" s="178"/>
      <c r="E115" s="178"/>
      <c r="F115" s="178">
        <f t="shared" ca="1" si="95"/>
        <v>2</v>
      </c>
      <c r="G115" s="178" cm="1">
        <f t="array" aca="1" ref="G115" ca="1">INDEX( 'Eléments de constr. inté. et ex'!C:C, $F114)</f>
        <v>0</v>
      </c>
      <c r="H115" s="178" cm="1">
        <f t="array" aca="1" ref="H115" ca="1">INDEX( 'Eléments de constr. inté. et ex'!D:D, $F114)</f>
        <v>0</v>
      </c>
      <c r="I115" s="178" cm="1">
        <f t="array" aca="1" ref="I115" ca="1">INDEX( 'Eléments de constr. inté. et ex'!F:F, $F114)</f>
        <v>0</v>
      </c>
      <c r="J115" s="178">
        <f ca="1">_xlfn.XLOOKUP($I115,'Baumaterialien Matériaux'!A:A,'Baumaterialien Matériaux'!G:G,0,0)</f>
        <v>0</v>
      </c>
      <c r="K115" s="286">
        <f t="shared" ca="1" si="96"/>
        <v>0</v>
      </c>
      <c r="L115" s="178" cm="1">
        <f t="array" aca="1" ref="L115" ca="1">INDEX( 'Eléments de constr. inté. et ex'!I:I, $F114)</f>
        <v>0</v>
      </c>
      <c r="M115" s="178" cm="1">
        <f t="array" aca="1" ref="M115" ca="1">INDEX( 'Eléments de constr. inté. et ex'!G:G, $F114)</f>
        <v>0</v>
      </c>
      <c r="N115" s="999" cm="1">
        <f t="array" aca="1" ref="N115" ca="1">IFERROR(INDEX('Eléments de constr. inté. et ex'!L:L, $F114)*$K115/$M115,0)/$I$1</f>
        <v>0</v>
      </c>
      <c r="O115" s="996">
        <f t="shared" ca="1" si="93"/>
        <v>0</v>
      </c>
      <c r="P115" s="996">
        <f t="shared" ca="1" si="93"/>
        <v>0</v>
      </c>
      <c r="Q115" s="275" cm="1">
        <f t="array" aca="1" ref="Q115" ca="1">_xlfn.SWITCH(L115,Q$3,N115+R115,O$3,O115,0)</f>
        <v>0</v>
      </c>
      <c r="R115" s="999" cm="1">
        <f t="array" aca="1" ref="R115" ca="1">IFERROR(INDEX('Eléments de constr. inté. et ex'!M:M, $F114)*$K115/$M115,0)/$I$1</f>
        <v>0</v>
      </c>
      <c r="S115" s="997">
        <f t="shared" ca="1" si="94"/>
        <v>0</v>
      </c>
      <c r="T115" s="996" cm="1">
        <f t="array" aca="1" ref="T115" ca="1">IFERROR(INDEX('Eléments de constr. inté. et ex'!N:N, $F114)*$K115/$M115,0)/$I$1</f>
        <v>0</v>
      </c>
    </row>
    <row r="116" spans="2:20" ht="15.75" hidden="1" outlineLevel="1">
      <c r="B116" s="1536"/>
      <c r="C116" s="1539"/>
      <c r="D116" s="178"/>
      <c r="E116" s="178"/>
      <c r="F116" s="178">
        <f t="shared" ca="1" si="95"/>
        <v>2</v>
      </c>
      <c r="G116" s="178" cm="1">
        <f t="array" aca="1" ref="G116" ca="1">INDEX( 'Eléments de constr. inté. et ex'!C:C, $F115)</f>
        <v>0</v>
      </c>
      <c r="H116" s="178" cm="1">
        <f t="array" aca="1" ref="H116" ca="1">INDEX( 'Eléments de constr. inté. et ex'!D:D, $F115)</f>
        <v>0</v>
      </c>
      <c r="I116" s="178" cm="1">
        <f t="array" aca="1" ref="I116" ca="1">INDEX( 'Eléments de constr. inté. et ex'!F:F, $F115)</f>
        <v>0</v>
      </c>
      <c r="J116" s="178">
        <f ca="1">_xlfn.XLOOKUP($I116,'Baumaterialien Matériaux'!A:A,'Baumaterialien Matériaux'!G:G,0,0)</f>
        <v>0</v>
      </c>
      <c r="K116" s="286">
        <f t="shared" ca="1" si="96"/>
        <v>0</v>
      </c>
      <c r="L116" s="178" cm="1">
        <f t="array" aca="1" ref="L116" ca="1">INDEX( 'Eléments de constr. inté. et ex'!I:I, $F115)</f>
        <v>0</v>
      </c>
      <c r="M116" s="178" cm="1">
        <f t="array" aca="1" ref="M116" ca="1">INDEX( 'Eléments de constr. inté. et ex'!G:G, $F115)</f>
        <v>0</v>
      </c>
      <c r="N116" s="999" cm="1">
        <f t="array" aca="1" ref="N116" ca="1">IFERROR(INDEX('Eléments de constr. inté. et ex'!L:L, $F115)*$K116/$M116,0)/$I$1</f>
        <v>0</v>
      </c>
      <c r="O116" s="996">
        <f t="shared" ca="1" si="93"/>
        <v>0</v>
      </c>
      <c r="P116" s="996">
        <f t="shared" ca="1" si="93"/>
        <v>0</v>
      </c>
      <c r="Q116" s="275" cm="1">
        <f t="array" aca="1" ref="Q116" ca="1">_xlfn.SWITCH(L116,Q$3,N116+R116,O$3,O116,0)</f>
        <v>0</v>
      </c>
      <c r="R116" s="999" cm="1">
        <f t="array" aca="1" ref="R116" ca="1">IFERROR(INDEX('Eléments de constr. inté. et ex'!M:M, $F115)*$K116/$M116,0)/$I$1</f>
        <v>0</v>
      </c>
      <c r="S116" s="997">
        <f t="shared" ca="1" si="94"/>
        <v>0</v>
      </c>
      <c r="T116" s="996" cm="1">
        <f t="array" aca="1" ref="T116" ca="1">IFERROR(INDEX('Eléments de constr. inté. et ex'!N:N, $F115)*$K116/$M116,0)/$I$1</f>
        <v>0</v>
      </c>
    </row>
    <row r="117" spans="2:20" ht="15.75" hidden="1" outlineLevel="1">
      <c r="B117" s="1536"/>
      <c r="C117" s="1539"/>
      <c r="D117" s="178"/>
      <c r="E117" s="178"/>
      <c r="F117" s="178">
        <f t="shared" ca="1" si="95"/>
        <v>2</v>
      </c>
      <c r="G117" s="178" cm="1">
        <f t="array" aca="1" ref="G117" ca="1">INDEX( 'Eléments de constr. inté. et ex'!C:C, $F116)</f>
        <v>0</v>
      </c>
      <c r="H117" s="178" cm="1">
        <f t="array" aca="1" ref="H117" ca="1">INDEX( 'Eléments de constr. inté. et ex'!D:D, $F116)</f>
        <v>0</v>
      </c>
      <c r="I117" s="178" cm="1">
        <f t="array" aca="1" ref="I117" ca="1">INDEX( 'Eléments de constr. inté. et ex'!F:F, $F116)</f>
        <v>0</v>
      </c>
      <c r="J117" s="178">
        <f ca="1">_xlfn.XLOOKUP($I117,'Baumaterialien Matériaux'!A:A,'Baumaterialien Matériaux'!G:G,0,0)</f>
        <v>0</v>
      </c>
      <c r="K117" s="286">
        <f t="shared" ca="1" si="96"/>
        <v>0</v>
      </c>
      <c r="L117" s="178" cm="1">
        <f t="array" aca="1" ref="L117" ca="1">INDEX( 'Eléments de constr. inté. et ex'!I:I, $F116)</f>
        <v>0</v>
      </c>
      <c r="M117" s="178" cm="1">
        <f t="array" aca="1" ref="M117" ca="1">INDEX( 'Eléments de constr. inté. et ex'!G:G, $F116)</f>
        <v>0</v>
      </c>
      <c r="N117" s="999" cm="1">
        <f t="array" aca="1" ref="N117" ca="1">IFERROR(INDEX('Eléments de constr. inté. et ex'!L:L, $F116)*$K117/$M117,0)/$I$1</f>
        <v>0</v>
      </c>
      <c r="O117" s="996">
        <f t="shared" ca="1" si="93"/>
        <v>0</v>
      </c>
      <c r="P117" s="996">
        <f t="shared" ca="1" si="93"/>
        <v>0</v>
      </c>
      <c r="Q117" s="275" cm="1">
        <f t="array" aca="1" ref="Q117" ca="1">_xlfn.SWITCH(L117,Q$3,N117+R117,O$3,O117,0)</f>
        <v>0</v>
      </c>
      <c r="R117" s="999" cm="1">
        <f t="array" aca="1" ref="R117" ca="1">IFERROR(INDEX('Eléments de constr. inté. et ex'!M:M, $F116)*$K117/$M117,0)/$I$1</f>
        <v>0</v>
      </c>
      <c r="S117" s="997">
        <f t="shared" ca="1" si="94"/>
        <v>0</v>
      </c>
      <c r="T117" s="996" cm="1">
        <f t="array" aca="1" ref="T117" ca="1">IFERROR(INDEX('Eléments de constr. inté. et ex'!N:N, $F116)*$K117/$M117,0)/$I$1</f>
        <v>0</v>
      </c>
    </row>
    <row r="118" spans="2:20" ht="15.75" hidden="1" outlineLevel="1">
      <c r="B118" s="1536"/>
      <c r="C118" s="1539"/>
      <c r="D118" s="178"/>
      <c r="E118" s="178"/>
      <c r="F118" s="178">
        <f t="shared" ca="1" si="95"/>
        <v>2</v>
      </c>
      <c r="G118" s="178" cm="1">
        <f t="array" aca="1" ref="G118" ca="1">INDEX( 'Eléments de constr. inté. et ex'!C:C, $F117)</f>
        <v>0</v>
      </c>
      <c r="H118" s="178" cm="1">
        <f t="array" aca="1" ref="H118" ca="1">INDEX( 'Eléments de constr. inté. et ex'!D:D, $F117)</f>
        <v>0</v>
      </c>
      <c r="I118" s="178" cm="1">
        <f t="array" aca="1" ref="I118" ca="1">INDEX( 'Eléments de constr. inté. et ex'!F:F, $F117)</f>
        <v>0</v>
      </c>
      <c r="J118" s="178">
        <f ca="1">_xlfn.XLOOKUP($I118,'Baumaterialien Matériaux'!A:A,'Baumaterialien Matériaux'!G:G,0,0)</f>
        <v>0</v>
      </c>
      <c r="K118" s="286">
        <f t="shared" ca="1" si="96"/>
        <v>0</v>
      </c>
      <c r="L118" s="178" cm="1">
        <f t="array" aca="1" ref="L118" ca="1">INDEX( 'Eléments de constr. inté. et ex'!I:I, $F117)</f>
        <v>0</v>
      </c>
      <c r="M118" s="178" cm="1">
        <f t="array" aca="1" ref="M118" ca="1">INDEX( 'Eléments de constr. inté. et ex'!G:G, $F117)</f>
        <v>0</v>
      </c>
      <c r="N118" s="999" cm="1">
        <f t="array" aca="1" ref="N118" ca="1">IFERROR(INDEX('Eléments de constr. inté. et ex'!L:L, $F117)*$K118/$M118,0)/$I$1</f>
        <v>0</v>
      </c>
      <c r="O118" s="996">
        <f t="shared" ca="1" si="93"/>
        <v>0</v>
      </c>
      <c r="P118" s="996">
        <f t="shared" ca="1" si="93"/>
        <v>0</v>
      </c>
      <c r="Q118" s="275" cm="1">
        <f t="array" aca="1" ref="Q118" ca="1">_xlfn.SWITCH(L118,Q$3,N118+R118,O$3,O118,0)</f>
        <v>0</v>
      </c>
      <c r="R118" s="999" cm="1">
        <f t="array" aca="1" ref="R118" ca="1">IFERROR(INDEX('Eléments de constr. inté. et ex'!M:M, $F117)*$K118/$M118,0)/$I$1</f>
        <v>0</v>
      </c>
      <c r="S118" s="997">
        <f t="shared" ca="1" si="94"/>
        <v>0</v>
      </c>
      <c r="T118" s="996" cm="1">
        <f t="array" aca="1" ref="T118" ca="1">IFERROR(INDEX('Eléments de constr. inté. et ex'!N:N, $F117)*$K118/$M118,0)/$I$1</f>
        <v>0</v>
      </c>
    </row>
    <row r="119" spans="2:20" ht="15.75" collapsed="1">
      <c r="B119" s="1536"/>
      <c r="C119" s="1539"/>
      <c r="D119" s="178" t="s">
        <v>552</v>
      </c>
      <c r="E119" s="179" t="str">
        <f>'Outil détaillé'!E32</f>
        <v>Paroi placoplatre</v>
      </c>
      <c r="F119" s="928">
        <f ca="1">MATCH(E119, INDIRECT("'Eléments de constr. inté. et ex'!A"&amp;F109+1&amp;":A500"),0)+F109</f>
        <v>30</v>
      </c>
      <c r="G119" s="179"/>
      <c r="H119" s="179"/>
      <c r="I119" s="179"/>
      <c r="J119" s="595" t="s">
        <v>97</v>
      </c>
      <c r="K119" s="294">
        <f>'Outil détaillé'!J32</f>
        <v>386</v>
      </c>
      <c r="L119" s="295"/>
      <c r="M119" s="295"/>
      <c r="N119" s="994">
        <f t="shared" ref="N119" ca="1" si="97">SUM(N120:N126)</f>
        <v>11.810289600000001</v>
      </c>
      <c r="O119" s="994">
        <f t="shared" ref="O119:T119" ca="1" si="98">SUM(O120:O126)</f>
        <v>0</v>
      </c>
      <c r="P119" s="994">
        <f t="shared" ca="1" si="98"/>
        <v>12.196985313600001</v>
      </c>
      <c r="Q119" s="994">
        <f t="shared" ca="1" si="98"/>
        <v>0</v>
      </c>
      <c r="R119" s="994">
        <f t="shared" ca="1" si="98"/>
        <v>0.38669571359999999</v>
      </c>
      <c r="S119" s="994">
        <f t="shared" ca="1" si="98"/>
        <v>24.393970627199998</v>
      </c>
      <c r="T119" s="1054">
        <f t="shared" ca="1" si="98"/>
        <v>1.9756000000000002</v>
      </c>
    </row>
    <row r="120" spans="2:20" ht="15.75" hidden="1" outlineLevel="1">
      <c r="B120" s="1536"/>
      <c r="C120" s="1539"/>
      <c r="D120" s="178"/>
      <c r="E120" s="178"/>
      <c r="F120" s="178">
        <f ca="1">IF(I120=0,2,F119+1)</f>
        <v>31</v>
      </c>
      <c r="G120" s="178" t="str" cm="1">
        <f t="array" aca="1" ref="G120" ca="1">INDEX( 'Eléments de constr. inté. et ex'!C:C, $F119)</f>
        <v xml:space="preserve">2 x 12.5 mm </v>
      </c>
      <c r="H120" s="178" t="str" cm="1">
        <f t="array" aca="1" ref="H120" ca="1">INDEX( 'Eléments de constr. inté. et ex'!D:D, $F119)</f>
        <v>Plaque de plâtre armé de fibres</v>
      </c>
      <c r="I120" s="178" t="str" cm="1">
        <f t="array" aca="1" ref="I120" ca="1">INDEX( 'Eléments de constr. inté. et ex'!F:F, $F119)</f>
        <v>03.007</v>
      </c>
      <c r="J120" s="178" t="str">
        <f ca="1">_xlfn.XLOOKUP($I120,'Baumaterialien Matériaux'!A:A,'Baumaterialien Matériaux'!G:G,0,0)</f>
        <v>kg</v>
      </c>
      <c r="K120" s="286">
        <f ca="1">M120*$K$119</f>
        <v>11580</v>
      </c>
      <c r="L120" s="178" cm="1">
        <f t="array" aca="1" ref="L120" ca="1">INDEX( 'Eléments de constr. inté. et ex'!I:I, $F119)</f>
        <v>30</v>
      </c>
      <c r="M120" s="178" cm="1">
        <f t="array" aca="1" ref="M120" ca="1">INDEX( 'Eléments de constr. inté. et ex'!G:G, $F119)</f>
        <v>30</v>
      </c>
      <c r="N120" s="999" cm="1">
        <f t="array" aca="1" ref="N120" ca="1">IFERROR(INDEX('Eléments de constr. inté. et ex'!L:L, $F119)*$K120/$M120,0)/$I$1</f>
        <v>6.3959999999999999</v>
      </c>
      <c r="O120" s="996">
        <f t="shared" ref="O120:P127" ca="1" si="99">IF($L120=O$3,$N120+$R120,0)</f>
        <v>0</v>
      </c>
      <c r="P120" s="996">
        <f t="shared" ca="1" si="99"/>
        <v>6.6192000000000002</v>
      </c>
      <c r="Q120" s="275" cm="1">
        <f t="array" aca="1" ref="Q120" ca="1">_xlfn.SWITCH(L120,Q$3,N120+R120,O$3,O120,0)</f>
        <v>0</v>
      </c>
      <c r="R120" s="999" cm="1">
        <f t="array" aca="1" ref="R120" ca="1">IFERROR(INDEX('Eléments de constr. inté. et ex'!M:M, $F119)*$K120/$M120,0)/$I$1</f>
        <v>0.22319999999999998</v>
      </c>
      <c r="S120" s="997">
        <f t="shared" ref="S120:S127" ca="1" si="100">SUM(N120:R120)</f>
        <v>13.2384</v>
      </c>
      <c r="T120" s="996" cm="1">
        <f t="array" aca="1" ref="T120" ca="1">IFERROR(INDEX('Eléments de constr. inté. et ex'!N:N, $F119)*$K120/$M120,0)/$I$1</f>
        <v>1.9756000000000002</v>
      </c>
    </row>
    <row r="121" spans="2:20" ht="15.75" hidden="1" outlineLevel="1">
      <c r="B121" s="1536"/>
      <c r="C121" s="1539"/>
      <c r="D121" s="178"/>
      <c r="E121" s="178"/>
      <c r="F121" s="178">
        <f t="shared" ref="F121:F127" ca="1" si="101">IF(I121=0,2,F120+1)</f>
        <v>32</v>
      </c>
      <c r="G121" s="178" t="str" cm="1">
        <f t="array" aca="1" ref="G121" ca="1">INDEX( 'Eléments de constr. inté. et ex'!C:C, $F120)</f>
        <v>Stahlprofile verzinkt [kg]</v>
      </c>
      <c r="H121" s="178" t="str" cm="1">
        <f t="array" aca="1" ref="H121" ca="1">INDEX( 'Eléments de constr. inté. et ex'!D:D, $F120)</f>
        <v>Tôle d'acier, zinguée</v>
      </c>
      <c r="I121" s="178" t="str" cm="1">
        <f t="array" aca="1" ref="I121" ca="1">INDEX( 'Eléments de constr. inté. et ex'!F:F, $F120)</f>
        <v>06.011</v>
      </c>
      <c r="J121" s="178" t="str">
        <f ca="1">_xlfn.XLOOKUP($I121,'Baumaterialien Matériaux'!A:A,'Baumaterialien Matériaux'!G:G,0,0)</f>
        <v>kg</v>
      </c>
      <c r="K121" s="286">
        <f t="shared" ref="K121:K127" ca="1" si="102">M121*$K$119</f>
        <v>509.05680000000001</v>
      </c>
      <c r="L121" s="178" cm="1">
        <f t="array" aca="1" ref="L121" ca="1">INDEX( 'Eléments de constr. inté. et ex'!I:I, $F120)</f>
        <v>30</v>
      </c>
      <c r="M121" s="178" cm="1">
        <f t="array" aca="1" ref="M121" ca="1">INDEX( 'Eléments de constr. inté. et ex'!G:G, $F120)</f>
        <v>1.3188</v>
      </c>
      <c r="N121" s="999" cm="1">
        <f t="array" aca="1" ref="N121" ca="1">IFERROR(INDEX('Eléments de constr. inté. et ex'!L:L, $F120)*$K121/$M121,0)/$I$1</f>
        <v>2.3632896000000003</v>
      </c>
      <c r="O121" s="996">
        <f t="shared" ca="1" si="99"/>
        <v>0</v>
      </c>
      <c r="P121" s="996">
        <f t="shared" ca="1" si="99"/>
        <v>2.3669453136000005</v>
      </c>
      <c r="Q121" s="275" cm="1">
        <f t="array" aca="1" ref="Q121" ca="1">_xlfn.SWITCH(L121,Q$3,N121+R121,O$3,O121,0)</f>
        <v>0</v>
      </c>
      <c r="R121" s="999" cm="1">
        <f t="array" aca="1" ref="R121" ca="1">IFERROR(INDEX('Eléments de constr. inté. et ex'!M:M, $F120)*$K121/$M121,0)/$I$1</f>
        <v>3.6557136000000003E-3</v>
      </c>
      <c r="S121" s="997">
        <f t="shared" ca="1" si="100"/>
        <v>4.7338906272000001</v>
      </c>
      <c r="T121" s="996" cm="1">
        <f t="array" aca="1" ref="T121" ca="1">IFERROR(INDEX('Eléments de constr. inté. et ex'!N:N, $F120)*$K121/$M121,0)/$I$1</f>
        <v>0</v>
      </c>
    </row>
    <row r="122" spans="2:20" ht="15.75" hidden="1" outlineLevel="1">
      <c r="B122" s="1536"/>
      <c r="C122" s="1539"/>
      <c r="D122" s="178"/>
      <c r="E122" s="178"/>
      <c r="F122" s="178">
        <f t="shared" ca="1" si="101"/>
        <v>33</v>
      </c>
      <c r="G122" s="178" t="str" cm="1">
        <f t="array" aca="1" ref="G122" ca="1">INDEX( 'Eléments de constr. inté. et ex'!C:C, $F121)</f>
        <v>Steinwolle [kg]</v>
      </c>
      <c r="H122" s="178" t="str" cm="1">
        <f t="array" aca="1" ref="H122" ca="1">INDEX( 'Eléments de constr. inté. et ex'!D:D, $F121)</f>
        <v>Laine de roche</v>
      </c>
      <c r="I122" s="178" t="str" cm="1">
        <f t="array" aca="1" ref="I122" ca="1">INDEX( 'Eléments de constr. inté. et ex'!F:F, $F121)</f>
        <v>10.008</v>
      </c>
      <c r="J122" s="178" t="str">
        <f ca="1">_xlfn.XLOOKUP($I122,'Baumaterialien Matériaux'!A:A,'Baumaterialien Matériaux'!G:G,0,0)</f>
        <v>kg</v>
      </c>
      <c r="K122" s="286">
        <f t="shared" ca="1" si="102"/>
        <v>2605.5</v>
      </c>
      <c r="L122" s="178" cm="1">
        <f t="array" aca="1" ref="L122" ca="1">INDEX( 'Eléments de constr. inté. et ex'!I:I, $F121)</f>
        <v>30</v>
      </c>
      <c r="M122" s="178" cm="1">
        <f t="array" aca="1" ref="M122" ca="1">INDEX( 'Eléments de constr. inté. et ex'!G:G, $F121)</f>
        <v>6.75</v>
      </c>
      <c r="N122" s="999" cm="1">
        <f t="array" aca="1" ref="N122" ca="1">IFERROR(INDEX('Eléments de constr. inté. et ex'!L:L, $F121)*$K122/$M122,0)/$I$1</f>
        <v>3.0509999999999997</v>
      </c>
      <c r="O122" s="996">
        <f t="shared" ca="1" si="99"/>
        <v>0</v>
      </c>
      <c r="P122" s="996">
        <f t="shared" ca="1" si="99"/>
        <v>3.2108399999999997</v>
      </c>
      <c r="Q122" s="275" cm="1">
        <f t="array" aca="1" ref="Q122" ca="1">_xlfn.SWITCH(L122,Q$3,N122+R122,O$3,O122,0)</f>
        <v>0</v>
      </c>
      <c r="R122" s="999" cm="1">
        <f t="array" aca="1" ref="R122" ca="1">IFERROR(INDEX('Eléments de constr. inté. et ex'!M:M, $F121)*$K122/$M122,0)/$I$1</f>
        <v>0.15983999999999998</v>
      </c>
      <c r="S122" s="997">
        <f t="shared" ca="1" si="100"/>
        <v>6.4216799999999994</v>
      </c>
      <c r="T122" s="996" cm="1">
        <f t="array" aca="1" ref="T122" ca="1">IFERROR(INDEX('Eléments de constr. inté. et ex'!N:N, $F121)*$K122/$M122,0)/$I$1</f>
        <v>0</v>
      </c>
    </row>
    <row r="123" spans="2:20" ht="15.75" hidden="1" outlineLevel="1">
      <c r="B123" s="1536"/>
      <c r="C123" s="1539"/>
      <c r="D123" s="178"/>
      <c r="E123" s="178"/>
      <c r="F123" s="178">
        <f t="shared" ca="1" si="101"/>
        <v>2</v>
      </c>
      <c r="G123" s="178" cm="1">
        <f t="array" aca="1" ref="G123" ca="1">INDEX( 'Eléments de constr. inté. et ex'!C:C, $F122)</f>
        <v>0</v>
      </c>
      <c r="H123" s="178" cm="1">
        <f t="array" aca="1" ref="H123" ca="1">INDEX( 'Eléments de constr. inté. et ex'!D:D, $F122)</f>
        <v>0</v>
      </c>
      <c r="I123" s="178" cm="1">
        <f t="array" aca="1" ref="I123" ca="1">INDEX( 'Eléments de constr. inté. et ex'!F:F, $F122)</f>
        <v>0</v>
      </c>
      <c r="J123" s="178">
        <f ca="1">_xlfn.XLOOKUP($I123,'Baumaterialien Matériaux'!A:A,'Baumaterialien Matériaux'!G:G,0,0)</f>
        <v>0</v>
      </c>
      <c r="K123" s="286">
        <f t="shared" ca="1" si="102"/>
        <v>0</v>
      </c>
      <c r="L123" s="178" cm="1">
        <f t="array" aca="1" ref="L123" ca="1">INDEX( 'Eléments de constr. inté. et ex'!I:I, $F122)</f>
        <v>30</v>
      </c>
      <c r="M123" s="178" cm="1">
        <f t="array" aca="1" ref="M123" ca="1">INDEX( 'Eléments de constr. inté. et ex'!G:G, $F122)</f>
        <v>0</v>
      </c>
      <c r="N123" s="999" cm="1">
        <f t="array" aca="1" ref="N123" ca="1">IFERROR(INDEX('Eléments de constr. inté. et ex'!L:L, $F122)*$K123/$M123,0)/$I$1</f>
        <v>0</v>
      </c>
      <c r="O123" s="996">
        <f t="shared" ca="1" si="99"/>
        <v>0</v>
      </c>
      <c r="P123" s="996">
        <f t="shared" ca="1" si="99"/>
        <v>0</v>
      </c>
      <c r="Q123" s="275" cm="1">
        <f t="array" aca="1" ref="Q123" ca="1">_xlfn.SWITCH(L123,Q$3,N123+R123,O$3,O123,0)</f>
        <v>0</v>
      </c>
      <c r="R123" s="999" cm="1">
        <f t="array" aca="1" ref="R123" ca="1">IFERROR(INDEX('Eléments de constr. inté. et ex'!M:M, $F122)*$K123/$M123,0)/$I$1</f>
        <v>0</v>
      </c>
      <c r="S123" s="997">
        <f t="shared" ca="1" si="100"/>
        <v>0</v>
      </c>
      <c r="T123" s="996" cm="1">
        <f t="array" aca="1" ref="T123" ca="1">IFERROR(INDEX('Eléments de constr. inté. et ex'!N:N, $F122)*$K123/$M123,0)/$I$1</f>
        <v>0</v>
      </c>
    </row>
    <row r="124" spans="2:20" ht="15.75" hidden="1" outlineLevel="1">
      <c r="B124" s="1536"/>
      <c r="C124" s="1539"/>
      <c r="D124" s="178"/>
      <c r="E124" s="178"/>
      <c r="F124" s="178">
        <f t="shared" ca="1" si="101"/>
        <v>2</v>
      </c>
      <c r="G124" s="178" cm="1">
        <f t="array" aca="1" ref="G124" ca="1">INDEX( 'Eléments de constr. inté. et ex'!C:C, $F123)</f>
        <v>0</v>
      </c>
      <c r="H124" s="178" cm="1">
        <f t="array" aca="1" ref="H124" ca="1">INDEX( 'Eléments de constr. inté. et ex'!D:D, $F123)</f>
        <v>0</v>
      </c>
      <c r="I124" s="178" cm="1">
        <f t="array" aca="1" ref="I124" ca="1">INDEX( 'Eléments de constr. inté. et ex'!F:F, $F123)</f>
        <v>0</v>
      </c>
      <c r="J124" s="178">
        <f ca="1">_xlfn.XLOOKUP($I124,'Baumaterialien Matériaux'!A:A,'Baumaterialien Matériaux'!G:G,0,0)</f>
        <v>0</v>
      </c>
      <c r="K124" s="286">
        <f t="shared" ca="1" si="102"/>
        <v>0</v>
      </c>
      <c r="L124" s="178" cm="1">
        <f t="array" aca="1" ref="L124" ca="1">INDEX( 'Eléments de constr. inté. et ex'!I:I, $F123)</f>
        <v>0</v>
      </c>
      <c r="M124" s="178" cm="1">
        <f t="array" aca="1" ref="M124" ca="1">INDEX( 'Eléments de constr. inté. et ex'!G:G, $F123)</f>
        <v>0</v>
      </c>
      <c r="N124" s="999" cm="1">
        <f t="array" aca="1" ref="N124" ca="1">IFERROR(INDEX('Eléments de constr. inté. et ex'!L:L, $F123)*$K124/$M124,0)/$I$1</f>
        <v>0</v>
      </c>
      <c r="O124" s="996">
        <f t="shared" ca="1" si="99"/>
        <v>0</v>
      </c>
      <c r="P124" s="996">
        <f t="shared" ca="1" si="99"/>
        <v>0</v>
      </c>
      <c r="Q124" s="275" cm="1">
        <f t="array" aca="1" ref="Q124" ca="1">_xlfn.SWITCH(L124,Q$3,N124+R124,O$3,O124,0)</f>
        <v>0</v>
      </c>
      <c r="R124" s="999" cm="1">
        <f t="array" aca="1" ref="R124" ca="1">IFERROR(INDEX('Eléments de constr. inté. et ex'!M:M, $F123)*$K124/$M124,0)/$I$1</f>
        <v>0</v>
      </c>
      <c r="S124" s="997">
        <f t="shared" ca="1" si="100"/>
        <v>0</v>
      </c>
      <c r="T124" s="996" cm="1">
        <f t="array" aca="1" ref="T124" ca="1">IFERROR(INDEX('Eléments de constr. inté. et ex'!N:N, $F123)*$K124/$M124,0)/$I$1</f>
        <v>0</v>
      </c>
    </row>
    <row r="125" spans="2:20" ht="15.75" hidden="1" outlineLevel="1">
      <c r="B125" s="1536"/>
      <c r="C125" s="1539"/>
      <c r="D125" s="178"/>
      <c r="E125" s="178"/>
      <c r="F125" s="178">
        <f t="shared" ca="1" si="101"/>
        <v>2</v>
      </c>
      <c r="G125" s="178" cm="1">
        <f t="array" aca="1" ref="G125" ca="1">INDEX( 'Eléments de constr. inté. et ex'!C:C, $F124)</f>
        <v>0</v>
      </c>
      <c r="H125" s="178" cm="1">
        <f t="array" aca="1" ref="H125" ca="1">INDEX( 'Eléments de constr. inté. et ex'!D:D, $F124)</f>
        <v>0</v>
      </c>
      <c r="I125" s="178" cm="1">
        <f t="array" aca="1" ref="I125" ca="1">INDEX( 'Eléments de constr. inté. et ex'!F:F, $F124)</f>
        <v>0</v>
      </c>
      <c r="J125" s="178">
        <f ca="1">_xlfn.XLOOKUP($I125,'Baumaterialien Matériaux'!A:A,'Baumaterialien Matériaux'!G:G,0,0)</f>
        <v>0</v>
      </c>
      <c r="K125" s="286">
        <f t="shared" ca="1" si="102"/>
        <v>0</v>
      </c>
      <c r="L125" s="178" cm="1">
        <f t="array" aca="1" ref="L125" ca="1">INDEX( 'Eléments de constr. inté. et ex'!I:I, $F124)</f>
        <v>0</v>
      </c>
      <c r="M125" s="178" cm="1">
        <f t="array" aca="1" ref="M125" ca="1">INDEX( 'Eléments de constr. inté. et ex'!G:G, $F124)</f>
        <v>0</v>
      </c>
      <c r="N125" s="999" cm="1">
        <f t="array" aca="1" ref="N125" ca="1">IFERROR(INDEX('Eléments de constr. inté. et ex'!L:L, $F124)*$K125/$M125,0)/$I$1</f>
        <v>0</v>
      </c>
      <c r="O125" s="996">
        <f t="shared" ca="1" si="99"/>
        <v>0</v>
      </c>
      <c r="P125" s="996">
        <f t="shared" ca="1" si="99"/>
        <v>0</v>
      </c>
      <c r="Q125" s="275" cm="1">
        <f t="array" aca="1" ref="Q125" ca="1">_xlfn.SWITCH(L125,Q$3,N125+R125,O$3,O125,0)</f>
        <v>0</v>
      </c>
      <c r="R125" s="999" cm="1">
        <f t="array" aca="1" ref="R125" ca="1">IFERROR(INDEX('Eléments de constr. inté. et ex'!M:M, $F124)*$K125/$M125,0)/$I$1</f>
        <v>0</v>
      </c>
      <c r="S125" s="997">
        <f t="shared" ca="1" si="100"/>
        <v>0</v>
      </c>
      <c r="T125" s="996" cm="1">
        <f t="array" aca="1" ref="T125" ca="1">IFERROR(INDEX('Eléments de constr. inté. et ex'!N:N, $F124)*$K125/$M125,0)/$I$1</f>
        <v>0</v>
      </c>
    </row>
    <row r="126" spans="2:20" ht="15.75" hidden="1" outlineLevel="1">
      <c r="B126" s="1536"/>
      <c r="C126" s="1539"/>
      <c r="D126" s="178"/>
      <c r="E126" s="178"/>
      <c r="F126" s="178">
        <f t="shared" ca="1" si="101"/>
        <v>2</v>
      </c>
      <c r="G126" s="178" cm="1">
        <f t="array" aca="1" ref="G126" ca="1">INDEX( 'Eléments de constr. inté. et ex'!C:C, $F125)</f>
        <v>0</v>
      </c>
      <c r="H126" s="178" cm="1">
        <f t="array" aca="1" ref="H126" ca="1">INDEX( 'Eléments de constr. inté. et ex'!D:D, $F125)</f>
        <v>0</v>
      </c>
      <c r="I126" s="178" cm="1">
        <f t="array" aca="1" ref="I126" ca="1">INDEX( 'Eléments de constr. inté. et ex'!F:F, $F125)</f>
        <v>0</v>
      </c>
      <c r="J126" s="178">
        <f ca="1">_xlfn.XLOOKUP($I126,'Baumaterialien Matériaux'!A:A,'Baumaterialien Matériaux'!G:G,0,0)</f>
        <v>0</v>
      </c>
      <c r="K126" s="286">
        <f t="shared" ca="1" si="102"/>
        <v>0</v>
      </c>
      <c r="L126" s="178" cm="1">
        <f t="array" aca="1" ref="L126" ca="1">INDEX( 'Eléments de constr. inté. et ex'!I:I, $F125)</f>
        <v>0</v>
      </c>
      <c r="M126" s="178" cm="1">
        <f t="array" aca="1" ref="M126" ca="1">INDEX( 'Eléments de constr. inté. et ex'!G:G, $F125)</f>
        <v>0</v>
      </c>
      <c r="N126" s="999" cm="1">
        <f t="array" aca="1" ref="N126" ca="1">IFERROR(INDEX('Eléments de constr. inté. et ex'!L:L, $F125)*$K126/$M126,0)/$I$1</f>
        <v>0</v>
      </c>
      <c r="O126" s="996">
        <f t="shared" ca="1" si="99"/>
        <v>0</v>
      </c>
      <c r="P126" s="996">
        <f t="shared" ca="1" si="99"/>
        <v>0</v>
      </c>
      <c r="Q126" s="275" cm="1">
        <f t="array" aca="1" ref="Q126" ca="1">_xlfn.SWITCH(L126,Q$3,N126+R126,O$3,O126,0)</f>
        <v>0</v>
      </c>
      <c r="R126" s="999" cm="1">
        <f t="array" aca="1" ref="R126" ca="1">IFERROR(INDEX('Eléments de constr. inté. et ex'!M:M, $F125)*$K126/$M126,0)/$I$1</f>
        <v>0</v>
      </c>
      <c r="S126" s="997">
        <f t="shared" ca="1" si="100"/>
        <v>0</v>
      </c>
      <c r="T126" s="996" cm="1">
        <f t="array" aca="1" ref="T126" ca="1">IFERROR(INDEX('Eléments de constr. inté. et ex'!N:N, $F125)*$K126/$M126,0)/$I$1</f>
        <v>0</v>
      </c>
    </row>
    <row r="127" spans="2:20" ht="15.75" hidden="1" outlineLevel="1">
      <c r="B127" s="1536"/>
      <c r="C127" s="1539"/>
      <c r="D127" s="178"/>
      <c r="E127" s="178"/>
      <c r="F127" s="178">
        <f t="shared" ca="1" si="101"/>
        <v>2</v>
      </c>
      <c r="G127" s="178" cm="1">
        <f t="array" aca="1" ref="G127" ca="1">INDEX( 'Eléments de constr. inté. et ex'!C:C, $F126)</f>
        <v>0</v>
      </c>
      <c r="H127" s="178" cm="1">
        <f t="array" aca="1" ref="H127" ca="1">INDEX( 'Eléments de constr. inté. et ex'!D:D, $F126)</f>
        <v>0</v>
      </c>
      <c r="I127" s="178" cm="1">
        <f t="array" aca="1" ref="I127" ca="1">INDEX( 'Eléments de constr. inté. et ex'!F:F, $F126)</f>
        <v>0</v>
      </c>
      <c r="J127" s="178">
        <f ca="1">_xlfn.XLOOKUP($I127,'Baumaterialien Matériaux'!A:A,'Baumaterialien Matériaux'!G:G,0,0)</f>
        <v>0</v>
      </c>
      <c r="K127" s="286">
        <f t="shared" ca="1" si="102"/>
        <v>0</v>
      </c>
      <c r="L127" s="178" cm="1">
        <f t="array" aca="1" ref="L127" ca="1">INDEX( 'Eléments de constr. inté. et ex'!I:I, $F126)</f>
        <v>0</v>
      </c>
      <c r="M127" s="178" cm="1">
        <f t="array" aca="1" ref="M127" ca="1">INDEX( 'Eléments de constr. inté. et ex'!G:G, $F126)</f>
        <v>0</v>
      </c>
      <c r="N127" s="999" cm="1">
        <f t="array" aca="1" ref="N127" ca="1">IFERROR(INDEX('Eléments de constr. inté. et ex'!L:L, $F126)*$K127/$M127,0)/$I$1</f>
        <v>0</v>
      </c>
      <c r="O127" s="996">
        <f t="shared" ca="1" si="99"/>
        <v>0</v>
      </c>
      <c r="P127" s="996">
        <f t="shared" ca="1" si="99"/>
        <v>0</v>
      </c>
      <c r="Q127" s="275" cm="1">
        <f t="array" aca="1" ref="Q127" ca="1">_xlfn.SWITCH(L127,Q$3,N127+R127,O$3,O127,0)</f>
        <v>0</v>
      </c>
      <c r="R127" s="999" cm="1">
        <f t="array" aca="1" ref="R127" ca="1">IFERROR(INDEX('Eléments de constr. inté. et ex'!M:M, $F126)*$K127/$M127,0)/$I$1</f>
        <v>0</v>
      </c>
      <c r="S127" s="997">
        <f t="shared" ca="1" si="100"/>
        <v>0</v>
      </c>
      <c r="T127" s="996" cm="1">
        <f t="array" aca="1" ref="T127" ca="1">IFERROR(INDEX('Eléments de constr. inté. et ex'!N:N, $F126)*$K127/$M127,0)/$I$1</f>
        <v>0</v>
      </c>
    </row>
    <row r="128" spans="2:20" ht="15.75" collapsed="1">
      <c r="B128" s="1536"/>
      <c r="C128" s="1539"/>
      <c r="D128" s="178" t="str">
        <f>'Outil détaillé'!D33</f>
        <v>Cage ascenseur et escalier</v>
      </c>
      <c r="E128" s="751" t="str">
        <f>'Outil détaillé'!E33</f>
        <v>Béton</v>
      </c>
      <c r="F128" s="928">
        <f ca="1">MATCH(E128, INDIRECT("'Eléments de constr. inté. et ex'!A"&amp;F109+1&amp;":A500"),0)+F109</f>
        <v>5</v>
      </c>
      <c r="G128" s="751"/>
      <c r="H128" s="751"/>
      <c r="I128" s="751"/>
      <c r="J128" s="761"/>
      <c r="K128" s="752">
        <f>'Outil détaillé'!J33</f>
        <v>155.69999999999999</v>
      </c>
      <c r="L128" s="754"/>
      <c r="M128" s="754"/>
      <c r="N128" s="994">
        <f t="shared" ref="N128" ca="1" si="103">SUM(N129:N133)</f>
        <v>9.2475350459720804</v>
      </c>
      <c r="O128" s="994">
        <f t="shared" ref="O128:T128" ca="1" si="104">SUM(O129:O133)</f>
        <v>0</v>
      </c>
      <c r="P128" s="994">
        <f t="shared" ca="1" si="104"/>
        <v>0</v>
      </c>
      <c r="Q128" s="994">
        <f t="shared" ca="1" si="104"/>
        <v>0</v>
      </c>
      <c r="R128" s="994">
        <f t="shared" ca="1" si="104"/>
        <v>1.0038731627933071</v>
      </c>
      <c r="S128" s="994">
        <f t="shared" ca="1" si="104"/>
        <v>10.251408208765387</v>
      </c>
      <c r="T128" s="1054">
        <f t="shared" ca="1" si="104"/>
        <v>1.2039778134715027</v>
      </c>
    </row>
    <row r="129" spans="2:20" ht="15.75" hidden="1" outlineLevel="1">
      <c r="B129" s="1536"/>
      <c r="C129" s="1539"/>
      <c r="D129" s="178"/>
      <c r="E129" s="178"/>
      <c r="F129" s="178">
        <f ca="1">IF(I129=0,2,F128+1)</f>
        <v>6</v>
      </c>
      <c r="G129" s="178" t="str" cm="1">
        <f t="array" aca="1" ref="G129" ca="1">INDEX( 'Eléments de constr. inté. et ex'!C:C, $F128)</f>
        <v>Hochbaubeton, 20 cm [kg]</v>
      </c>
      <c r="H129" s="178" t="str" cm="1">
        <f t="array" aca="1" ref="H129" ca="1">INDEX( 'Eléments de constr. inté. et ex'!D:D, $F128)</f>
        <v>Béton pour bâtiment (sans armature)</v>
      </c>
      <c r="I129" s="178" t="str" cm="1">
        <f t="array" aca="1" ref="I129" ca="1">INDEX( 'Eléments de constr. inté. et ex'!F:F, $F128)</f>
        <v>01.002</v>
      </c>
      <c r="J129" s="178" t="str">
        <f ca="1">_xlfn.XLOOKUP($I129,'Baumaterialien Matériaux'!A:A,'Baumaterialien Matériaux'!G:G,0,0)</f>
        <v>kg</v>
      </c>
      <c r="K129" s="286">
        <f ca="1">M129*$K$128</f>
        <v>70732.427388535027</v>
      </c>
      <c r="L129" s="178" cm="1">
        <f t="array" aca="1" ref="L129" ca="1">INDEX( 'Eléments de constr. inté. et ex'!I:I, $F128)</f>
        <v>60</v>
      </c>
      <c r="M129" s="178" cm="1">
        <f t="array" aca="1" ref="M129" ca="1">INDEX( 'Eléments de constr. inté. et ex'!G:G, $F128)</f>
        <v>454.2866242038217</v>
      </c>
      <c r="N129" s="999" cm="1">
        <f t="array" aca="1" ref="N129" ca="1">IFERROR(INDEX('Eléments de constr. inté. et ex'!L:L, $F128)*$K129/$M129,0)/$I$1</f>
        <v>6.5015194915679348</v>
      </c>
      <c r="O129" s="996">
        <f t="shared" ref="O129:P133" ca="1" si="105">IF($L129=O$3,$N129+$R129,0)</f>
        <v>0</v>
      </c>
      <c r="P129" s="996">
        <f t="shared" ca="1" si="105"/>
        <v>0</v>
      </c>
      <c r="Q129" s="275" cm="1">
        <f t="array" aca="1" ref="Q129" ca="1">_xlfn.SWITCH(L129,Q$3,N129+R129,O$3,O129,0)</f>
        <v>0</v>
      </c>
      <c r="R129" s="999" cm="1">
        <f t="array" aca="1" ref="R129" ca="1">IFERROR(INDEX('Eléments de constr. inté. et ex'!M:M, $F128)*$K129/$M129,0)/$I$1</f>
        <v>0.92355293792284077</v>
      </c>
      <c r="S129" s="997">
        <f ca="1">SUM(N129:R129)</f>
        <v>7.4250724294907755</v>
      </c>
      <c r="T129" s="996" cm="1">
        <f t="array" aca="1" ref="T129" ca="1">IFERROR(INDEX('Eléments de constr. inté. et ex'!N:N, $F128)*$K129/$M129,0)/$I$1</f>
        <v>0</v>
      </c>
    </row>
    <row r="130" spans="2:20" ht="15.75" hidden="1" outlineLevel="1">
      <c r="B130" s="1536"/>
      <c r="C130" s="1539"/>
      <c r="D130" s="178"/>
      <c r="E130" s="178"/>
      <c r="F130" s="178">
        <f t="shared" ref="F130:F133" ca="1" si="106">IF(I130=0,2,F129+1)</f>
        <v>7</v>
      </c>
      <c r="G130" s="178" t="str" cm="1">
        <f t="array" aca="1" ref="G130" ca="1">INDEX( 'Eléments de constr. inté. et ex'!C:C, $F129)</f>
        <v>Armierungsstahl [kg]</v>
      </c>
      <c r="H130" s="178" t="str" cm="1">
        <f t="array" aca="1" ref="H130" ca="1">INDEX( 'Eléments de constr. inté. et ex'!D:D, $F129)</f>
        <v>Acier d'armature</v>
      </c>
      <c r="I130" s="178" t="str" cm="1">
        <f t="array" aca="1" ref="I130" ca="1">INDEX( 'Eléments de constr. inté. et ex'!F:F, $F129)</f>
        <v>06.003</v>
      </c>
      <c r="J130" s="178" t="str">
        <f ca="1">_xlfn.XLOOKUP($I130,'Baumaterialien Matériaux'!A:A,'Baumaterialien Matériaux'!G:G,0,0)</f>
        <v>kg</v>
      </c>
      <c r="K130" s="286">
        <f t="shared" ref="K130:K133" ca="1" si="107">M130*$K$128</f>
        <v>3036.1499999999996</v>
      </c>
      <c r="L130" s="178" cm="1">
        <f t="array" aca="1" ref="L130" ca="1">INDEX( 'Eléments de constr. inté. et ex'!I:I, $F129)</f>
        <v>60</v>
      </c>
      <c r="M130" s="178" cm="1">
        <f t="array" aca="1" ref="M130" ca="1">INDEX( 'Eléments de constr. inté. et ex'!G:G, $F129)</f>
        <v>19.5</v>
      </c>
      <c r="N130" s="999" cm="1">
        <f t="array" aca="1" ref="N130" ca="1">IFERROR(INDEX('Eléments de constr. inté. et ex'!L:L, $F129)*$K130/$M130,0)/$I$1</f>
        <v>2.4320662694300519</v>
      </c>
      <c r="O130" s="996">
        <f t="shared" ca="1" si="105"/>
        <v>0</v>
      </c>
      <c r="P130" s="996">
        <f t="shared" ca="1" si="105"/>
        <v>0</v>
      </c>
      <c r="Q130" s="275" cm="1">
        <f t="array" aca="1" ref="Q130" ca="1">_xlfn.SWITCH(L130,Q$3,N130+R130,O$3,O130,0)</f>
        <v>0</v>
      </c>
      <c r="R130" s="999" cm="1">
        <f t="array" aca="1" ref="R130" ca="1">IFERROR(INDEX('Eléments de constr. inté. et ex'!M:M, $F129)*$K130/$M130,0)/$I$1</f>
        <v>3.8384487046632124E-2</v>
      </c>
      <c r="S130" s="997">
        <f ca="1">SUM(N130:R130)</f>
        <v>2.470450756476684</v>
      </c>
      <c r="T130" s="996" cm="1">
        <f t="array" aca="1" ref="T130" ca="1">IFERROR(INDEX('Eléments de constr. inté. et ex'!N:N, $F129)*$K130/$M130,0)/$I$1</f>
        <v>0</v>
      </c>
    </row>
    <row r="131" spans="2:20" ht="15.75" hidden="1" outlineLevel="1">
      <c r="B131" s="1536"/>
      <c r="C131" s="1539"/>
      <c r="D131" s="178"/>
      <c r="E131" s="178"/>
      <c r="F131" s="178">
        <f t="shared" ca="1" si="106"/>
        <v>8</v>
      </c>
      <c r="G131" s="178" t="str" cm="1">
        <f t="array" aca="1" ref="G131" ca="1">INDEX( 'Eléments de constr. inté. et ex'!C:C, $F130)</f>
        <v>3-SP Schalung 2.5cm (Annahme 5xverwendet) [kg]</v>
      </c>
      <c r="H131" s="178" t="str" cm="1">
        <f t="array" aca="1" ref="H131" ca="1">INDEX( 'Eléments de constr. inté. et ex'!D:D, $F130)</f>
        <v>Bois massif 3 et 5 plis</v>
      </c>
      <c r="I131" s="178" t="str" cm="1">
        <f t="array" aca="1" ref="I131" ca="1">INDEX( 'Eléments de constr. inté. et ex'!F:F, $F130)</f>
        <v>07.001</v>
      </c>
      <c r="J131" s="178" t="str">
        <f ca="1">_xlfn.XLOOKUP($I131,'Baumaterialien Matériaux'!A:A,'Baumaterialien Matériaux'!G:G,0,0)</f>
        <v>kg</v>
      </c>
      <c r="K131" s="286">
        <f t="shared" ca="1" si="107"/>
        <v>731.79000000000008</v>
      </c>
      <c r="L131" s="178" cm="1">
        <f t="array" aca="1" ref="L131" ca="1">INDEX( 'Eléments de constr. inté. et ex'!I:I, $F130)</f>
        <v>60</v>
      </c>
      <c r="M131" s="178" cm="1">
        <f t="array" aca="1" ref="M131" ca="1">INDEX( 'Eléments de constr. inté. et ex'!G:G, $F130)</f>
        <v>4.7000000000000011</v>
      </c>
      <c r="N131" s="999" cm="1">
        <f t="array" aca="1" ref="N131" ca="1">IFERROR(INDEX('Eléments de constr. inté. et ex'!L:L, $F130)*$K131/$M131,0)/$I$1</f>
        <v>0.3139492849740933</v>
      </c>
      <c r="O131" s="996">
        <f t="shared" ca="1" si="105"/>
        <v>0</v>
      </c>
      <c r="P131" s="996">
        <f t="shared" ca="1" si="105"/>
        <v>0</v>
      </c>
      <c r="Q131" s="275" cm="1">
        <f t="array" aca="1" ref="Q131" ca="1">_xlfn.SWITCH(L131,Q$3,N131+R131,O$3,O131,0)</f>
        <v>0</v>
      </c>
      <c r="R131" s="999" cm="1">
        <f t="array" aca="1" ref="R131" ca="1">IFERROR(INDEX('Eléments de constr. inté. et ex'!M:M, $F130)*$K131/$M131,0)/$I$1</f>
        <v>4.1935737823834203E-2</v>
      </c>
      <c r="S131" s="997">
        <f ca="1">SUM(N131:R131)</f>
        <v>0.3558850227979275</v>
      </c>
      <c r="T131" s="996" cm="1">
        <f t="array" aca="1" ref="T131" ca="1">IFERROR(INDEX('Eléments de constr. inté. et ex'!N:N, $F130)*$K131/$M131,0)/$I$1</f>
        <v>1.2039778134715027</v>
      </c>
    </row>
    <row r="132" spans="2:20" ht="15.75" hidden="1" outlineLevel="1">
      <c r="B132" s="1536"/>
      <c r="C132" s="1539"/>
      <c r="D132" s="178"/>
      <c r="E132" s="178"/>
      <c r="F132" s="178">
        <f>IF(I132=0,2,F131+1)</f>
        <v>2</v>
      </c>
      <c r="G132" s="178" cm="1">
        <f t="array" aca="1" ref="G132" ca="1">INDEX( 'Eléments de constr. inté. et ex'!C:C, $F131)</f>
        <v>0</v>
      </c>
      <c r="H132" s="178" cm="1">
        <f t="array" aca="1" ref="H132" ca="1">INDEX( 'Eléments de constr. inté. et ex'!D:D, $F131)</f>
        <v>0</v>
      </c>
      <c r="I132" s="178">
        <v>0</v>
      </c>
      <c r="J132" s="178">
        <f>_xlfn.XLOOKUP($I132,'Baumaterialien Matériaux'!A:A,'Baumaterialien Matériaux'!G:G,0,0)</f>
        <v>0</v>
      </c>
      <c r="K132" s="286">
        <f t="shared" ca="1" si="107"/>
        <v>0</v>
      </c>
      <c r="L132" s="178" cm="1">
        <f t="array" aca="1" ref="L132" ca="1">INDEX( 'Eléments de constr. inté. et ex'!I:I, $F131)</f>
        <v>0</v>
      </c>
      <c r="M132" s="178" cm="1">
        <f t="array" aca="1" ref="M132" ca="1">INDEX( 'Eléments de constr. inté. et ex'!G:G, $F131)</f>
        <v>0</v>
      </c>
      <c r="N132" s="999" cm="1">
        <f t="array" aca="1" ref="N132" ca="1">IFERROR(INDEX('Eléments de constr. inté. et ex'!L:L, $F131)*$K132/$M132,0)/$I$1</f>
        <v>0</v>
      </c>
      <c r="O132" s="996">
        <f t="shared" ca="1" si="105"/>
        <v>0</v>
      </c>
      <c r="P132" s="996">
        <f t="shared" ca="1" si="105"/>
        <v>0</v>
      </c>
      <c r="Q132" s="275" cm="1">
        <f t="array" aca="1" ref="Q132" ca="1">_xlfn.SWITCH(L132,Q$3,N132+R132,O$3,O132,0)</f>
        <v>0</v>
      </c>
      <c r="R132" s="999" cm="1">
        <f t="array" aca="1" ref="R132" ca="1">IFERROR(INDEX('Eléments de constr. inté. et ex'!M:M, $F131)*$K132/$M132,0)/$I$1</f>
        <v>0</v>
      </c>
      <c r="S132" s="997">
        <f ca="1">SUM(N132:R132)</f>
        <v>0</v>
      </c>
      <c r="T132" s="996" cm="1">
        <f t="array" aca="1" ref="T132" ca="1">IFERROR(INDEX('Eléments de constr. inté. et ex'!N:N, $F131)*$K132/$M132,0)/$I$1</f>
        <v>0</v>
      </c>
    </row>
    <row r="133" spans="2:20" ht="15.75" hidden="1" outlineLevel="1">
      <c r="B133" s="1536"/>
      <c r="C133" s="1540"/>
      <c r="D133" s="178"/>
      <c r="E133" s="178"/>
      <c r="F133" s="178">
        <f t="shared" si="106"/>
        <v>2</v>
      </c>
      <c r="G133" s="178" cm="1">
        <f t="array" ref="G133">INDEX( 'Eléments de constr. inté. et ex'!C:C, $F132)</f>
        <v>0</v>
      </c>
      <c r="H133" s="178" cm="1">
        <f t="array" ref="H133">INDEX( 'Eléments de constr. inté. et ex'!D:D, $F132)</f>
        <v>0</v>
      </c>
      <c r="I133" s="178" cm="1">
        <f t="array" ref="I133">INDEX( 'Eléments de constr. inté. et ex'!F:F, $F132)</f>
        <v>0</v>
      </c>
      <c r="J133" s="178">
        <f>_xlfn.XLOOKUP($I133,'Baumaterialien Matériaux'!A:A,'Baumaterialien Matériaux'!G:G,0,0)</f>
        <v>0</v>
      </c>
      <c r="K133" s="286">
        <f t="shared" si="107"/>
        <v>0</v>
      </c>
      <c r="L133" s="178" cm="1">
        <f t="array" ref="L133">INDEX( 'Eléments de constr. inté. et ex'!I:I, $F132)</f>
        <v>0</v>
      </c>
      <c r="M133" s="178" cm="1">
        <f t="array" ref="M133">INDEX( 'Eléments de constr. inté. et ex'!G:G, $F132)</f>
        <v>0</v>
      </c>
      <c r="N133" s="999" cm="1">
        <f t="array" ref="N133">IFERROR(INDEX('Eléments de constr. inté. et ex'!L:L, $F132)*$K133/$M133,0)/$I$1</f>
        <v>0</v>
      </c>
      <c r="O133" s="996">
        <f t="shared" si="105"/>
        <v>0</v>
      </c>
      <c r="P133" s="996">
        <f t="shared" si="105"/>
        <v>0</v>
      </c>
      <c r="Q133" s="275" cm="1">
        <f t="array" ref="Q133">_xlfn.SWITCH(L133,Q$3,N133+R133,O$3,O133,0)</f>
        <v>0</v>
      </c>
      <c r="R133" s="999" cm="1">
        <f t="array" ref="R133">IFERROR(INDEX('Eléments de constr. inté. et ex'!M:M, $F132)*$K133/$M133,0)/$I$1</f>
        <v>0</v>
      </c>
      <c r="S133" s="997">
        <f>SUM(N133:R133)</f>
        <v>0</v>
      </c>
      <c r="T133" s="996" cm="1">
        <f t="array" ref="T133">IFERROR(INDEX('Eléments de constr. inté. et ex'!N:N, $F132)*$K133/$M133,0)/$I$1</f>
        <v>0</v>
      </c>
    </row>
    <row r="134" spans="2:20" ht="15.6" customHeight="1" collapsed="1">
      <c r="B134" s="1536"/>
      <c r="C134" s="1538" t="str">
        <f>'Outil détaillé'!C34</f>
        <v>C04.01</v>
      </c>
      <c r="D134" s="177" t="str">
        <f>'Outil détaillé'!D34</f>
        <v>Planchers internes</v>
      </c>
      <c r="E134" s="177"/>
      <c r="F134" s="177">
        <f>MATCH(D134, 'Eléments de constr. inté. et ex'!B:B,0)</f>
        <v>39</v>
      </c>
      <c r="G134" s="177"/>
      <c r="H134" s="177"/>
      <c r="I134" s="177"/>
      <c r="J134" s="177"/>
      <c r="K134" s="289"/>
      <c r="L134" s="288"/>
      <c r="M134" s="288"/>
      <c r="N134" s="993">
        <f t="shared" ref="N134" ca="1" si="108">N135+N144+N153</f>
        <v>26.077550955414011</v>
      </c>
      <c r="O134" s="993">
        <f t="shared" ref="O134:T134" ca="1" si="109">O135+O144+O153</f>
        <v>0</v>
      </c>
      <c r="P134" s="993">
        <f t="shared" ca="1" si="109"/>
        <v>0</v>
      </c>
      <c r="Q134" s="993">
        <f t="shared" ca="1" si="109"/>
        <v>0</v>
      </c>
      <c r="R134" s="993">
        <f t="shared" ca="1" si="109"/>
        <v>5.0901223566878979</v>
      </c>
      <c r="S134" s="993">
        <f t="shared" ca="1" si="109"/>
        <v>31.167673312101911</v>
      </c>
      <c r="T134" s="1053">
        <f t="shared" ca="1" si="109"/>
        <v>95.478716666666671</v>
      </c>
    </row>
    <row r="135" spans="2:20" ht="15.75">
      <c r="B135" s="1536"/>
      <c r="C135" s="1539"/>
      <c r="D135" s="178" t="s">
        <v>555</v>
      </c>
      <c r="E135" s="179" t="str">
        <f>'Outil détaillé'!E35</f>
        <v>Système mixte bois-béton</v>
      </c>
      <c r="F135" s="928">
        <f ca="1">MATCH(E135, INDIRECT("'Eléments de constr. inté. et ex'!A"&amp;F134+1&amp;":A500"),0)+F134</f>
        <v>55</v>
      </c>
      <c r="G135" s="179"/>
      <c r="H135" s="179"/>
      <c r="I135" s="179"/>
      <c r="J135" s="179" t="s">
        <v>97</v>
      </c>
      <c r="K135" s="294">
        <f>'Outil détaillé'!J35</f>
        <v>321.66666666666669</v>
      </c>
      <c r="L135" s="295"/>
      <c r="M135" s="295"/>
      <c r="N135" s="994">
        <f t="shared" ref="N135" ca="1" si="110">SUM(N136:N143)</f>
        <v>8.6925169851380044</v>
      </c>
      <c r="O135" s="994">
        <f t="shared" ref="O135:T135" ca="1" si="111">SUM(O136:O143)</f>
        <v>0</v>
      </c>
      <c r="P135" s="994">
        <f t="shared" ca="1" si="111"/>
        <v>0</v>
      </c>
      <c r="Q135" s="994">
        <f t="shared" ca="1" si="111"/>
        <v>0</v>
      </c>
      <c r="R135" s="994">
        <f t="shared" ca="1" si="111"/>
        <v>1.6967074522292993</v>
      </c>
      <c r="S135" s="994">
        <f t="shared" ca="1" si="111"/>
        <v>10.389224437367304</v>
      </c>
      <c r="T135" s="1054">
        <f t="shared" ca="1" si="111"/>
        <v>31.826238888888891</v>
      </c>
    </row>
    <row r="136" spans="2:20" ht="15.75" hidden="1" outlineLevel="1">
      <c r="B136" s="1536"/>
      <c r="C136" s="1539"/>
      <c r="D136" s="178"/>
      <c r="E136" s="178"/>
      <c r="F136" s="178">
        <f ca="1">IF(I136=0,2,F135+1)</f>
        <v>56</v>
      </c>
      <c r="G136" s="178" t="str" cm="1">
        <f t="array" aca="1" ref="G136" ca="1">INDEX( 'Eléments de constr. inté. et ex'!C:C, $F135)</f>
        <v>Hochbaubeton 9cm [kg]</v>
      </c>
      <c r="H136" s="178" t="str" cm="1">
        <f t="array" aca="1" ref="H136" ca="1">INDEX( 'Eléments de constr. inté. et ex'!D:D, $F135)</f>
        <v>Béton pour bâtiment (sans armature)</v>
      </c>
      <c r="I136" s="178" t="str" cm="1">
        <f t="array" aca="1" ref="I136" ca="1">INDEX( 'Eléments de constr. inté. et ex'!F:F, $F135)</f>
        <v>01.002</v>
      </c>
      <c r="J136" s="178" t="str">
        <f ca="1">_xlfn.XLOOKUP($I136,'Baumaterialien Matériaux'!A:A,'Baumaterialien Matériaux'!G:G,0,0)</f>
        <v>kg</v>
      </c>
      <c r="K136" s="597">
        <f ca="1">M136*$K$135</f>
        <v>66330.535031847132</v>
      </c>
      <c r="L136" s="178" cm="1">
        <f t="array" aca="1" ref="L136" ca="1">INDEX( 'Eléments de constr. inté. et ex'!I:I, $F135)</f>
        <v>60</v>
      </c>
      <c r="M136" s="178" cm="1">
        <f t="array" aca="1" ref="M136" ca="1">INDEX( 'Eléments de constr. inté. et ex'!G:G, $F135)</f>
        <v>206.20891719745222</v>
      </c>
      <c r="N136" s="999" cm="1">
        <f t="array" aca="1" ref="N136" ca="1">IFERROR(INDEX('Eléments de constr. inté. et ex'!L:L, $F135)*$K136/$M136,0)/$I$1</f>
        <v>6.0969103184713376</v>
      </c>
      <c r="O136" s="996">
        <f t="shared" ref="O136:P143" ca="1" si="112">IF($L136=O$3,$N136+$R136,0)</f>
        <v>0</v>
      </c>
      <c r="P136" s="996">
        <f t="shared" ca="1" si="112"/>
        <v>0</v>
      </c>
      <c r="Q136" s="275" cm="1">
        <f t="array" aca="1" ref="Q136" ca="1">_xlfn.SWITCH(L136,Q$3,N136+R136,O$3,O136,0)</f>
        <v>0</v>
      </c>
      <c r="R136" s="999" cm="1">
        <f t="array" aca="1" ref="R136" ca="1">IFERROR(INDEX('Eléments de constr. inté. et ex'!M:M, $F135)*$K136/$M136,0)/$I$1</f>
        <v>0.86607745222929944</v>
      </c>
      <c r="S136" s="997">
        <f t="shared" ref="S136:S143" ca="1" si="113">SUM(N136:R136)</f>
        <v>6.9629877707006367</v>
      </c>
      <c r="T136" s="996" cm="1">
        <f t="array" aca="1" ref="T136" ca="1">IFERROR(INDEX('Eléments de constr. inté. et ex'!N:N, $F135)*$K136/$M136,0)/$I$1</f>
        <v>0</v>
      </c>
    </row>
    <row r="137" spans="2:20" ht="15.75" hidden="1" outlineLevel="1">
      <c r="B137" s="1536"/>
      <c r="C137" s="1539"/>
      <c r="D137" s="178"/>
      <c r="E137" s="178"/>
      <c r="F137" s="178">
        <f t="shared" ref="F137:F143" ca="1" si="114">IF(I137=0,2,F136+1)</f>
        <v>57</v>
      </c>
      <c r="G137" s="178" t="str" cm="1">
        <f t="array" aca="1" ref="G137" ca="1">INDEX( 'Eléments de constr. inté. et ex'!C:C, $F136)</f>
        <v>Armierungsstahl [kg]</v>
      </c>
      <c r="H137" s="178" t="str" cm="1">
        <f t="array" aca="1" ref="H137" ca="1">INDEX( 'Eléments de constr. inté. et ex'!D:D, $F136)</f>
        <v>Acier d'armature</v>
      </c>
      <c r="I137" s="178" t="str" cm="1">
        <f t="array" aca="1" ref="I137" ca="1">INDEX( 'Eléments de constr. inté. et ex'!F:F, $F136)</f>
        <v>06.003</v>
      </c>
      <c r="J137" s="178" t="str">
        <f ca="1">_xlfn.XLOOKUP($I137,'Baumaterialien Matériaux'!A:A,'Baumaterialien Matériaux'!G:G,0,0)</f>
        <v>kg</v>
      </c>
      <c r="K137" s="286">
        <f t="shared" ref="K137:K143" ca="1" si="115">M137*$K$135</f>
        <v>868.50000000000011</v>
      </c>
      <c r="L137" s="178" cm="1">
        <f t="array" aca="1" ref="L137" ca="1">INDEX( 'Eléments de constr. inté. et ex'!I:I, $F136)</f>
        <v>60</v>
      </c>
      <c r="M137" s="178" cm="1">
        <f t="array" aca="1" ref="M137" ca="1">INDEX( 'Eléments de constr. inté. et ex'!G:G, $F136)</f>
        <v>2.7</v>
      </c>
      <c r="N137" s="999" cm="1">
        <f t="array" aca="1" ref="N137" ca="1">IFERROR(INDEX('Eléments de constr. inté. et ex'!L:L, $F136)*$K137/$M137,0)/$I$1</f>
        <v>0.69570000000000021</v>
      </c>
      <c r="O137" s="996">
        <f t="shared" ca="1" si="112"/>
        <v>0</v>
      </c>
      <c r="P137" s="996">
        <f t="shared" ca="1" si="112"/>
        <v>0</v>
      </c>
      <c r="Q137" s="275" cm="1">
        <f t="array" aca="1" ref="Q137" ca="1">_xlfn.SWITCH(L137,Q$3,N137+R137,O$3,O137,0)</f>
        <v>0</v>
      </c>
      <c r="R137" s="999" cm="1">
        <f t="array" aca="1" ref="R137" ca="1">IFERROR(INDEX('Eléments de constr. inté. et ex'!M:M, $F136)*$K137/$M137,0)/$I$1</f>
        <v>1.0980000000000002E-2</v>
      </c>
      <c r="S137" s="997">
        <f t="shared" ca="1" si="113"/>
        <v>0.7066800000000002</v>
      </c>
      <c r="T137" s="996" cm="1">
        <f t="array" aca="1" ref="T137" ca="1">IFERROR(INDEX('Eléments de constr. inté. et ex'!N:N, $F136)*$K137/$M137,0)/$I$1</f>
        <v>0</v>
      </c>
    </row>
    <row r="138" spans="2:20" ht="15.75" hidden="1" outlineLevel="1">
      <c r="B138" s="1536"/>
      <c r="C138" s="1539"/>
      <c r="D138" s="178"/>
      <c r="E138" s="178"/>
      <c r="F138" s="178">
        <f t="shared" ca="1" si="114"/>
        <v>58</v>
      </c>
      <c r="G138" s="178" t="str" cm="1">
        <f t="array" aca="1" ref="G138" ca="1">INDEX( 'Eléments de constr. inté. et ex'!C:C, $F137)</f>
        <v>Nadelschnittholz [kg]</v>
      </c>
      <c r="H138" s="178" t="str" cm="1">
        <f t="array" aca="1" ref="H138" ca="1">INDEX( 'Eléments de constr. inté. et ex'!D:D, $F137)</f>
        <v>Bois massif épicéa / sapin / mélèze, séché à l'air, brut</v>
      </c>
      <c r="I138" s="178" t="str" cm="1">
        <f t="array" aca="1" ref="I138" ca="1">INDEX( 'Eléments de constr. inté. et ex'!F:F, $F137)</f>
        <v>07.009</v>
      </c>
      <c r="J138" s="178" t="str">
        <f ca="1">_xlfn.XLOOKUP($I138,'Baumaterialien Matériaux'!A:A,'Baumaterialien Matériaux'!G:G,0,0)</f>
        <v>kg</v>
      </c>
      <c r="K138" s="286">
        <f t="shared" ca="1" si="115"/>
        <v>20281.083333333336</v>
      </c>
      <c r="L138" s="178" cm="1">
        <f t="array" aca="1" ref="L138" ca="1">INDEX( 'Eléments de constr. inté. et ex'!I:I, $F137)</f>
        <v>60</v>
      </c>
      <c r="M138" s="178" cm="1">
        <f t="array" aca="1" ref="M138" ca="1">INDEX( 'Eléments de constr. inté. et ex'!G:G, $F137)</f>
        <v>63.050000000000004</v>
      </c>
      <c r="N138" s="999" cm="1">
        <f t="array" aca="1" ref="N138" ca="1">IFERROR(INDEX('Eléments de constr. inté. et ex'!L:L, $F137)*$K138/$M138,0)/$I$1</f>
        <v>1.8999066666666666</v>
      </c>
      <c r="O138" s="996">
        <f t="shared" ca="1" si="112"/>
        <v>0</v>
      </c>
      <c r="P138" s="996">
        <f t="shared" ca="1" si="112"/>
        <v>0</v>
      </c>
      <c r="Q138" s="275" cm="1">
        <f t="array" aca="1" ref="Q138" ca="1">_xlfn.SWITCH(L138,Q$3,N138+R138,O$3,O138,0)</f>
        <v>0</v>
      </c>
      <c r="R138" s="999" cm="1">
        <f t="array" aca="1" ref="R138" ca="1">IFERROR(INDEX('Eléments de constr. inté. et ex'!M:M, $F137)*$K138/$M138,0)/$I$1</f>
        <v>0.81964999999999999</v>
      </c>
      <c r="S138" s="997">
        <f t="shared" ca="1" si="113"/>
        <v>2.7195566666666666</v>
      </c>
      <c r="T138" s="996" cm="1">
        <f t="array" aca="1" ref="T138" ca="1">IFERROR(INDEX('Eléments de constr. inté. et ex'!N:N, $F137)*$K138/$M138,0)/$I$1</f>
        <v>31.826238888888891</v>
      </c>
    </row>
    <row r="139" spans="2:20" ht="15.75" hidden="1" outlineLevel="1">
      <c r="B139" s="1536"/>
      <c r="C139" s="1539"/>
      <c r="D139" s="178"/>
      <c r="E139" s="178"/>
      <c r="F139" s="178">
        <f t="shared" ca="1" si="114"/>
        <v>2</v>
      </c>
      <c r="G139" s="178" cm="1">
        <f t="array" aca="1" ref="G139" ca="1">INDEX( 'Eléments de constr. inté. et ex'!C:C, $F138)</f>
        <v>0</v>
      </c>
      <c r="H139" s="178" cm="1">
        <f t="array" aca="1" ref="H139" ca="1">INDEX( 'Eléments de constr. inté. et ex'!D:D, $F138)</f>
        <v>0</v>
      </c>
      <c r="I139" s="178" cm="1">
        <f t="array" aca="1" ref="I139" ca="1">INDEX( 'Eléments de constr. inté. et ex'!F:F, $F138)</f>
        <v>0</v>
      </c>
      <c r="J139" s="178">
        <f ca="1">_xlfn.XLOOKUP($I139,'Baumaterialien Matériaux'!A:A,'Baumaterialien Matériaux'!G:G,0,0)</f>
        <v>0</v>
      </c>
      <c r="K139" s="286">
        <f t="shared" ca="1" si="115"/>
        <v>0</v>
      </c>
      <c r="L139" s="178" cm="1">
        <f t="array" aca="1" ref="L139" ca="1">INDEX( 'Eléments de constr. inté. et ex'!I:I, $F138)</f>
        <v>0</v>
      </c>
      <c r="M139" s="178" cm="1">
        <f t="array" aca="1" ref="M139" ca="1">INDEX( 'Eléments de constr. inté. et ex'!G:G, $F138)</f>
        <v>0</v>
      </c>
      <c r="N139" s="999" cm="1">
        <f t="array" aca="1" ref="N139" ca="1">IFERROR(INDEX('Eléments de constr. inté. et ex'!L:L, $F138)*$K139/$M139,0)/$I$1</f>
        <v>0</v>
      </c>
      <c r="O139" s="996">
        <f t="shared" ca="1" si="112"/>
        <v>0</v>
      </c>
      <c r="P139" s="996">
        <f t="shared" ca="1" si="112"/>
        <v>0</v>
      </c>
      <c r="Q139" s="275" cm="1">
        <f t="array" aca="1" ref="Q139" ca="1">_xlfn.SWITCH(L139,Q$3,N139+R139,O$3,O139,0)</f>
        <v>0</v>
      </c>
      <c r="R139" s="999" cm="1">
        <f t="array" aca="1" ref="R139" ca="1">IFERROR(INDEX('Eléments de constr. inté. et ex'!M:M, $F138)*$K139/$M139,0)/$I$1</f>
        <v>0</v>
      </c>
      <c r="S139" s="997">
        <f t="shared" ca="1" si="113"/>
        <v>0</v>
      </c>
      <c r="T139" s="996" cm="1">
        <f t="array" aca="1" ref="T139" ca="1">IFERROR(INDEX('Eléments de constr. inté. et ex'!N:N, $F138)*$K139/$M139,0)/$I$1</f>
        <v>0</v>
      </c>
    </row>
    <row r="140" spans="2:20" ht="15.75" hidden="1" outlineLevel="1">
      <c r="B140" s="1536"/>
      <c r="C140" s="1539"/>
      <c r="D140" s="178"/>
      <c r="E140" s="178"/>
      <c r="F140" s="178">
        <f t="shared" ca="1" si="114"/>
        <v>2</v>
      </c>
      <c r="G140" s="178" cm="1">
        <f t="array" aca="1" ref="G140" ca="1">INDEX( 'Eléments de constr. inté. et ex'!C:C, $F139)</f>
        <v>0</v>
      </c>
      <c r="H140" s="178" cm="1">
        <f t="array" aca="1" ref="H140" ca="1">INDEX( 'Eléments de constr. inté. et ex'!D:D, $F139)</f>
        <v>0</v>
      </c>
      <c r="I140" s="178" cm="1">
        <f t="array" aca="1" ref="I140" ca="1">INDEX( 'Eléments de constr. inté. et ex'!F:F, $F139)</f>
        <v>0</v>
      </c>
      <c r="J140" s="178">
        <f ca="1">_xlfn.XLOOKUP($I140,'Baumaterialien Matériaux'!A:A,'Baumaterialien Matériaux'!G:G,0,0)</f>
        <v>0</v>
      </c>
      <c r="K140" s="286">
        <f t="shared" ca="1" si="115"/>
        <v>0</v>
      </c>
      <c r="L140" s="178" cm="1">
        <f t="array" aca="1" ref="L140" ca="1">INDEX( 'Eléments de constr. inté. et ex'!I:I, $F139)</f>
        <v>0</v>
      </c>
      <c r="M140" s="178" cm="1">
        <f t="array" aca="1" ref="M140" ca="1">INDEX( 'Eléments de constr. inté. et ex'!G:G, $F139)</f>
        <v>0</v>
      </c>
      <c r="N140" s="999" cm="1">
        <f t="array" aca="1" ref="N140" ca="1">IFERROR(INDEX('Eléments de constr. inté. et ex'!L:L, $F139)*$K140/$M140,0)/$I$1</f>
        <v>0</v>
      </c>
      <c r="O140" s="996">
        <f t="shared" ca="1" si="112"/>
        <v>0</v>
      </c>
      <c r="P140" s="996">
        <f t="shared" ca="1" si="112"/>
        <v>0</v>
      </c>
      <c r="Q140" s="275" cm="1">
        <f t="array" aca="1" ref="Q140" ca="1">_xlfn.SWITCH(L140,Q$3,N140+R140,O$3,O140,0)</f>
        <v>0</v>
      </c>
      <c r="R140" s="999" cm="1">
        <f t="array" aca="1" ref="R140" ca="1">IFERROR(INDEX('Eléments de constr. inté. et ex'!M:M, $F139)*$K140/$M140,0)/$I$1</f>
        <v>0</v>
      </c>
      <c r="S140" s="997">
        <f t="shared" ca="1" si="113"/>
        <v>0</v>
      </c>
      <c r="T140" s="996" cm="1">
        <f t="array" aca="1" ref="T140" ca="1">IFERROR(INDEX('Eléments de constr. inté. et ex'!N:N, $F139)*$K140/$M140,0)/$I$1</f>
        <v>0</v>
      </c>
    </row>
    <row r="141" spans="2:20" ht="15.75" hidden="1" customHeight="1" outlineLevel="1">
      <c r="B141" s="1536"/>
      <c r="C141" s="1539"/>
      <c r="D141" s="178"/>
      <c r="E141" s="178"/>
      <c r="F141" s="178">
        <f t="shared" ca="1" si="114"/>
        <v>2</v>
      </c>
      <c r="G141" s="178" cm="1">
        <f t="array" aca="1" ref="G141" ca="1">INDEX( 'Eléments de constr. inté. et ex'!C:C, $F140)</f>
        <v>0</v>
      </c>
      <c r="H141" s="178" cm="1">
        <f t="array" aca="1" ref="H141" ca="1">INDEX( 'Eléments de constr. inté. et ex'!D:D, $F140)</f>
        <v>0</v>
      </c>
      <c r="I141" s="178" cm="1">
        <f t="array" aca="1" ref="I141" ca="1">INDEX( 'Eléments de constr. inté. et ex'!F:F, $F140)</f>
        <v>0</v>
      </c>
      <c r="J141" s="178">
        <f ca="1">_xlfn.XLOOKUP($I141,'Baumaterialien Matériaux'!A:A,'Baumaterialien Matériaux'!G:G,0,0)</f>
        <v>0</v>
      </c>
      <c r="K141" s="286">
        <f t="shared" ca="1" si="115"/>
        <v>0</v>
      </c>
      <c r="L141" s="178" cm="1">
        <f t="array" aca="1" ref="L141" ca="1">INDEX( 'Eléments de constr. inté. et ex'!I:I, $F140)</f>
        <v>0</v>
      </c>
      <c r="M141" s="178" cm="1">
        <f t="array" aca="1" ref="M141" ca="1">INDEX( 'Eléments de constr. inté. et ex'!G:G, $F140)</f>
        <v>0</v>
      </c>
      <c r="N141" s="999" cm="1">
        <f t="array" aca="1" ref="N141" ca="1">IFERROR(INDEX('Eléments de constr. inté. et ex'!L:L, $F140)*$K141/$M141,0)/$I$1</f>
        <v>0</v>
      </c>
      <c r="O141" s="996">
        <f t="shared" ca="1" si="112"/>
        <v>0</v>
      </c>
      <c r="P141" s="996">
        <f t="shared" ca="1" si="112"/>
        <v>0</v>
      </c>
      <c r="Q141" s="275" cm="1">
        <f t="array" aca="1" ref="Q141" ca="1">_xlfn.SWITCH(L141,Q$3,N141+R141,O$3,O141,0)</f>
        <v>0</v>
      </c>
      <c r="R141" s="999" cm="1">
        <f t="array" aca="1" ref="R141" ca="1">IFERROR(INDEX('Eléments de constr. inté. et ex'!M:M, $F140)*$K141/$M141,0)/$I$1</f>
        <v>0</v>
      </c>
      <c r="S141" s="997">
        <f t="shared" ca="1" si="113"/>
        <v>0</v>
      </c>
      <c r="T141" s="996" cm="1">
        <f t="array" aca="1" ref="T141" ca="1">IFERROR(INDEX('Eléments de constr. inté. et ex'!N:N, $F140)*$K141/$M141,0)/$I$1</f>
        <v>0</v>
      </c>
    </row>
    <row r="142" spans="2:20" ht="15.75" hidden="1" outlineLevel="1">
      <c r="B142" s="1536"/>
      <c r="C142" s="1539"/>
      <c r="D142" s="178"/>
      <c r="E142" s="178"/>
      <c r="F142" s="178">
        <f t="shared" ca="1" si="114"/>
        <v>2</v>
      </c>
      <c r="G142" s="178" cm="1">
        <f t="array" aca="1" ref="G142" ca="1">INDEX( 'Eléments de constr. inté. et ex'!C:C, $F141)</f>
        <v>0</v>
      </c>
      <c r="H142" s="178" cm="1">
        <f t="array" aca="1" ref="H142" ca="1">INDEX( 'Eléments de constr. inté. et ex'!D:D, $F141)</f>
        <v>0</v>
      </c>
      <c r="I142" s="178" cm="1">
        <f t="array" aca="1" ref="I142" ca="1">INDEX( 'Eléments de constr. inté. et ex'!F:F, $F141)</f>
        <v>0</v>
      </c>
      <c r="J142" s="178">
        <f ca="1">_xlfn.XLOOKUP($I142,'Baumaterialien Matériaux'!A:A,'Baumaterialien Matériaux'!G:G,0,0)</f>
        <v>0</v>
      </c>
      <c r="K142" s="286">
        <f t="shared" ca="1" si="115"/>
        <v>0</v>
      </c>
      <c r="L142" s="178" cm="1">
        <f t="array" aca="1" ref="L142" ca="1">INDEX( 'Eléments de constr. inté. et ex'!I:I, $F141)</f>
        <v>0</v>
      </c>
      <c r="M142" s="178" cm="1">
        <f t="array" aca="1" ref="M142" ca="1">INDEX( 'Eléments de constr. inté. et ex'!G:G, $F141)</f>
        <v>0</v>
      </c>
      <c r="N142" s="999" cm="1">
        <f t="array" aca="1" ref="N142" ca="1">IFERROR(INDEX('Eléments de constr. inté. et ex'!L:L, $F141)*$K142/$M142,0)/$I$1</f>
        <v>0</v>
      </c>
      <c r="O142" s="996">
        <f t="shared" ca="1" si="112"/>
        <v>0</v>
      </c>
      <c r="P142" s="996">
        <f t="shared" ca="1" si="112"/>
        <v>0</v>
      </c>
      <c r="Q142" s="275" cm="1">
        <f t="array" aca="1" ref="Q142" ca="1">_xlfn.SWITCH(L142,Q$3,N142+R142,O$3,O142,0)</f>
        <v>0</v>
      </c>
      <c r="R142" s="999" cm="1">
        <f t="array" aca="1" ref="R142" ca="1">IFERROR(INDEX('Eléments de constr. inté. et ex'!M:M, $F141)*$K142/$M142,0)/$I$1</f>
        <v>0</v>
      </c>
      <c r="S142" s="997">
        <f t="shared" ca="1" si="113"/>
        <v>0</v>
      </c>
      <c r="T142" s="996" cm="1">
        <f t="array" aca="1" ref="T142" ca="1">IFERROR(INDEX('Eléments de constr. inté. et ex'!N:N, $F141)*$K142/$M142,0)/$I$1</f>
        <v>0</v>
      </c>
    </row>
    <row r="143" spans="2:20" ht="15.75" hidden="1" outlineLevel="1">
      <c r="B143" s="1536"/>
      <c r="C143" s="1539"/>
      <c r="D143" s="178"/>
      <c r="E143" s="178"/>
      <c r="F143" s="178">
        <f t="shared" ca="1" si="114"/>
        <v>2</v>
      </c>
      <c r="G143" s="178" cm="1">
        <f t="array" aca="1" ref="G143" ca="1">INDEX( 'Eléments de constr. inté. et ex'!C:C, $F142)</f>
        <v>0</v>
      </c>
      <c r="H143" s="178" cm="1">
        <f t="array" aca="1" ref="H143" ca="1">INDEX( 'Eléments de constr. inté. et ex'!D:D, $F142)</f>
        <v>0</v>
      </c>
      <c r="I143" s="178" cm="1">
        <f t="array" aca="1" ref="I143" ca="1">INDEX( 'Eléments de constr. inté. et ex'!F:F, $F142)</f>
        <v>0</v>
      </c>
      <c r="J143" s="178">
        <f ca="1">_xlfn.XLOOKUP($I143,'Baumaterialien Matériaux'!A:A,'Baumaterialien Matériaux'!G:G,0,0)</f>
        <v>0</v>
      </c>
      <c r="K143" s="286">
        <f t="shared" ca="1" si="115"/>
        <v>0</v>
      </c>
      <c r="L143" s="178" cm="1">
        <f t="array" aca="1" ref="L143" ca="1">INDEX( 'Eléments de constr. inté. et ex'!I:I, $F142)</f>
        <v>0</v>
      </c>
      <c r="M143" s="178" cm="1">
        <f t="array" aca="1" ref="M143" ca="1">INDEX( 'Eléments de constr. inté. et ex'!G:G, $F142)</f>
        <v>0</v>
      </c>
      <c r="N143" s="999" cm="1">
        <f t="array" aca="1" ref="N143" ca="1">IFERROR(INDEX('Eléments de constr. inté. et ex'!L:L, $F142)*$K143/$M143,0)/$I$1</f>
        <v>0</v>
      </c>
      <c r="O143" s="996">
        <f t="shared" ca="1" si="112"/>
        <v>0</v>
      </c>
      <c r="P143" s="996">
        <f t="shared" ca="1" si="112"/>
        <v>0</v>
      </c>
      <c r="Q143" s="275" cm="1">
        <f t="array" aca="1" ref="Q143" ca="1">_xlfn.SWITCH(L143,Q$3,N143+R143,O$3,O143,0)</f>
        <v>0</v>
      </c>
      <c r="R143" s="999" cm="1">
        <f t="array" aca="1" ref="R143" ca="1">IFERROR(INDEX('Eléments de constr. inté. et ex'!M:M, $F142)*$K143/$M143,0)/$I$1</f>
        <v>0</v>
      </c>
      <c r="S143" s="997">
        <f t="shared" ca="1" si="113"/>
        <v>0</v>
      </c>
      <c r="T143" s="996" cm="1">
        <f t="array" aca="1" ref="T143" ca="1">IFERROR(INDEX('Eléments de constr. inté. et ex'!N:N, $F142)*$K143/$M143,0)/$I$1</f>
        <v>0</v>
      </c>
    </row>
    <row r="144" spans="2:20" ht="15.75" collapsed="1">
      <c r="B144" s="1536"/>
      <c r="C144" s="1539"/>
      <c r="D144" s="178" t="s">
        <v>122</v>
      </c>
      <c r="E144" s="179" t="str">
        <f>'Outil détaillé'!E36</f>
        <v>Système mixte bois-béton</v>
      </c>
      <c r="F144" s="928">
        <f ca="1">MATCH(E144, INDIRECT("'Eléments de constr. inté. et ex'!A"&amp;F134+1&amp;":A500"),0)+F134</f>
        <v>55</v>
      </c>
      <c r="G144" s="179"/>
      <c r="H144" s="179"/>
      <c r="I144" s="179"/>
      <c r="J144" s="179" t="s">
        <v>97</v>
      </c>
      <c r="K144" s="294">
        <f>'Outil détaillé'!J36</f>
        <v>643.33333333333337</v>
      </c>
      <c r="L144" s="295"/>
      <c r="M144" s="295"/>
      <c r="N144" s="994">
        <f t="shared" ref="N144" ca="1" si="116">SUM(N145:N152)</f>
        <v>17.385033970276009</v>
      </c>
      <c r="O144" s="994">
        <f t="shared" ref="O144:T144" ca="1" si="117">SUM(O145:O152)</f>
        <v>0</v>
      </c>
      <c r="P144" s="994">
        <f t="shared" ca="1" si="117"/>
        <v>0</v>
      </c>
      <c r="Q144" s="994">
        <f t="shared" ca="1" si="117"/>
        <v>0</v>
      </c>
      <c r="R144" s="994">
        <f t="shared" ca="1" si="117"/>
        <v>3.3934149044585986</v>
      </c>
      <c r="S144" s="994">
        <f t="shared" ca="1" si="117"/>
        <v>20.778448874734607</v>
      </c>
      <c r="T144" s="1054">
        <f t="shared" ca="1" si="117"/>
        <v>63.652477777777783</v>
      </c>
    </row>
    <row r="145" spans="2:20" ht="15.75" hidden="1" outlineLevel="1">
      <c r="B145" s="1536"/>
      <c r="C145" s="1539"/>
      <c r="D145" s="178"/>
      <c r="E145" s="178"/>
      <c r="F145" s="178">
        <f ca="1">IF(I145=0,2,F144+1)</f>
        <v>56</v>
      </c>
      <c r="G145" s="178" t="str" cm="1">
        <f t="array" aca="1" ref="G145" ca="1">INDEX( 'Eléments de constr. inté. et ex'!C:C, $F144)</f>
        <v>Hochbaubeton 9cm [kg]</v>
      </c>
      <c r="H145" s="178" t="str" cm="1">
        <f t="array" aca="1" ref="H145" ca="1">INDEX( 'Eléments de constr. inté. et ex'!D:D, $F144)</f>
        <v>Béton pour bâtiment (sans armature)</v>
      </c>
      <c r="I145" s="178" t="str" cm="1">
        <f t="array" aca="1" ref="I145" ca="1">INDEX( 'Eléments de constr. inté. et ex'!F:F, $F144)</f>
        <v>01.002</v>
      </c>
      <c r="J145" s="178" t="str">
        <f ca="1">_xlfn.XLOOKUP($I145,'Baumaterialien Matériaux'!A:A,'Baumaterialien Matériaux'!G:G,0,0)</f>
        <v>kg</v>
      </c>
      <c r="K145" s="286">
        <f ca="1">M145*$K$144</f>
        <v>132661.07006369426</v>
      </c>
      <c r="L145" s="178" cm="1">
        <f t="array" aca="1" ref="L145" ca="1">INDEX( 'Eléments de constr. inté. et ex'!I:I, $F144)</f>
        <v>60</v>
      </c>
      <c r="M145" s="178" cm="1">
        <f t="array" aca="1" ref="M145" ca="1">INDEX( 'Eléments de constr. inté. et ex'!G:G, $F144)</f>
        <v>206.20891719745222</v>
      </c>
      <c r="N145" s="999" cm="1">
        <f t="array" aca="1" ref="N145" ca="1">IFERROR(INDEX('Eléments de constr. inté. et ex'!L:L, $F144)*$K145/$M145,0)/$I$1</f>
        <v>12.193820636942675</v>
      </c>
      <c r="O145" s="996">
        <f t="shared" ref="O145:P152" ca="1" si="118">IF($L145=O$3,$N145+$R145,0)</f>
        <v>0</v>
      </c>
      <c r="P145" s="996">
        <f t="shared" ca="1" si="118"/>
        <v>0</v>
      </c>
      <c r="Q145" s="275" cm="1">
        <f t="array" aca="1" ref="Q145" ca="1">_xlfn.SWITCH(L145,Q$3,N145+R145,O$3,O145,0)</f>
        <v>0</v>
      </c>
      <c r="R145" s="999" cm="1">
        <f t="array" aca="1" ref="R145" ca="1">IFERROR(INDEX('Eléments de constr. inté. et ex'!M:M, $F144)*$K145/$M145,0)/$I$1</f>
        <v>1.7321549044585989</v>
      </c>
      <c r="S145" s="997">
        <f t="shared" ref="S145:S152" ca="1" si="119">SUM(N145:R145)</f>
        <v>13.925975541401273</v>
      </c>
      <c r="T145" s="996" cm="1">
        <f t="array" aca="1" ref="T145" ca="1">IFERROR(INDEX('Eléments de constr. inté. et ex'!N:N, $F144)*$K145/$M145,0)/$I$1</f>
        <v>0</v>
      </c>
    </row>
    <row r="146" spans="2:20" ht="15.75" hidden="1" outlineLevel="1">
      <c r="B146" s="1536"/>
      <c r="C146" s="1539"/>
      <c r="D146" s="178"/>
      <c r="E146" s="178"/>
      <c r="F146" s="178">
        <f t="shared" ref="F146:F152" ca="1" si="120">IF(I146=0,2,F145+1)</f>
        <v>57</v>
      </c>
      <c r="G146" s="178" t="str" cm="1">
        <f t="array" aca="1" ref="G146" ca="1">INDEX( 'Eléments de constr. inté. et ex'!C:C, $F145)</f>
        <v>Armierungsstahl [kg]</v>
      </c>
      <c r="H146" s="178" t="str" cm="1">
        <f t="array" aca="1" ref="H146" ca="1">INDEX( 'Eléments de constr. inté. et ex'!D:D, $F145)</f>
        <v>Acier d'armature</v>
      </c>
      <c r="I146" s="178" t="str" cm="1">
        <f t="array" aca="1" ref="I146" ca="1">INDEX( 'Eléments de constr. inté. et ex'!F:F, $F145)</f>
        <v>06.003</v>
      </c>
      <c r="J146" s="178" t="str">
        <f ca="1">_xlfn.XLOOKUP($I146,'Baumaterialien Matériaux'!A:A,'Baumaterialien Matériaux'!G:G,0,0)</f>
        <v>kg</v>
      </c>
      <c r="K146" s="286">
        <f t="shared" ref="K146:K152" ca="1" si="121">M146*$K$144</f>
        <v>1737.0000000000002</v>
      </c>
      <c r="L146" s="178" cm="1">
        <f t="array" aca="1" ref="L146" ca="1">INDEX( 'Eléments de constr. inté. et ex'!I:I, $F145)</f>
        <v>60</v>
      </c>
      <c r="M146" s="178" cm="1">
        <f t="array" aca="1" ref="M146" ca="1">INDEX( 'Eléments de constr. inté. et ex'!G:G, $F145)</f>
        <v>2.7</v>
      </c>
      <c r="N146" s="999" cm="1">
        <f t="array" aca="1" ref="N146" ca="1">IFERROR(INDEX('Eléments de constr. inté. et ex'!L:L, $F145)*$K146/$M146,0)/$I$1</f>
        <v>1.3914000000000004</v>
      </c>
      <c r="O146" s="996">
        <f t="shared" ca="1" si="118"/>
        <v>0</v>
      </c>
      <c r="P146" s="996">
        <f t="shared" ca="1" si="118"/>
        <v>0</v>
      </c>
      <c r="Q146" s="275" cm="1">
        <f t="array" aca="1" ref="Q146" ca="1">_xlfn.SWITCH(L146,Q$3,N146+R146,O$3,O146,0)</f>
        <v>0</v>
      </c>
      <c r="R146" s="999" cm="1">
        <f t="array" aca="1" ref="R146" ca="1">IFERROR(INDEX('Eléments de constr. inté. et ex'!M:M, $F145)*$K146/$M146,0)/$I$1</f>
        <v>2.1960000000000004E-2</v>
      </c>
      <c r="S146" s="997">
        <f t="shared" ca="1" si="119"/>
        <v>1.4133600000000004</v>
      </c>
      <c r="T146" s="996" cm="1">
        <f t="array" aca="1" ref="T146" ca="1">IFERROR(INDEX('Eléments de constr. inté. et ex'!N:N, $F145)*$K146/$M146,0)/$I$1</f>
        <v>0</v>
      </c>
    </row>
    <row r="147" spans="2:20" ht="15.75" hidden="1" outlineLevel="1">
      <c r="B147" s="1536"/>
      <c r="C147" s="1539"/>
      <c r="D147" s="178"/>
      <c r="E147" s="178"/>
      <c r="F147" s="178">
        <f t="shared" ca="1" si="120"/>
        <v>58</v>
      </c>
      <c r="G147" s="178" t="str" cm="1">
        <f t="array" aca="1" ref="G147" ca="1">INDEX( 'Eléments de constr. inté. et ex'!C:C, $F146)</f>
        <v>Nadelschnittholz [kg]</v>
      </c>
      <c r="H147" s="178" t="str" cm="1">
        <f t="array" aca="1" ref="H147" ca="1">INDEX( 'Eléments de constr. inté. et ex'!D:D, $F146)</f>
        <v>Bois massif épicéa / sapin / mélèze, séché à l'air, brut</v>
      </c>
      <c r="I147" s="178" t="str" cm="1">
        <f t="array" aca="1" ref="I147" ca="1">INDEX( 'Eléments de constr. inté. et ex'!F:F, $F146)</f>
        <v>07.009</v>
      </c>
      <c r="J147" s="178" t="str">
        <f ca="1">_xlfn.XLOOKUP($I147,'Baumaterialien Matériaux'!A:A,'Baumaterialien Matériaux'!G:G,0,0)</f>
        <v>kg</v>
      </c>
      <c r="K147" s="286">
        <f t="shared" ca="1" si="121"/>
        <v>40562.166666666672</v>
      </c>
      <c r="L147" s="178" cm="1">
        <f t="array" aca="1" ref="L147" ca="1">INDEX( 'Eléments de constr. inté. et ex'!I:I, $F146)</f>
        <v>60</v>
      </c>
      <c r="M147" s="178" cm="1">
        <f t="array" aca="1" ref="M147" ca="1">INDEX( 'Eléments de constr. inté. et ex'!G:G, $F146)</f>
        <v>63.050000000000004</v>
      </c>
      <c r="N147" s="999" cm="1">
        <f t="array" aca="1" ref="N147" ca="1">IFERROR(INDEX('Eléments de constr. inté. et ex'!L:L, $F146)*$K147/$M147,0)/$I$1</f>
        <v>3.7998133333333333</v>
      </c>
      <c r="O147" s="996">
        <f t="shared" ca="1" si="118"/>
        <v>0</v>
      </c>
      <c r="P147" s="996">
        <f t="shared" ca="1" si="118"/>
        <v>0</v>
      </c>
      <c r="Q147" s="275" cm="1">
        <f t="array" aca="1" ref="Q147" ca="1">_xlfn.SWITCH(L147,Q$3,N147+R147,O$3,O147,0)</f>
        <v>0</v>
      </c>
      <c r="R147" s="999" cm="1">
        <f t="array" aca="1" ref="R147" ca="1">IFERROR(INDEX('Eléments de constr. inté. et ex'!M:M, $F146)*$K147/$M147,0)/$I$1</f>
        <v>1.6393</v>
      </c>
      <c r="S147" s="997">
        <f t="shared" ca="1" si="119"/>
        <v>5.4391133333333332</v>
      </c>
      <c r="T147" s="996" cm="1">
        <f t="array" aca="1" ref="T147" ca="1">IFERROR(INDEX('Eléments de constr. inté. et ex'!N:N, $F146)*$K147/$M147,0)/$I$1</f>
        <v>63.652477777777783</v>
      </c>
    </row>
    <row r="148" spans="2:20" ht="15.75" hidden="1" outlineLevel="1">
      <c r="B148" s="1536"/>
      <c r="C148" s="1539"/>
      <c r="D148" s="178"/>
      <c r="E148" s="178"/>
      <c r="F148" s="178">
        <f t="shared" ca="1" si="120"/>
        <v>2</v>
      </c>
      <c r="G148" s="178" cm="1">
        <f t="array" aca="1" ref="G148" ca="1">INDEX( 'Eléments de constr. inté. et ex'!C:C, $F147)</f>
        <v>0</v>
      </c>
      <c r="H148" s="178" cm="1">
        <f t="array" aca="1" ref="H148" ca="1">INDEX( 'Eléments de constr. inté. et ex'!D:D, $F147)</f>
        <v>0</v>
      </c>
      <c r="I148" s="178" cm="1">
        <f t="array" aca="1" ref="I148" ca="1">INDEX( 'Eléments de constr. inté. et ex'!F:F, $F147)</f>
        <v>0</v>
      </c>
      <c r="J148" s="178">
        <f ca="1">_xlfn.XLOOKUP($I148,'Baumaterialien Matériaux'!A:A,'Baumaterialien Matériaux'!G:G,0,0)</f>
        <v>0</v>
      </c>
      <c r="K148" s="286">
        <f t="shared" ca="1" si="121"/>
        <v>0</v>
      </c>
      <c r="L148" s="178" cm="1">
        <f t="array" aca="1" ref="L148" ca="1">INDEX( 'Eléments de constr. inté. et ex'!I:I, $F147)</f>
        <v>0</v>
      </c>
      <c r="M148" s="178" cm="1">
        <f t="array" aca="1" ref="M148" ca="1">INDEX( 'Eléments de constr. inté. et ex'!G:G, $F147)</f>
        <v>0</v>
      </c>
      <c r="N148" s="999" cm="1">
        <f t="array" aca="1" ref="N148" ca="1">IFERROR(INDEX('Eléments de constr. inté. et ex'!L:L, $F147)*$K148/$M148,0)/$I$1</f>
        <v>0</v>
      </c>
      <c r="O148" s="996">
        <f t="shared" ca="1" si="118"/>
        <v>0</v>
      </c>
      <c r="P148" s="996">
        <f t="shared" ca="1" si="118"/>
        <v>0</v>
      </c>
      <c r="Q148" s="275" cm="1">
        <f t="array" aca="1" ref="Q148" ca="1">_xlfn.SWITCH(L148,Q$3,N148+R148,O$3,O148,0)</f>
        <v>0</v>
      </c>
      <c r="R148" s="999" cm="1">
        <f t="array" aca="1" ref="R148" ca="1">IFERROR(INDEX('Eléments de constr. inté. et ex'!M:M, $F147)*$K148/$M148,0)/$I$1</f>
        <v>0</v>
      </c>
      <c r="S148" s="997">
        <f t="shared" ca="1" si="119"/>
        <v>0</v>
      </c>
      <c r="T148" s="996" cm="1">
        <f t="array" aca="1" ref="T148" ca="1">IFERROR(INDEX('Eléments de constr. inté. et ex'!N:N, $F147)*$K148/$M148,0)/$I$1</f>
        <v>0</v>
      </c>
    </row>
    <row r="149" spans="2:20" ht="15.75" hidden="1" outlineLevel="1">
      <c r="B149" s="1536"/>
      <c r="C149" s="1539"/>
      <c r="D149" s="178"/>
      <c r="E149" s="178"/>
      <c r="F149" s="178">
        <f t="shared" ca="1" si="120"/>
        <v>2</v>
      </c>
      <c r="G149" s="178" cm="1">
        <f t="array" aca="1" ref="G149" ca="1">INDEX( 'Eléments de constr. inté. et ex'!C:C, $F148)</f>
        <v>0</v>
      </c>
      <c r="H149" s="178" cm="1">
        <f t="array" aca="1" ref="H149" ca="1">INDEX( 'Eléments de constr. inté. et ex'!D:D, $F148)</f>
        <v>0</v>
      </c>
      <c r="I149" s="178" cm="1">
        <f t="array" aca="1" ref="I149" ca="1">INDEX( 'Eléments de constr. inté. et ex'!F:F, $F148)</f>
        <v>0</v>
      </c>
      <c r="J149" s="178">
        <f ca="1">_xlfn.XLOOKUP($I149,'Baumaterialien Matériaux'!A:A,'Baumaterialien Matériaux'!G:G,0,0)</f>
        <v>0</v>
      </c>
      <c r="K149" s="286">
        <f t="shared" ca="1" si="121"/>
        <v>0</v>
      </c>
      <c r="L149" s="178" cm="1">
        <f t="array" aca="1" ref="L149" ca="1">INDEX( 'Eléments de constr. inté. et ex'!I:I, $F148)</f>
        <v>0</v>
      </c>
      <c r="M149" s="178" cm="1">
        <f t="array" aca="1" ref="M149" ca="1">INDEX( 'Eléments de constr. inté. et ex'!G:G, $F148)</f>
        <v>0</v>
      </c>
      <c r="N149" s="999" cm="1">
        <f t="array" aca="1" ref="N149" ca="1">IFERROR(INDEX('Eléments de constr. inté. et ex'!L:L, $F148)*$K149/$M149,0)/$I$1</f>
        <v>0</v>
      </c>
      <c r="O149" s="996">
        <f t="shared" ca="1" si="118"/>
        <v>0</v>
      </c>
      <c r="P149" s="996">
        <f t="shared" ca="1" si="118"/>
        <v>0</v>
      </c>
      <c r="Q149" s="275" cm="1">
        <f t="array" aca="1" ref="Q149" ca="1">_xlfn.SWITCH(L149,Q$3,N149+R149,O$3,O149,0)</f>
        <v>0</v>
      </c>
      <c r="R149" s="999" cm="1">
        <f t="array" aca="1" ref="R149" ca="1">IFERROR(INDEX('Eléments de constr. inté. et ex'!M:M, $F148)*$K149/$M149,0)/$I$1</f>
        <v>0</v>
      </c>
      <c r="S149" s="997">
        <f t="shared" ca="1" si="119"/>
        <v>0</v>
      </c>
      <c r="T149" s="996" cm="1">
        <f t="array" aca="1" ref="T149" ca="1">IFERROR(INDEX('Eléments de constr. inté. et ex'!N:N, $F148)*$K149/$M149,0)/$I$1</f>
        <v>0</v>
      </c>
    </row>
    <row r="150" spans="2:20" ht="15.75" hidden="1" outlineLevel="1">
      <c r="B150" s="1536"/>
      <c r="C150" s="1539"/>
      <c r="D150" s="178"/>
      <c r="E150" s="178"/>
      <c r="F150" s="178">
        <f t="shared" ca="1" si="120"/>
        <v>2</v>
      </c>
      <c r="G150" s="178" cm="1">
        <f t="array" aca="1" ref="G150" ca="1">INDEX( 'Eléments de constr. inté. et ex'!C:C, $F149)</f>
        <v>0</v>
      </c>
      <c r="H150" s="178" cm="1">
        <f t="array" aca="1" ref="H150" ca="1">INDEX( 'Eléments de constr. inté. et ex'!D:D, $F149)</f>
        <v>0</v>
      </c>
      <c r="I150" s="178" cm="1">
        <f t="array" aca="1" ref="I150" ca="1">INDEX( 'Eléments de constr. inté. et ex'!F:F, $F149)</f>
        <v>0</v>
      </c>
      <c r="J150" s="178">
        <f ca="1">_xlfn.XLOOKUP($I150,'Baumaterialien Matériaux'!A:A,'Baumaterialien Matériaux'!G:G,0,0)</f>
        <v>0</v>
      </c>
      <c r="K150" s="286">
        <f t="shared" ca="1" si="121"/>
        <v>0</v>
      </c>
      <c r="L150" s="178" cm="1">
        <f t="array" aca="1" ref="L150" ca="1">INDEX( 'Eléments de constr. inté. et ex'!I:I, $F149)</f>
        <v>0</v>
      </c>
      <c r="M150" s="178" cm="1">
        <f t="array" aca="1" ref="M150" ca="1">INDEX( 'Eléments de constr. inté. et ex'!G:G, $F149)</f>
        <v>0</v>
      </c>
      <c r="N150" s="999" cm="1">
        <f t="array" aca="1" ref="N150" ca="1">IFERROR(INDEX('Eléments de constr. inté. et ex'!L:L, $F149)*$K150/$M150,0)/$I$1</f>
        <v>0</v>
      </c>
      <c r="O150" s="996">
        <f t="shared" ca="1" si="118"/>
        <v>0</v>
      </c>
      <c r="P150" s="996">
        <f t="shared" ca="1" si="118"/>
        <v>0</v>
      </c>
      <c r="Q150" s="275" cm="1">
        <f t="array" aca="1" ref="Q150" ca="1">_xlfn.SWITCH(L150,Q$3,N150+R150,O$3,O150,0)</f>
        <v>0</v>
      </c>
      <c r="R150" s="999" cm="1">
        <f t="array" aca="1" ref="R150" ca="1">IFERROR(INDEX('Eléments de constr. inté. et ex'!M:M, $F149)*$K150/$M150,0)/$I$1</f>
        <v>0</v>
      </c>
      <c r="S150" s="997">
        <f t="shared" ca="1" si="119"/>
        <v>0</v>
      </c>
      <c r="T150" s="996" cm="1">
        <f t="array" aca="1" ref="T150" ca="1">IFERROR(INDEX('Eléments de constr. inté. et ex'!N:N, $F149)*$K150/$M150,0)/$I$1</f>
        <v>0</v>
      </c>
    </row>
    <row r="151" spans="2:20" ht="15.75" hidden="1" outlineLevel="1">
      <c r="B151" s="1536"/>
      <c r="C151" s="1539"/>
      <c r="D151" s="178"/>
      <c r="E151" s="178"/>
      <c r="F151" s="178">
        <f t="shared" ca="1" si="120"/>
        <v>2</v>
      </c>
      <c r="G151" s="178" cm="1">
        <f t="array" aca="1" ref="G151" ca="1">INDEX( 'Eléments de constr. inté. et ex'!C:C, $F150)</f>
        <v>0</v>
      </c>
      <c r="H151" s="178" cm="1">
        <f t="array" aca="1" ref="H151" ca="1">INDEX( 'Eléments de constr. inté. et ex'!D:D, $F150)</f>
        <v>0</v>
      </c>
      <c r="I151" s="178" cm="1">
        <f t="array" aca="1" ref="I151" ca="1">INDEX( 'Eléments de constr. inté. et ex'!F:F, $F150)</f>
        <v>0</v>
      </c>
      <c r="J151" s="178">
        <f ca="1">_xlfn.XLOOKUP($I151,'Baumaterialien Matériaux'!A:A,'Baumaterialien Matériaux'!G:G,0,0)</f>
        <v>0</v>
      </c>
      <c r="K151" s="286">
        <f t="shared" ca="1" si="121"/>
        <v>0</v>
      </c>
      <c r="L151" s="178" cm="1">
        <f t="array" aca="1" ref="L151" ca="1">INDEX( 'Eléments de constr. inté. et ex'!I:I, $F150)</f>
        <v>0</v>
      </c>
      <c r="M151" s="178" cm="1">
        <f t="array" aca="1" ref="M151" ca="1">INDEX( 'Eléments de constr. inté. et ex'!G:G, $F150)</f>
        <v>0</v>
      </c>
      <c r="N151" s="999" cm="1">
        <f t="array" aca="1" ref="N151" ca="1">IFERROR(INDEX('Eléments de constr. inté. et ex'!L:L, $F150)*$K151/$M151,0)/$I$1</f>
        <v>0</v>
      </c>
      <c r="O151" s="996">
        <f t="shared" ca="1" si="118"/>
        <v>0</v>
      </c>
      <c r="P151" s="996">
        <f t="shared" ca="1" si="118"/>
        <v>0</v>
      </c>
      <c r="Q151" s="275" cm="1">
        <f t="array" aca="1" ref="Q151" ca="1">_xlfn.SWITCH(L151,Q$3,N151+R151,O$3,O151,0)</f>
        <v>0</v>
      </c>
      <c r="R151" s="999" cm="1">
        <f t="array" aca="1" ref="R151" ca="1">IFERROR(INDEX('Eléments de constr. inté. et ex'!M:M, $F150)*$K151/$M151,0)/$I$1</f>
        <v>0</v>
      </c>
      <c r="S151" s="997">
        <f t="shared" ca="1" si="119"/>
        <v>0</v>
      </c>
      <c r="T151" s="996" cm="1">
        <f t="array" aca="1" ref="T151" ca="1">IFERROR(INDEX('Eléments de constr. inté. et ex'!N:N, $F150)*$K151/$M151,0)/$I$1</f>
        <v>0</v>
      </c>
    </row>
    <row r="152" spans="2:20" ht="15.75" hidden="1" outlineLevel="1">
      <c r="B152" s="1536"/>
      <c r="C152" s="1539"/>
      <c r="D152" s="178"/>
      <c r="E152" s="178"/>
      <c r="F152" s="178">
        <f t="shared" ca="1" si="120"/>
        <v>2</v>
      </c>
      <c r="G152" s="178" cm="1">
        <f t="array" aca="1" ref="G152" ca="1">INDEX( 'Eléments de constr. inté. et ex'!C:C, $F151)</f>
        <v>0</v>
      </c>
      <c r="H152" s="178" cm="1">
        <f t="array" aca="1" ref="H152" ca="1">INDEX( 'Eléments de constr. inté. et ex'!D:D, $F151)</f>
        <v>0</v>
      </c>
      <c r="I152" s="178" cm="1">
        <f t="array" aca="1" ref="I152" ca="1">INDEX( 'Eléments de constr. inté. et ex'!F:F, $F151)</f>
        <v>0</v>
      </c>
      <c r="J152" s="178">
        <f ca="1">_xlfn.XLOOKUP($I152,'Baumaterialien Matériaux'!A:A,'Baumaterialien Matériaux'!G:G,0,0)</f>
        <v>0</v>
      </c>
      <c r="K152" s="286">
        <f t="shared" ca="1" si="121"/>
        <v>0</v>
      </c>
      <c r="L152" s="178" cm="1">
        <f t="array" aca="1" ref="L152" ca="1">INDEX( 'Eléments de constr. inté. et ex'!I:I, $F151)</f>
        <v>0</v>
      </c>
      <c r="M152" s="178" cm="1">
        <f t="array" aca="1" ref="M152" ca="1">INDEX( 'Eléments de constr. inté. et ex'!G:G, $F151)</f>
        <v>0</v>
      </c>
      <c r="N152" s="999" cm="1">
        <f t="array" aca="1" ref="N152" ca="1">IFERROR(INDEX('Eléments de constr. inté. et ex'!L:L, $F151)*$K152/$M152,0)/$I$1</f>
        <v>0</v>
      </c>
      <c r="O152" s="996">
        <f t="shared" ca="1" si="118"/>
        <v>0</v>
      </c>
      <c r="P152" s="996">
        <f t="shared" ca="1" si="118"/>
        <v>0</v>
      </c>
      <c r="Q152" s="275" cm="1">
        <f t="array" aca="1" ref="Q152" ca="1">_xlfn.SWITCH(L152,Q$3,N152+R152,O$3,O152,0)</f>
        <v>0</v>
      </c>
      <c r="R152" s="999" cm="1">
        <f t="array" aca="1" ref="R152" ca="1">IFERROR(INDEX('Eléments de constr. inté. et ex'!M:M, $F151)*$K152/$M152,0)/$I$1</f>
        <v>0</v>
      </c>
      <c r="S152" s="997">
        <f t="shared" ca="1" si="119"/>
        <v>0</v>
      </c>
      <c r="T152" s="996" cm="1">
        <f t="array" aca="1" ref="T152" ca="1">IFERROR(INDEX('Eléments de constr. inté. et ex'!N:N, $F151)*$K152/$M152,0)/$I$1</f>
        <v>0</v>
      </c>
    </row>
    <row r="153" spans="2:20" ht="15.75" collapsed="1">
      <c r="B153" s="1536"/>
      <c r="C153" s="1539"/>
      <c r="D153" s="178" t="str">
        <f>'Outil détaillé'!D49</f>
        <v>Sous-sol</v>
      </c>
      <c r="E153" s="179" t="str">
        <f>'Outil détaillé'!E37</f>
        <v>Système mixte bois-béton</v>
      </c>
      <c r="F153" s="928">
        <f ca="1">MATCH(E153, INDIRECT("'Eléments de constr. inté. et ex'!A"&amp;F134+1&amp;":A500"),0)+F134</f>
        <v>55</v>
      </c>
      <c r="G153" s="179"/>
      <c r="H153" s="179"/>
      <c r="I153" s="179"/>
      <c r="J153" s="179" t="s">
        <v>97</v>
      </c>
      <c r="K153" s="294">
        <f>'Outil détaillé'!J37</f>
        <v>0</v>
      </c>
      <c r="L153" s="295"/>
      <c r="M153" s="295"/>
      <c r="N153" s="994">
        <f t="shared" ref="N153" ca="1" si="122">SUM(N154:N160)</f>
        <v>0</v>
      </c>
      <c r="O153" s="994">
        <f t="shared" ref="O153:T153" ca="1" si="123">SUM(O154:O160)</f>
        <v>0</v>
      </c>
      <c r="P153" s="994">
        <f t="shared" ca="1" si="123"/>
        <v>0</v>
      </c>
      <c r="Q153" s="994">
        <f t="shared" ca="1" si="123"/>
        <v>0</v>
      </c>
      <c r="R153" s="994">
        <f t="shared" ca="1" si="123"/>
        <v>0</v>
      </c>
      <c r="S153" s="994">
        <f t="shared" ca="1" si="123"/>
        <v>0</v>
      </c>
      <c r="T153" s="1054">
        <f t="shared" ca="1" si="123"/>
        <v>0</v>
      </c>
    </row>
    <row r="154" spans="2:20" ht="15.75" hidden="1" outlineLevel="1">
      <c r="B154" s="1536"/>
      <c r="C154" s="1539"/>
      <c r="D154" s="178"/>
      <c r="E154" s="178"/>
      <c r="F154" s="178">
        <f ca="1">IF(I154=0,2,F153+1)</f>
        <v>56</v>
      </c>
      <c r="G154" s="178" t="str" cm="1">
        <f t="array" aca="1" ref="G154" ca="1">INDEX( 'Eléments de constr. inté. et ex'!C:C, $F153)</f>
        <v>Hochbaubeton 9cm [kg]</v>
      </c>
      <c r="H154" s="178" t="str" cm="1">
        <f t="array" aca="1" ref="H154" ca="1">INDEX( 'Eléments de constr. inté. et ex'!D:D, $F153)</f>
        <v>Béton pour bâtiment (sans armature)</v>
      </c>
      <c r="I154" s="178" t="str" cm="1">
        <f t="array" aca="1" ref="I154" ca="1">INDEX( 'Eléments de constr. inté. et ex'!F:F, $F153)</f>
        <v>01.002</v>
      </c>
      <c r="J154" s="178" t="str">
        <f ca="1">_xlfn.XLOOKUP($I154,'Baumaterialien Matériaux'!A:A,'Baumaterialien Matériaux'!G:G,0,0)</f>
        <v>kg</v>
      </c>
      <c r="K154" s="286">
        <f ca="1">M154*$K$153</f>
        <v>0</v>
      </c>
      <c r="L154" s="178" cm="1">
        <f t="array" aca="1" ref="L154" ca="1">INDEX( 'Eléments de constr. inté. et ex'!I:I, $F153)</f>
        <v>60</v>
      </c>
      <c r="M154" s="178" cm="1">
        <f t="array" aca="1" ref="M154" ca="1">INDEX( 'Eléments de constr. inté. et ex'!G:G, $F153)</f>
        <v>206.20891719745222</v>
      </c>
      <c r="N154" s="999" cm="1">
        <f t="array" aca="1" ref="N154" ca="1">IFERROR(INDEX('Eléments de constr. inté. et ex'!L:L, $F153)*$K154/$M154,0)/$I$1</f>
        <v>0</v>
      </c>
      <c r="O154" s="996">
        <f t="shared" ref="O154:P160" ca="1" si="124">IF($L154=O$3,$N154+$R154,0)</f>
        <v>0</v>
      </c>
      <c r="P154" s="996">
        <f t="shared" ca="1" si="124"/>
        <v>0</v>
      </c>
      <c r="Q154" s="275" cm="1">
        <f t="array" aca="1" ref="Q154" ca="1">_xlfn.SWITCH(L154,Q$3,N154+R154,O$3,O154,0)</f>
        <v>0</v>
      </c>
      <c r="R154" s="999" cm="1">
        <f t="array" aca="1" ref="R154" ca="1">IFERROR(INDEX('Eléments de constr. inté. et ex'!M:M, $F153)*$K154/$M154,0)/$I$1</f>
        <v>0</v>
      </c>
      <c r="S154" s="997">
        <f t="shared" ref="S154:S160" ca="1" si="125">SUM(N154:R154)</f>
        <v>0</v>
      </c>
      <c r="T154" s="996" cm="1">
        <f t="array" aca="1" ref="T154" ca="1">IFERROR(INDEX('Eléments de constr. inté. et ex'!N:N, $F153)*$K154/$M154,0)/$I$1</f>
        <v>0</v>
      </c>
    </row>
    <row r="155" spans="2:20" ht="15.75" hidden="1" outlineLevel="1">
      <c r="B155" s="1536"/>
      <c r="C155" s="1539"/>
      <c r="D155" s="178"/>
      <c r="E155" s="178"/>
      <c r="F155" s="178">
        <f t="shared" ref="F155:F160" ca="1" si="126">IF(I155=0,2,F154+1)</f>
        <v>57</v>
      </c>
      <c r="G155" s="178" t="str" cm="1">
        <f t="array" aca="1" ref="G155" ca="1">INDEX( 'Eléments de constr. inté. et ex'!C:C, $F154)</f>
        <v>Armierungsstahl [kg]</v>
      </c>
      <c r="H155" s="178" t="str" cm="1">
        <f t="array" aca="1" ref="H155" ca="1">INDEX( 'Eléments de constr. inté. et ex'!D:D, $F154)</f>
        <v>Acier d'armature</v>
      </c>
      <c r="I155" s="178" t="str" cm="1">
        <f t="array" aca="1" ref="I155" ca="1">INDEX( 'Eléments de constr. inté. et ex'!F:F, $F154)</f>
        <v>06.003</v>
      </c>
      <c r="J155" s="178" t="str">
        <f ca="1">_xlfn.XLOOKUP($I155,'Baumaterialien Matériaux'!A:A,'Baumaterialien Matériaux'!G:G,0,0)</f>
        <v>kg</v>
      </c>
      <c r="K155" s="286">
        <f t="shared" ref="K155:K160" ca="1" si="127">M155*$K$153</f>
        <v>0</v>
      </c>
      <c r="L155" s="178" cm="1">
        <f t="array" aca="1" ref="L155" ca="1">INDEX( 'Eléments de constr. inté. et ex'!I:I, $F154)</f>
        <v>60</v>
      </c>
      <c r="M155" s="178" cm="1">
        <f t="array" aca="1" ref="M155" ca="1">INDEX( 'Eléments de constr. inté. et ex'!G:G, $F154)</f>
        <v>2.7</v>
      </c>
      <c r="N155" s="999" cm="1">
        <f t="array" aca="1" ref="N155" ca="1">IFERROR(INDEX('Eléments de constr. inté. et ex'!L:L, $F154)*$K155/$M155,0)/$I$1</f>
        <v>0</v>
      </c>
      <c r="O155" s="996">
        <f t="shared" ca="1" si="124"/>
        <v>0</v>
      </c>
      <c r="P155" s="996">
        <f t="shared" ca="1" si="124"/>
        <v>0</v>
      </c>
      <c r="Q155" s="275" cm="1">
        <f t="array" aca="1" ref="Q155" ca="1">_xlfn.SWITCH(L155,Q$3,N155+R155,O$3,O155,0)</f>
        <v>0</v>
      </c>
      <c r="R155" s="999" cm="1">
        <f t="array" aca="1" ref="R155" ca="1">IFERROR(INDEX('Eléments de constr. inté. et ex'!M:M, $F154)*$K155/$M155,0)/$I$1</f>
        <v>0</v>
      </c>
      <c r="S155" s="997">
        <f t="shared" ca="1" si="125"/>
        <v>0</v>
      </c>
      <c r="T155" s="996" cm="1">
        <f t="array" aca="1" ref="T155" ca="1">IFERROR(INDEX('Eléments de constr. inté. et ex'!N:N, $F154)*$K155/$M155,0)/$I$1</f>
        <v>0</v>
      </c>
    </row>
    <row r="156" spans="2:20" ht="15.75" hidden="1" outlineLevel="1">
      <c r="B156" s="1536"/>
      <c r="C156" s="1539"/>
      <c r="D156" s="178"/>
      <c r="E156" s="178"/>
      <c r="F156" s="178">
        <f t="shared" ca="1" si="126"/>
        <v>58</v>
      </c>
      <c r="G156" s="178" t="str" cm="1">
        <f t="array" aca="1" ref="G156" ca="1">INDEX( 'Eléments de constr. inté. et ex'!C:C, $F155)</f>
        <v>Nadelschnittholz [kg]</v>
      </c>
      <c r="H156" s="178" t="str" cm="1">
        <f t="array" aca="1" ref="H156" ca="1">INDEX( 'Eléments de constr. inté. et ex'!D:D, $F155)</f>
        <v>Bois massif épicéa / sapin / mélèze, séché à l'air, brut</v>
      </c>
      <c r="I156" s="178" t="str" cm="1">
        <f t="array" aca="1" ref="I156" ca="1">INDEX( 'Eléments de constr. inté. et ex'!F:F, $F155)</f>
        <v>07.009</v>
      </c>
      <c r="J156" s="178" t="str">
        <f ca="1">_xlfn.XLOOKUP($I156,'Baumaterialien Matériaux'!A:A,'Baumaterialien Matériaux'!G:G,0,0)</f>
        <v>kg</v>
      </c>
      <c r="K156" s="286">
        <f t="shared" ca="1" si="127"/>
        <v>0</v>
      </c>
      <c r="L156" s="178" cm="1">
        <f t="array" aca="1" ref="L156" ca="1">INDEX( 'Eléments de constr. inté. et ex'!I:I, $F155)</f>
        <v>60</v>
      </c>
      <c r="M156" s="178" cm="1">
        <f t="array" aca="1" ref="M156" ca="1">INDEX( 'Eléments de constr. inté. et ex'!G:G, $F155)</f>
        <v>63.050000000000004</v>
      </c>
      <c r="N156" s="999" cm="1">
        <f t="array" aca="1" ref="N156" ca="1">IFERROR(INDEX('Eléments de constr. inté. et ex'!L:L, $F155)*$K156/$M156,0)/$I$1</f>
        <v>0</v>
      </c>
      <c r="O156" s="996">
        <f t="shared" ca="1" si="124"/>
        <v>0</v>
      </c>
      <c r="P156" s="996">
        <f t="shared" ca="1" si="124"/>
        <v>0</v>
      </c>
      <c r="Q156" s="275" cm="1">
        <f t="array" aca="1" ref="Q156" ca="1">_xlfn.SWITCH(L156,Q$3,N156+R156,O$3,O156,0)</f>
        <v>0</v>
      </c>
      <c r="R156" s="999" cm="1">
        <f t="array" aca="1" ref="R156" ca="1">IFERROR(INDEX('Eléments de constr. inté. et ex'!M:M, $F155)*$K156/$M156,0)/$I$1</f>
        <v>0</v>
      </c>
      <c r="S156" s="997">
        <f t="shared" ca="1" si="125"/>
        <v>0</v>
      </c>
      <c r="T156" s="996" cm="1">
        <f t="array" aca="1" ref="T156" ca="1">IFERROR(INDEX('Eléments de constr. inté. et ex'!N:N, $F155)*$K156/$M156,0)/$I$1</f>
        <v>0</v>
      </c>
    </row>
    <row r="157" spans="2:20" ht="15.75" hidden="1" outlineLevel="1">
      <c r="B157" s="1536"/>
      <c r="C157" s="1539"/>
      <c r="D157" s="178"/>
      <c r="E157" s="178"/>
      <c r="F157" s="178">
        <f t="shared" ca="1" si="126"/>
        <v>2</v>
      </c>
      <c r="G157" s="178" cm="1">
        <f t="array" aca="1" ref="G157" ca="1">INDEX( 'Eléments de constr. inté. et ex'!C:C, $F156)</f>
        <v>0</v>
      </c>
      <c r="H157" s="178" cm="1">
        <f t="array" aca="1" ref="H157" ca="1">INDEX( 'Eléments de constr. inté. et ex'!D:D, $F156)</f>
        <v>0</v>
      </c>
      <c r="I157" s="178" cm="1">
        <f t="array" aca="1" ref="I157" ca="1">INDEX( 'Eléments de constr. inté. et ex'!F:F, $F156)</f>
        <v>0</v>
      </c>
      <c r="J157" s="178">
        <f ca="1">_xlfn.XLOOKUP($I157,'Baumaterialien Matériaux'!A:A,'Baumaterialien Matériaux'!G:G,0,0)</f>
        <v>0</v>
      </c>
      <c r="K157" s="286">
        <f t="shared" ca="1" si="127"/>
        <v>0</v>
      </c>
      <c r="L157" s="178" cm="1">
        <f t="array" aca="1" ref="L157" ca="1">INDEX( 'Eléments de constr. inté. et ex'!I:I, $F156)</f>
        <v>0</v>
      </c>
      <c r="M157" s="178" cm="1">
        <f t="array" aca="1" ref="M157" ca="1">INDEX( 'Eléments de constr. inté. et ex'!G:G, $F156)</f>
        <v>0</v>
      </c>
      <c r="N157" s="999" cm="1">
        <f t="array" aca="1" ref="N157" ca="1">IFERROR(INDEX('Eléments de constr. inté. et ex'!L:L, $F156)*$K157/$M157,0)/$I$1</f>
        <v>0</v>
      </c>
      <c r="O157" s="996">
        <f t="shared" ca="1" si="124"/>
        <v>0</v>
      </c>
      <c r="P157" s="996">
        <f t="shared" ca="1" si="124"/>
        <v>0</v>
      </c>
      <c r="Q157" s="275" cm="1">
        <f t="array" aca="1" ref="Q157" ca="1">_xlfn.SWITCH(L157,Q$3,N157+R157,O$3,O157,0)</f>
        <v>0</v>
      </c>
      <c r="R157" s="999" cm="1">
        <f t="array" aca="1" ref="R157" ca="1">IFERROR(INDEX('Eléments de constr. inté. et ex'!M:M, $F156)*$K157/$M157,0)/$I$1</f>
        <v>0</v>
      </c>
      <c r="S157" s="997">
        <f t="shared" ca="1" si="125"/>
        <v>0</v>
      </c>
      <c r="T157" s="996" cm="1">
        <f t="array" aca="1" ref="T157" ca="1">IFERROR(INDEX('Eléments de constr. inté. et ex'!N:N, $F156)*$K157/$M157,0)/$I$1</f>
        <v>0</v>
      </c>
    </row>
    <row r="158" spans="2:20" ht="15.75" hidden="1" outlineLevel="1">
      <c r="B158" s="1536"/>
      <c r="C158" s="1539"/>
      <c r="D158" s="178"/>
      <c r="E158" s="178"/>
      <c r="F158" s="178">
        <f t="shared" ca="1" si="126"/>
        <v>2</v>
      </c>
      <c r="G158" s="178" cm="1">
        <f t="array" aca="1" ref="G158" ca="1">INDEX( 'Eléments de constr. inté. et ex'!C:C, $F157)</f>
        <v>0</v>
      </c>
      <c r="H158" s="178" cm="1">
        <f t="array" aca="1" ref="H158" ca="1">INDEX( 'Eléments de constr. inté. et ex'!D:D, $F157)</f>
        <v>0</v>
      </c>
      <c r="I158" s="178" cm="1">
        <f t="array" aca="1" ref="I158" ca="1">INDEX( 'Eléments de constr. inté. et ex'!F:F, $F157)</f>
        <v>0</v>
      </c>
      <c r="J158" s="178">
        <f ca="1">_xlfn.XLOOKUP($I158,'Baumaterialien Matériaux'!A:A,'Baumaterialien Matériaux'!G:G,0,0)</f>
        <v>0</v>
      </c>
      <c r="K158" s="286">
        <f t="shared" ca="1" si="127"/>
        <v>0</v>
      </c>
      <c r="L158" s="178" cm="1">
        <f t="array" aca="1" ref="L158" ca="1">INDEX( 'Eléments de constr. inté. et ex'!I:I, $F157)</f>
        <v>0</v>
      </c>
      <c r="M158" s="178" cm="1">
        <f t="array" aca="1" ref="M158" ca="1">INDEX( 'Eléments de constr. inté. et ex'!G:G, $F157)</f>
        <v>0</v>
      </c>
      <c r="N158" s="999" cm="1">
        <f t="array" aca="1" ref="N158" ca="1">IFERROR(INDEX('Eléments de constr. inté. et ex'!L:L, $F157)*$K158/$M158,0)/$I$1</f>
        <v>0</v>
      </c>
      <c r="O158" s="996">
        <f t="shared" ca="1" si="124"/>
        <v>0</v>
      </c>
      <c r="P158" s="996">
        <f t="shared" ca="1" si="124"/>
        <v>0</v>
      </c>
      <c r="Q158" s="275" cm="1">
        <f t="array" aca="1" ref="Q158" ca="1">_xlfn.SWITCH(L158,Q$3,N158+R158,O$3,O158,0)</f>
        <v>0</v>
      </c>
      <c r="R158" s="999" cm="1">
        <f t="array" aca="1" ref="R158" ca="1">IFERROR(INDEX('Eléments de constr. inté. et ex'!M:M, $F157)*$K158/$M158,0)/$I$1</f>
        <v>0</v>
      </c>
      <c r="S158" s="997">
        <f t="shared" ca="1" si="125"/>
        <v>0</v>
      </c>
      <c r="T158" s="996" cm="1">
        <f t="array" aca="1" ref="T158" ca="1">IFERROR(INDEX('Eléments de constr. inté. et ex'!N:N, $F157)*$K158/$M158,0)/$I$1</f>
        <v>0</v>
      </c>
    </row>
    <row r="159" spans="2:20" ht="15.75" hidden="1" outlineLevel="1">
      <c r="B159" s="1536"/>
      <c r="C159" s="1539"/>
      <c r="D159" s="178"/>
      <c r="E159" s="178"/>
      <c r="F159" s="178">
        <f t="shared" ca="1" si="126"/>
        <v>2</v>
      </c>
      <c r="G159" s="178" cm="1">
        <f t="array" aca="1" ref="G159" ca="1">INDEX( 'Eléments de constr. inté. et ex'!C:C, $F158)</f>
        <v>0</v>
      </c>
      <c r="H159" s="178" cm="1">
        <f t="array" aca="1" ref="H159" ca="1">INDEX( 'Eléments de constr. inté. et ex'!D:D, $F158)</f>
        <v>0</v>
      </c>
      <c r="I159" s="178" cm="1">
        <f t="array" aca="1" ref="I159" ca="1">INDEX( 'Eléments de constr. inté. et ex'!F:F, $F158)</f>
        <v>0</v>
      </c>
      <c r="J159" s="178">
        <f ca="1">_xlfn.XLOOKUP($I159,'Baumaterialien Matériaux'!A:A,'Baumaterialien Matériaux'!G:G,0,0)</f>
        <v>0</v>
      </c>
      <c r="K159" s="286">
        <f t="shared" ca="1" si="127"/>
        <v>0</v>
      </c>
      <c r="L159" s="178" cm="1">
        <f t="array" aca="1" ref="L159" ca="1">INDEX( 'Eléments de constr. inté. et ex'!I:I, $F158)</f>
        <v>0</v>
      </c>
      <c r="M159" s="178" cm="1">
        <f t="array" aca="1" ref="M159" ca="1">INDEX( 'Eléments de constr. inté. et ex'!G:G, $F158)</f>
        <v>0</v>
      </c>
      <c r="N159" s="999" cm="1">
        <f t="array" aca="1" ref="N159" ca="1">IFERROR(INDEX('Eléments de constr. inté. et ex'!L:L, $F158)*$K159/$M159,0)/$I$1</f>
        <v>0</v>
      </c>
      <c r="O159" s="996">
        <f t="shared" ca="1" si="124"/>
        <v>0</v>
      </c>
      <c r="P159" s="996">
        <f t="shared" ca="1" si="124"/>
        <v>0</v>
      </c>
      <c r="Q159" s="275" cm="1">
        <f t="array" aca="1" ref="Q159" ca="1">_xlfn.SWITCH(L159,Q$3,N159+R159,O$3,O159,0)</f>
        <v>0</v>
      </c>
      <c r="R159" s="999" cm="1">
        <f t="array" aca="1" ref="R159" ca="1">IFERROR(INDEX('Eléments de constr. inté. et ex'!M:M, $F158)*$K159/$M159,0)/$I$1</f>
        <v>0</v>
      </c>
      <c r="S159" s="997">
        <f t="shared" ca="1" si="125"/>
        <v>0</v>
      </c>
      <c r="T159" s="996" cm="1">
        <f t="array" aca="1" ref="T159" ca="1">IFERROR(INDEX('Eléments de constr. inté. et ex'!N:N, $F158)*$K159/$M159,0)/$I$1</f>
        <v>0</v>
      </c>
    </row>
    <row r="160" spans="2:20" ht="15.75" hidden="1" outlineLevel="1">
      <c r="B160" s="1536"/>
      <c r="C160" s="1539"/>
      <c r="D160" s="178"/>
      <c r="E160" s="178"/>
      <c r="F160" s="178">
        <f t="shared" ca="1" si="126"/>
        <v>2</v>
      </c>
      <c r="G160" s="178" cm="1">
        <f t="array" aca="1" ref="G160" ca="1">INDEX( 'Eléments de constr. inté. et ex'!C:C, $F159)</f>
        <v>0</v>
      </c>
      <c r="H160" s="178" cm="1">
        <f t="array" aca="1" ref="H160" ca="1">INDEX( 'Eléments de constr. inté. et ex'!D:D, $F159)</f>
        <v>0</v>
      </c>
      <c r="I160" s="178" cm="1">
        <f t="array" aca="1" ref="I160" ca="1">INDEX( 'Eléments de constr. inté. et ex'!F:F, $F159)</f>
        <v>0</v>
      </c>
      <c r="J160" s="178">
        <f ca="1">_xlfn.XLOOKUP($I160,'Baumaterialien Matériaux'!A:A,'Baumaterialien Matériaux'!G:G,0,0)</f>
        <v>0</v>
      </c>
      <c r="K160" s="286">
        <f t="shared" ca="1" si="127"/>
        <v>0</v>
      </c>
      <c r="L160" s="178" cm="1">
        <f t="array" aca="1" ref="L160" ca="1">INDEX( 'Eléments de constr. inté. et ex'!I:I, $F159)</f>
        <v>0</v>
      </c>
      <c r="M160" s="178" cm="1">
        <f t="array" aca="1" ref="M160" ca="1">INDEX( 'Eléments de constr. inté. et ex'!G:G, $F159)</f>
        <v>0</v>
      </c>
      <c r="N160" s="999" cm="1">
        <f t="array" aca="1" ref="N160" ca="1">IFERROR(INDEX('Eléments de constr. inté. et ex'!L:L, $F159)*$K160/$M160,0)/$I$1</f>
        <v>0</v>
      </c>
      <c r="O160" s="996">
        <f t="shared" ca="1" si="124"/>
        <v>0</v>
      </c>
      <c r="P160" s="996">
        <f t="shared" ca="1" si="124"/>
        <v>0</v>
      </c>
      <c r="Q160" s="275" cm="1">
        <f t="array" aca="1" ref="Q160" ca="1">_xlfn.SWITCH(L160,Q$3,N160+R160,O$3,O160,0)</f>
        <v>0</v>
      </c>
      <c r="R160" s="999" cm="1">
        <f t="array" aca="1" ref="R160" ca="1">IFERROR(INDEX('Eléments de constr. inté. et ex'!M:M, $F159)*$K160/$M160,0)/$I$1</f>
        <v>0</v>
      </c>
      <c r="S160" s="997">
        <f t="shared" ca="1" si="125"/>
        <v>0</v>
      </c>
      <c r="T160" s="996" cm="1">
        <f t="array" aca="1" ref="T160" ca="1">IFERROR(INDEX('Eléments de constr. inté. et ex'!N:N, $F159)*$K160/$M160,0)/$I$1</f>
        <v>0</v>
      </c>
    </row>
    <row r="161" spans="2:21" ht="15.75" collapsed="1">
      <c r="B161" s="1536"/>
      <c r="C161" s="1538" t="str">
        <f>'Outil détaillé'!C38</f>
        <v>C04.02</v>
      </c>
      <c r="D161" s="177" t="str">
        <f>'Outil détaillé'!D38</f>
        <v>Escaliers et rampes</v>
      </c>
      <c r="E161" s="177"/>
      <c r="F161" s="177">
        <f>MATCH(D161, 'Eléments de constr. inté. et ex'!B:B,0)</f>
        <v>60</v>
      </c>
      <c r="G161" s="177"/>
      <c r="H161" s="177"/>
      <c r="I161" s="177"/>
      <c r="J161" s="177"/>
      <c r="K161" s="289"/>
      <c r="L161" s="288"/>
      <c r="M161" s="288"/>
      <c r="N161" s="993">
        <f t="shared" ref="N161" ca="1" si="128">N162</f>
        <v>0</v>
      </c>
      <c r="O161" s="993">
        <f t="shared" ref="O161:T161" ca="1" si="129">O162</f>
        <v>0</v>
      </c>
      <c r="P161" s="993">
        <f t="shared" ca="1" si="129"/>
        <v>0</v>
      </c>
      <c r="Q161" s="993">
        <f t="shared" ca="1" si="129"/>
        <v>0</v>
      </c>
      <c r="R161" s="993">
        <f t="shared" ca="1" si="129"/>
        <v>0</v>
      </c>
      <c r="S161" s="993">
        <f t="shared" ca="1" si="129"/>
        <v>0</v>
      </c>
      <c r="T161" s="1053">
        <f t="shared" ca="1" si="129"/>
        <v>0</v>
      </c>
    </row>
    <row r="162" spans="2:21" ht="15.75">
      <c r="B162" s="1536"/>
      <c r="C162" s="1539"/>
      <c r="D162" s="178" t="str">
        <f>'Outil détaillé'!D39</f>
        <v>Escaliers</v>
      </c>
      <c r="E162" s="179" t="str">
        <f>'Outil détaillé'!E39</f>
        <v>Escaliers béton</v>
      </c>
      <c r="F162" s="928">
        <f ca="1">MATCH(E162, INDIRECT("'Eléments de constr. inté. et ex'!A"&amp;F161+1&amp;":A500"),0)+F161</f>
        <v>61</v>
      </c>
      <c r="G162" s="179"/>
      <c r="H162" s="179"/>
      <c r="I162" s="179"/>
      <c r="J162" s="179" t="s">
        <v>97</v>
      </c>
      <c r="K162" s="294">
        <f>'Outil détaillé'!J39</f>
        <v>0</v>
      </c>
      <c r="L162" s="295"/>
      <c r="M162" s="295"/>
      <c r="N162" s="994">
        <f t="shared" ref="N162" ca="1" si="130">SUM(N163:N167)</f>
        <v>0</v>
      </c>
      <c r="O162" s="994">
        <f t="shared" ref="O162:T162" ca="1" si="131">SUM(O163:O167)</f>
        <v>0</v>
      </c>
      <c r="P162" s="994">
        <f t="shared" ca="1" si="131"/>
        <v>0</v>
      </c>
      <c r="Q162" s="994">
        <f t="shared" ca="1" si="131"/>
        <v>0</v>
      </c>
      <c r="R162" s="994">
        <f t="shared" ca="1" si="131"/>
        <v>0</v>
      </c>
      <c r="S162" s="994">
        <f t="shared" ca="1" si="131"/>
        <v>0</v>
      </c>
      <c r="T162" s="1054">
        <f t="shared" ca="1" si="131"/>
        <v>0</v>
      </c>
    </row>
    <row r="163" spans="2:21" ht="15.75" hidden="1" outlineLevel="1">
      <c r="B163" s="1536"/>
      <c r="C163" s="1539"/>
      <c r="D163" s="178"/>
      <c r="E163" s="178"/>
      <c r="F163" s="178">
        <f ca="1">IF(I163=0,2,F162+1)</f>
        <v>62</v>
      </c>
      <c r="G163" s="178" t="str" cm="1">
        <f t="array" aca="1" ref="G163" ca="1">INDEX( 'Eléments de constr. inté. et ex'!C:C, $F162)</f>
        <v>Hochbaubeton 25 cm [kg]</v>
      </c>
      <c r="H163" s="178" t="str" cm="1">
        <f t="array" aca="1" ref="H163" ca="1">INDEX( 'Eléments de constr. inté. et ex'!D:D, $F162)</f>
        <v>Béton pour bâtiment (sans armature)</v>
      </c>
      <c r="I163" s="178" t="str" cm="1">
        <f t="array" aca="1" ref="I163" ca="1">INDEX( 'Eléments de constr. inté. et ex'!F:F, $F162)</f>
        <v>01.002</v>
      </c>
      <c r="J163" s="178" t="str">
        <f ca="1">_xlfn.XLOOKUP($I163,'Baumaterialien Matériaux'!A:A,'Baumaterialien Matériaux'!G:G,0,0)</f>
        <v>kg</v>
      </c>
      <c r="K163" s="286">
        <f ca="1">M163*$K$162</f>
        <v>0</v>
      </c>
      <c r="L163" s="178" cm="1">
        <f t="array" aca="1" ref="L163" ca="1">INDEX( 'Eléments de constr. inté. et ex'!I:I, $F162)</f>
        <v>60</v>
      </c>
      <c r="M163" s="178" cm="1">
        <f t="array" aca="1" ref="M163" ca="1">INDEX( 'Eléments de constr. inté. et ex'!G:G, $F162)</f>
        <v>568.40764331210187</v>
      </c>
      <c r="N163" s="999" cm="1">
        <f t="array" aca="1" ref="N163" ca="1">IFERROR(INDEX('Eléments de constr. inté. et ex'!L:L, $F162)*$K163/$M163,0)/$I$1</f>
        <v>0</v>
      </c>
      <c r="O163" s="996">
        <f t="shared" ref="O163:P167" ca="1" si="132">IF($L163=O$3,$N163+$R163,0)</f>
        <v>0</v>
      </c>
      <c r="P163" s="996">
        <f t="shared" ca="1" si="132"/>
        <v>0</v>
      </c>
      <c r="Q163" s="275" cm="1">
        <f t="array" aca="1" ref="Q163" ca="1">_xlfn.SWITCH(L163,Q$3,N163+R163,O$3,O163,0)</f>
        <v>0</v>
      </c>
      <c r="R163" s="999" cm="1">
        <f t="array" aca="1" ref="R163" ca="1">IFERROR(INDEX('Eléments de constr. inté. et ex'!M:M, $F162)*$K163/$M163,0)/$I$1</f>
        <v>0</v>
      </c>
      <c r="S163" s="997">
        <f ca="1">SUM(N163:R163)</f>
        <v>0</v>
      </c>
      <c r="T163" s="996" cm="1">
        <f t="array" aca="1" ref="T163" ca="1">IFERROR(INDEX('Eléments de constr. inté. et ex'!N:N, $F162)*$K163/$M163,0)/$I$1</f>
        <v>0</v>
      </c>
    </row>
    <row r="164" spans="2:21" ht="15.75" hidden="1" outlineLevel="1">
      <c r="B164" s="1536"/>
      <c r="C164" s="1539"/>
      <c r="D164" s="178"/>
      <c r="E164" s="178"/>
      <c r="F164" s="178">
        <f t="shared" ref="F164:F167" ca="1" si="133">IF(I164=0,2,F163+1)</f>
        <v>63</v>
      </c>
      <c r="G164" s="178" t="str" cm="1">
        <f t="array" aca="1" ref="G164" ca="1">INDEX( 'Eléments de constr. inté. et ex'!C:C, $F163)</f>
        <v>Armierungsstahl (Bewehrungsgehalt 90 kg/m3) [kg]</v>
      </c>
      <c r="H164" s="178" t="str" cm="1">
        <f t="array" aca="1" ref="H164" ca="1">INDEX( 'Eléments de constr. inté. et ex'!D:D, $F163)</f>
        <v>Acier d'armature</v>
      </c>
      <c r="I164" s="178" t="str" cm="1">
        <f t="array" aca="1" ref="I164" ca="1">INDEX( 'Eléments de constr. inté. et ex'!F:F, $F163)</f>
        <v>06.003</v>
      </c>
      <c r="J164" s="178" t="str">
        <f ca="1">_xlfn.XLOOKUP($I164,'Baumaterialien Matériaux'!A:A,'Baumaterialien Matériaux'!G:G,0,0)</f>
        <v>kg</v>
      </c>
      <c r="K164" s="286">
        <f t="shared" ref="K164:K167" ca="1" si="134">M164*$K$162</f>
        <v>0</v>
      </c>
      <c r="L164" s="178" cm="1">
        <f t="array" aca="1" ref="L164" ca="1">INDEX( 'Eléments de constr. inté. et ex'!I:I, $F163)</f>
        <v>60</v>
      </c>
      <c r="M164" s="178" cm="1">
        <f t="array" aca="1" ref="M164" ca="1">INDEX( 'Eléments de constr. inté. et ex'!G:G, $F163)</f>
        <v>22.5</v>
      </c>
      <c r="N164" s="999" cm="1">
        <f t="array" aca="1" ref="N164" ca="1">IFERROR(INDEX('Eléments de constr. inté. et ex'!L:L, $F163)*$K164/$M164,0)/$I$1</f>
        <v>0</v>
      </c>
      <c r="O164" s="996">
        <f t="shared" ca="1" si="132"/>
        <v>0</v>
      </c>
      <c r="P164" s="996">
        <f t="shared" ca="1" si="132"/>
        <v>0</v>
      </c>
      <c r="Q164" s="275" cm="1">
        <f t="array" aca="1" ref="Q164" ca="1">_xlfn.SWITCH(L164,Q$3,N164+R164,O$3,O164,0)</f>
        <v>0</v>
      </c>
      <c r="R164" s="999" cm="1">
        <f t="array" aca="1" ref="R164" ca="1">IFERROR(INDEX('Eléments de constr. inté. et ex'!M:M, $F163)*$K164/$M164,0)/$I$1</f>
        <v>0</v>
      </c>
      <c r="S164" s="997">
        <f ca="1">SUM(N164:R164)</f>
        <v>0</v>
      </c>
      <c r="T164" s="996" cm="1">
        <f t="array" aca="1" ref="T164" ca="1">IFERROR(INDEX('Eléments de constr. inté. et ex'!N:N, $F163)*$K164/$M164,0)/$I$1</f>
        <v>0</v>
      </c>
    </row>
    <row r="165" spans="2:21" ht="15.75" hidden="1" outlineLevel="1">
      <c r="B165" s="1536"/>
      <c r="C165" s="1539"/>
      <c r="D165" s="178"/>
      <c r="E165" s="178"/>
      <c r="F165" s="178">
        <f t="shared" ca="1" si="133"/>
        <v>64</v>
      </c>
      <c r="G165" s="178" t="str" cm="1">
        <f t="array" aca="1" ref="G165" ca="1">INDEX( 'Eléments de constr. inté. et ex'!C:C, $F164)</f>
        <v>3-SP Schalung 2.5cm (Annahme 5xverwendet) [kg]</v>
      </c>
      <c r="H165" s="178" t="str" cm="1">
        <f t="array" aca="1" ref="H165" ca="1">INDEX( 'Eléments de constr. inté. et ex'!D:D, $F164)</f>
        <v>Bois massif 3 et 5 plis</v>
      </c>
      <c r="I165" s="178" t="str" cm="1">
        <f t="array" aca="1" ref="I165" ca="1">INDEX( 'Eléments de constr. inté. et ex'!F:F, $F164)</f>
        <v>07.001</v>
      </c>
      <c r="J165" s="178" t="str">
        <f ca="1">_xlfn.XLOOKUP($I165,'Baumaterialien Matériaux'!A:A,'Baumaterialien Matériaux'!G:G,0,0)</f>
        <v>kg</v>
      </c>
      <c r="K165" s="286">
        <f t="shared" ca="1" si="134"/>
        <v>0</v>
      </c>
      <c r="L165" s="178" cm="1">
        <f t="array" aca="1" ref="L165" ca="1">INDEX( 'Eléments de constr. inté. et ex'!I:I, $F164)</f>
        <v>60</v>
      </c>
      <c r="M165" s="178" cm="1">
        <f t="array" aca="1" ref="M165" ca="1">INDEX( 'Eléments de constr. inté. et ex'!G:G, $F164)</f>
        <v>4.7000000000000011</v>
      </c>
      <c r="N165" s="999" cm="1">
        <f t="array" aca="1" ref="N165" ca="1">IFERROR(INDEX('Eléments de constr. inté. et ex'!L:L, $F164)*$K165/$M165,0)/$I$1</f>
        <v>0</v>
      </c>
      <c r="O165" s="996">
        <f t="shared" ca="1" si="132"/>
        <v>0</v>
      </c>
      <c r="P165" s="996">
        <f t="shared" ca="1" si="132"/>
        <v>0</v>
      </c>
      <c r="Q165" s="275" cm="1">
        <f t="array" aca="1" ref="Q165" ca="1">_xlfn.SWITCH(L165,Q$3,N165+R165,O$3,O165,0)</f>
        <v>0</v>
      </c>
      <c r="R165" s="999" cm="1">
        <f t="array" aca="1" ref="R165" ca="1">IFERROR(INDEX('Eléments de constr. inté. et ex'!M:M, $F164)*$K165/$M165,0)/$I$1</f>
        <v>0</v>
      </c>
      <c r="S165" s="997">
        <f ca="1">SUM(N165:R165)</f>
        <v>0</v>
      </c>
      <c r="T165" s="996" cm="1">
        <f t="array" aca="1" ref="T165" ca="1">IFERROR(INDEX('Eléments de constr. inté. et ex'!N:N, $F164)*$K165/$M165,0)/$I$1</f>
        <v>0</v>
      </c>
    </row>
    <row r="166" spans="2:21" ht="15.75" hidden="1" outlineLevel="1">
      <c r="B166" s="1536"/>
      <c r="C166" s="1539"/>
      <c r="D166" s="178"/>
      <c r="E166" s="178"/>
      <c r="F166" s="178">
        <f t="shared" ca="1" si="133"/>
        <v>2</v>
      </c>
      <c r="G166" s="178" cm="1">
        <f t="array" aca="1" ref="G166" ca="1">INDEX( 'Eléments de constr. inté. et ex'!C:C, $F165)</f>
        <v>0</v>
      </c>
      <c r="H166" s="178" cm="1">
        <f t="array" aca="1" ref="H166" ca="1">INDEX( 'Eléments de constr. inté. et ex'!D:D, $F165)</f>
        <v>0</v>
      </c>
      <c r="I166" s="178" cm="1">
        <f t="array" aca="1" ref="I166" ca="1">INDEX( 'Eléments de constr. inté. et ex'!F:F, $F165)</f>
        <v>0</v>
      </c>
      <c r="J166" s="178">
        <f ca="1">_xlfn.XLOOKUP($I166,'Baumaterialien Matériaux'!A:A,'Baumaterialien Matériaux'!G:G,0,0)</f>
        <v>0</v>
      </c>
      <c r="K166" s="286">
        <f t="shared" ca="1" si="134"/>
        <v>0</v>
      </c>
      <c r="L166" s="178" cm="1">
        <f t="array" aca="1" ref="L166" ca="1">INDEX( 'Eléments de constr. inté. et ex'!I:I, $F165)</f>
        <v>0</v>
      </c>
      <c r="M166" s="178" cm="1">
        <f t="array" aca="1" ref="M166" ca="1">INDEX( 'Eléments de constr. inté. et ex'!G:G, $F165)</f>
        <v>0</v>
      </c>
      <c r="N166" s="999" cm="1">
        <f t="array" aca="1" ref="N166" ca="1">IFERROR(INDEX('Eléments de constr. inté. et ex'!L:L, $F165)*$K166/$M166,0)/$I$1</f>
        <v>0</v>
      </c>
      <c r="O166" s="996">
        <f t="shared" ca="1" si="132"/>
        <v>0</v>
      </c>
      <c r="P166" s="996">
        <f t="shared" ca="1" si="132"/>
        <v>0</v>
      </c>
      <c r="Q166" s="275" cm="1">
        <f t="array" aca="1" ref="Q166" ca="1">_xlfn.SWITCH(L166,Q$3,N166+R166,O$3,O166,0)</f>
        <v>0</v>
      </c>
      <c r="R166" s="999" cm="1">
        <f t="array" aca="1" ref="R166" ca="1">IFERROR(INDEX('Eléments de constr. inté. et ex'!M:M, $F165)*$K166/$M166,0)/$I$1</f>
        <v>0</v>
      </c>
      <c r="S166" s="997">
        <f ca="1">SUM(N166:R166)</f>
        <v>0</v>
      </c>
      <c r="T166" s="996" cm="1">
        <f t="array" aca="1" ref="T166" ca="1">IFERROR(INDEX('Eléments de constr. inté. et ex'!N:N, $F165)*$K166/$M166,0)/$I$1</f>
        <v>0</v>
      </c>
    </row>
    <row r="167" spans="2:21" ht="15.75" hidden="1" outlineLevel="1">
      <c r="B167" s="1536"/>
      <c r="C167" s="1539"/>
      <c r="D167" s="178"/>
      <c r="E167" s="178"/>
      <c r="F167" s="178">
        <f t="shared" ca="1" si="133"/>
        <v>2</v>
      </c>
      <c r="G167" s="178" cm="1">
        <f t="array" aca="1" ref="G167" ca="1">INDEX( 'Eléments de constr. inté. et ex'!C:C, $F166)</f>
        <v>0</v>
      </c>
      <c r="H167" s="178" cm="1">
        <f t="array" aca="1" ref="H167" ca="1">INDEX( 'Eléments de constr. inté. et ex'!D:D, $F166)</f>
        <v>0</v>
      </c>
      <c r="I167" s="178" cm="1">
        <f t="array" aca="1" ref="I167" ca="1">INDEX( 'Eléments de constr. inté. et ex'!F:F, $F166)</f>
        <v>0</v>
      </c>
      <c r="J167" s="178">
        <f ca="1">_xlfn.XLOOKUP($I167,'Baumaterialien Matériaux'!A:A,'Baumaterialien Matériaux'!G:G,0,0)</f>
        <v>0</v>
      </c>
      <c r="K167" s="286">
        <f t="shared" ca="1" si="134"/>
        <v>0</v>
      </c>
      <c r="L167" s="178" cm="1">
        <f t="array" aca="1" ref="L167" ca="1">INDEX( 'Eléments de constr. inté. et ex'!I:I, $F166)</f>
        <v>0</v>
      </c>
      <c r="M167" s="178" cm="1">
        <f t="array" aca="1" ref="M167" ca="1">INDEX( 'Eléments de constr. inté. et ex'!G:G, $F166)</f>
        <v>0</v>
      </c>
      <c r="N167" s="999" cm="1">
        <f t="array" aca="1" ref="N167" ca="1">IFERROR(INDEX('Eléments de constr. inté. et ex'!L:L, $F166)*$K167/$M167,0)/$I$1</f>
        <v>0</v>
      </c>
      <c r="O167" s="996">
        <f t="shared" ca="1" si="132"/>
        <v>0</v>
      </c>
      <c r="P167" s="996">
        <f t="shared" ca="1" si="132"/>
        <v>0</v>
      </c>
      <c r="Q167" s="275" cm="1">
        <f t="array" aca="1" ref="Q167" ca="1">_xlfn.SWITCH(L167,Q$3,N167+R167,O$3,O167,0)</f>
        <v>0</v>
      </c>
      <c r="R167" s="999" cm="1">
        <f t="array" aca="1" ref="R167" ca="1">IFERROR(INDEX('Eléments de constr. inté. et ex'!M:M, $F166)*$K167/$M167,0)/$I$1</f>
        <v>0</v>
      </c>
      <c r="S167" s="997">
        <f ca="1">SUM(N167:R167)</f>
        <v>0</v>
      </c>
      <c r="T167" s="996" cm="1">
        <f t="array" aca="1" ref="T167" ca="1">IFERROR(INDEX('Eléments de constr. inté. et ex'!N:N, $F166)*$K167/$M167,0)/$I$1</f>
        <v>0</v>
      </c>
    </row>
    <row r="168" spans="2:21" ht="15.75" customHeight="1" collapsed="1">
      <c r="B168" s="1536"/>
      <c r="C168" s="1538" t="str">
        <f>'Outil détaillé'!C40</f>
        <v>C04.08</v>
      </c>
      <c r="D168" s="177" t="str">
        <f>'Outil détaillé'!D40</f>
        <v>Balcons, avant-toits</v>
      </c>
      <c r="E168" s="177"/>
      <c r="F168" s="177">
        <f>MATCH(D168, 'Eléments de constr. inté. et ex'!B:B,0)</f>
        <v>66</v>
      </c>
      <c r="G168" s="177"/>
      <c r="H168" s="177"/>
      <c r="I168" s="177"/>
      <c r="J168" s="177"/>
      <c r="K168" s="289"/>
      <c r="L168" s="288"/>
      <c r="M168" s="288"/>
      <c r="N168" s="993">
        <f t="shared" ref="N168" ca="1" si="135">N169</f>
        <v>1.80667</v>
      </c>
      <c r="O168" s="993">
        <f t="shared" ref="O168:T168" ca="1" si="136">O169</f>
        <v>0</v>
      </c>
      <c r="P168" s="993">
        <f t="shared" ca="1" si="136"/>
        <v>0</v>
      </c>
      <c r="Q168" s="993">
        <f t="shared" ca="1" si="136"/>
        <v>2.3746209999999999</v>
      </c>
      <c r="R168" s="993">
        <f t="shared" ca="1" si="136"/>
        <v>0.56795099999999998</v>
      </c>
      <c r="S168" s="993">
        <f t="shared" ca="1" si="136"/>
        <v>4.7492419999999997</v>
      </c>
      <c r="T168" s="1053">
        <f t="shared" ca="1" si="136"/>
        <v>15.627256333333332</v>
      </c>
    </row>
    <row r="169" spans="2:21" ht="15.75">
      <c r="B169" s="1536"/>
      <c r="C169" s="1539"/>
      <c r="D169" s="178" t="str">
        <f>'Outil détaillé'!D41</f>
        <v>Balcons y c. dispositifs antichute</v>
      </c>
      <c r="E169" s="179" t="str">
        <f>'Outil détaillé'!E41</f>
        <v>Balcons bois y c. dispositifs antichute</v>
      </c>
      <c r="F169" s="928">
        <f ca="1">MATCH(E169, INDIRECT("'Eléments de constr. inté. et ex'!A"&amp;F168+1&amp;":A500"),0)+F168</f>
        <v>77</v>
      </c>
      <c r="G169" s="179"/>
      <c r="H169" s="179"/>
      <c r="I169" s="179"/>
      <c r="J169" s="179" t="s">
        <v>97</v>
      </c>
      <c r="K169" s="294">
        <f>'Outil détaillé'!J41</f>
        <v>193</v>
      </c>
      <c r="L169" s="295"/>
      <c r="M169" s="295"/>
      <c r="N169" s="994">
        <f t="shared" ref="N169" ca="1" si="137">SUM(N170:N177)</f>
        <v>1.80667</v>
      </c>
      <c r="O169" s="994">
        <f t="shared" ref="O169:T169" ca="1" si="138">SUM(O170:O177)</f>
        <v>0</v>
      </c>
      <c r="P169" s="994">
        <f t="shared" ca="1" si="138"/>
        <v>0</v>
      </c>
      <c r="Q169" s="994">
        <f t="shared" ca="1" si="138"/>
        <v>2.3746209999999999</v>
      </c>
      <c r="R169" s="994">
        <f t="shared" ca="1" si="138"/>
        <v>0.56795099999999998</v>
      </c>
      <c r="S169" s="994">
        <f t="shared" ca="1" si="138"/>
        <v>4.7492419999999997</v>
      </c>
      <c r="T169" s="1054">
        <f t="shared" ca="1" si="138"/>
        <v>15.627256333333332</v>
      </c>
    </row>
    <row r="170" spans="2:21" ht="15.75" hidden="1" outlineLevel="1">
      <c r="B170" s="1536"/>
      <c r="C170" s="1539"/>
      <c r="D170" s="178"/>
      <c r="E170" s="178"/>
      <c r="F170" s="178">
        <f ca="1">IF(I170=0,2,F169+1)</f>
        <v>78</v>
      </c>
      <c r="G170" s="178" t="str" cm="1">
        <f t="array" aca="1" ref="G170" ca="1">INDEX( 'Eléments de constr. inté. et ex'!C:C, $F169)</f>
        <v>Structure bois avec pilliers bois</v>
      </c>
      <c r="H170" s="178" t="str" cm="1">
        <f t="array" aca="1" ref="H170" ca="1">INDEX( 'Eléments de constr. inté. et ex'!D:D, $F169)</f>
        <v>Bois massif épicéa / sapin / mélèze, séché en cellule, raboté</v>
      </c>
      <c r="I170" s="178" t="str" cm="1">
        <f t="array" aca="1" ref="I170" ca="1">INDEX( 'Eléments de constr. inté. et ex'!F:F, $F169)</f>
        <v>07.011</v>
      </c>
      <c r="J170" s="178" t="str">
        <f ca="1">_xlfn.XLOOKUP($I170,'Baumaterialien Matériaux'!A:A,'Baumaterialien Matériaux'!G:G,0,0)</f>
        <v>kg</v>
      </c>
      <c r="K170" s="286">
        <f ca="1">M170*$K$169</f>
        <v>5354.7849999999999</v>
      </c>
      <c r="L170" s="178" cm="1">
        <f t="array" aca="1" ref="L170" ca="1">INDEX( 'Eléments de constr. inté. et ex'!I:I, $F169)</f>
        <v>40</v>
      </c>
      <c r="M170" s="178" cm="1">
        <f t="array" aca="1" ref="M170" ca="1">INDEX( 'Eléments de constr. inté. et ex'!G:G, $F169)</f>
        <v>27.745000000000001</v>
      </c>
      <c r="N170" s="999" cm="1">
        <f t="array" aca="1" ref="N170" ca="1">IFERROR(INDEX('Eléments de constr. inté. et ex'!L:L, $F169)*$K170/$M170,0)/$I$1</f>
        <v>0.74356599999999995</v>
      </c>
      <c r="O170" s="996">
        <f t="shared" ref="O170:P177" ca="1" si="139">IF($L170=O$3,$N170+$R170,0)</f>
        <v>0</v>
      </c>
      <c r="P170" s="996">
        <f t="shared" ca="1" si="139"/>
        <v>0</v>
      </c>
      <c r="Q170" s="275" cm="1">
        <f t="array" aca="1" ref="Q170" ca="1">_xlfn.SWITCH($L170,Q$3,N170+R170,O$3,O170,0)</f>
        <v>0.95997699999999986</v>
      </c>
      <c r="R170" s="999" cm="1">
        <f t="array" aca="1" ref="R170" ca="1">IFERROR(INDEX('Eléments de constr. inté. et ex'!M:M, $F169)*$K170/$M170,0)/$I$1</f>
        <v>0.21641099999999996</v>
      </c>
      <c r="S170" s="997">
        <f t="shared" ref="S170:S177" ca="1" si="140">SUM(N170:R170)</f>
        <v>1.9199539999999997</v>
      </c>
      <c r="T170" s="996" cm="1">
        <f t="array" aca="1" ref="T170" ca="1">IFERROR(INDEX('Eléments de constr. inté. et ex'!N:N, $F169)*$K170/$M170,0)/$I$1</f>
        <v>9.1761963333333316</v>
      </c>
      <c r="U170" s="996"/>
    </row>
    <row r="171" spans="2:21" ht="15.75" hidden="1" outlineLevel="1">
      <c r="B171" s="1536"/>
      <c r="C171" s="1539"/>
      <c r="D171" s="178"/>
      <c r="E171" s="178"/>
      <c r="F171" s="178">
        <f t="shared" ref="F171:F176" ca="1" si="141">IF(I171=0,2,F170+1)</f>
        <v>79</v>
      </c>
      <c r="G171" s="178" t="str" cm="1">
        <f t="array" aca="1" ref="G171" ca="1">INDEX( 'Eléments de constr. inté. et ex'!C:C, $F170)</f>
        <v>Gardecorps? Structure  bois + bardage bois</v>
      </c>
      <c r="H171" s="178" t="str" cm="1">
        <f t="array" aca="1" ref="H171" ca="1">INDEX( 'Eléments de constr. inté. et ex'!D:D, $F170)</f>
        <v>Bois massif épicéa / sapin / mélèze, séché à l'air, brut</v>
      </c>
      <c r="I171" s="178" t="str" cm="1">
        <f t="array" aca="1" ref="I171" ca="1">INDEX( 'Eléments de constr. inté. et ex'!F:F, $F170)</f>
        <v>07.009</v>
      </c>
      <c r="J171" s="178" t="str">
        <f ca="1">_xlfn.XLOOKUP($I171,'Baumaterialien Matériaux'!A:A,'Baumaterialien Matériaux'!G:G,0,0)</f>
        <v>kg</v>
      </c>
      <c r="K171" s="286">
        <f t="shared" ref="K171:K177" ca="1" si="142">M171*$K$169</f>
        <v>4110.9000000000005</v>
      </c>
      <c r="L171" s="178" cm="1">
        <f t="array" aca="1" ref="L171" ca="1">INDEX( 'Eléments de constr. inté. et ex'!I:I, $F170)</f>
        <v>40</v>
      </c>
      <c r="M171" s="178" cm="1">
        <f t="array" aca="1" ref="M171" ca="1">INDEX( 'Eléments de constr. inté. et ex'!G:G, $F170)</f>
        <v>21.3</v>
      </c>
      <c r="N171" s="999" cm="1">
        <f t="array" aca="1" ref="N171" ca="1">IFERROR(INDEX('Eléments de constr. inté. et ex'!L:L, $F170)*$K171/$M171,0)/$I$1</f>
        <v>0.385104</v>
      </c>
      <c r="O171" s="996">
        <f t="shared" ca="1" si="139"/>
        <v>0</v>
      </c>
      <c r="P171" s="996">
        <f t="shared" ca="1" si="139"/>
        <v>0</v>
      </c>
      <c r="Q171" s="275" cm="1">
        <f t="array" aca="1" ref="Q171" ca="1">_xlfn.SWITCH(L171,Q$3,N171+R171,O$3,O171,0)</f>
        <v>0.55124400000000007</v>
      </c>
      <c r="R171" s="999" cm="1">
        <f t="array" aca="1" ref="R171" ca="1">IFERROR(INDEX('Eléments de constr. inté. et ex'!M:M, $F170)*$K171/$M171,0)/$I$1</f>
        <v>0.16614000000000001</v>
      </c>
      <c r="S171" s="997">
        <f t="shared" ca="1" si="140"/>
        <v>1.1024880000000001</v>
      </c>
      <c r="T171" s="996" cm="1">
        <f t="array" aca="1" ref="T171" ca="1">IFERROR(INDEX('Eléments de constr. inté. et ex'!N:N, $F170)*$K171/$M171,0)/$I$1</f>
        <v>6.4510600000000009</v>
      </c>
    </row>
    <row r="172" spans="2:21" ht="15.75" hidden="1" outlineLevel="1">
      <c r="B172" s="1536"/>
      <c r="C172" s="1539"/>
      <c r="D172" s="178"/>
      <c r="E172" s="178"/>
      <c r="F172" s="178">
        <f t="shared" ca="1" si="141"/>
        <v>80</v>
      </c>
      <c r="G172" s="178" t="str" cm="1">
        <f t="array" aca="1" ref="G172" ca="1">INDEX( 'Eléments de constr. inté. et ex'!C:C, $F171)</f>
        <v>XPS (Kragplattenanschluss)[kg]</v>
      </c>
      <c r="H172" s="178" t="str" cm="1">
        <f t="array" aca="1" ref="H172" ca="1">INDEX( 'Eléments de constr. inté. et ex'!D:D, $F171)</f>
        <v>Polystyrène extrudé (XPS)</v>
      </c>
      <c r="I172" s="178" t="str" cm="1">
        <f t="array" aca="1" ref="I172" ca="1">INDEX( 'Eléments de constr. inté. et ex'!F:F, $F171)</f>
        <v>10.005</v>
      </c>
      <c r="J172" s="178" t="str">
        <f ca="1">_xlfn.XLOOKUP($I172,'Baumaterialien Matériaux'!A:A,'Baumaterialien Matériaux'!G:G,0,0)</f>
        <v>kg</v>
      </c>
      <c r="K172" s="286">
        <f t="shared" ca="1" si="142"/>
        <v>57.9</v>
      </c>
      <c r="L172" s="178" cm="1">
        <f t="array" aca="1" ref="L172" ca="1">INDEX( 'Eléments de constr. inté. et ex'!I:I, $F171)</f>
        <v>40</v>
      </c>
      <c r="M172" s="178" cm="1">
        <f t="array" aca="1" ref="M172" ca="1">INDEX( 'Eléments de constr. inté. et ex'!G:G, $F171)</f>
        <v>0.3</v>
      </c>
      <c r="N172" s="999" cm="1">
        <f t="array" aca="1" ref="N172" ca="1">IFERROR(INDEX('Eléments de constr. inté. et ex'!L:L, $F171)*$K172/$M172,0)/$I$1</f>
        <v>0.67800000000000005</v>
      </c>
      <c r="O172" s="996">
        <f t="shared" ca="1" si="139"/>
        <v>0</v>
      </c>
      <c r="P172" s="996">
        <f t="shared" ca="1" si="139"/>
        <v>0</v>
      </c>
      <c r="Q172" s="275" cm="1">
        <f t="array" aca="1" ref="Q172" ca="1">_xlfn.SWITCH(L172,Q$3,N172+R172,O$3,O172,0)</f>
        <v>0.86340000000000006</v>
      </c>
      <c r="R172" s="999" cm="1">
        <f t="array" aca="1" ref="R172" ca="1">IFERROR(INDEX('Eléments de constr. inté. et ex'!M:M, $F171)*$K172/$M172,0)/$I$1</f>
        <v>0.18540000000000001</v>
      </c>
      <c r="S172" s="997">
        <f t="shared" ca="1" si="140"/>
        <v>1.7268000000000001</v>
      </c>
      <c r="T172" s="996" cm="1">
        <f t="array" aca="1" ref="T172" ca="1">IFERROR(INDEX('Eléments de constr. inté. et ex'!N:N, $F171)*$K172/$M172,0)/$I$1</f>
        <v>0</v>
      </c>
    </row>
    <row r="173" spans="2:21" ht="15.75" hidden="1" outlineLevel="1">
      <c r="B173" s="1536"/>
      <c r="C173" s="1539"/>
      <c r="D173" s="178"/>
      <c r="E173" s="178"/>
      <c r="F173" s="178">
        <f t="shared" ca="1" si="141"/>
        <v>2</v>
      </c>
      <c r="G173" s="178" cm="1">
        <f t="array" aca="1" ref="G173" ca="1">INDEX( 'Eléments de constr. inté. et ex'!C:C, $F172)</f>
        <v>0</v>
      </c>
      <c r="H173" s="178" cm="1">
        <f t="array" aca="1" ref="H173" ca="1">INDEX( 'Eléments de constr. inté. et ex'!D:D, $F172)</f>
        <v>0</v>
      </c>
      <c r="I173" s="178" cm="1">
        <f t="array" aca="1" ref="I173" ca="1">INDEX( 'Eléments de constr. inté. et ex'!F:F, $F172)</f>
        <v>0</v>
      </c>
      <c r="J173" s="178">
        <f ca="1">_xlfn.XLOOKUP($I173,'Baumaterialien Matériaux'!A:A,'Baumaterialien Matériaux'!G:G,0,0)</f>
        <v>0</v>
      </c>
      <c r="K173" s="286">
        <f t="shared" ca="1" si="142"/>
        <v>0</v>
      </c>
      <c r="L173" s="178" cm="1">
        <f t="array" aca="1" ref="L173" ca="1">INDEX( 'Eléments de constr. inté. et ex'!I:I, $F172)</f>
        <v>40</v>
      </c>
      <c r="M173" s="178" cm="1">
        <f t="array" aca="1" ref="M173" ca="1">INDEX( 'Eléments de constr. inté. et ex'!G:G, $F172)</f>
        <v>0</v>
      </c>
      <c r="N173" s="999" cm="1">
        <f t="array" aca="1" ref="N173" ca="1">IFERROR(INDEX('Eléments de constr. inté. et ex'!L:L, $F172)*$K173/$M173,0)/$I$1</f>
        <v>0</v>
      </c>
      <c r="O173" s="996">
        <f t="shared" ca="1" si="139"/>
        <v>0</v>
      </c>
      <c r="P173" s="996">
        <f t="shared" ca="1" si="139"/>
        <v>0</v>
      </c>
      <c r="Q173" s="275" cm="1">
        <f t="array" aca="1" ref="Q173" ca="1">_xlfn.SWITCH(L173,Q$3,N173+R173,O$3,O173,0)</f>
        <v>0</v>
      </c>
      <c r="R173" s="999" cm="1">
        <f t="array" aca="1" ref="R173" ca="1">IFERROR(INDEX('Eléments de constr. inté. et ex'!M:M, $F172)*$K173/$M173,0)/$I$1</f>
        <v>0</v>
      </c>
      <c r="S173" s="997">
        <f t="shared" ca="1" si="140"/>
        <v>0</v>
      </c>
      <c r="T173" s="996" cm="1">
        <f t="array" aca="1" ref="T173" ca="1">IFERROR(INDEX('Eléments de constr. inté. et ex'!N:N, $F172)*$K173/$M173,0)/$I$1</f>
        <v>0</v>
      </c>
    </row>
    <row r="174" spans="2:21" ht="15.75" hidden="1" outlineLevel="1">
      <c r="B174" s="1536"/>
      <c r="C174" s="1539"/>
      <c r="D174" s="178"/>
      <c r="E174" s="178"/>
      <c r="F174" s="178">
        <f t="shared" ca="1" si="141"/>
        <v>2</v>
      </c>
      <c r="G174" s="178" cm="1">
        <f t="array" aca="1" ref="G174" ca="1">INDEX( 'Eléments de constr. inté. et ex'!C:C, $F173)</f>
        <v>0</v>
      </c>
      <c r="H174" s="178" cm="1">
        <f t="array" aca="1" ref="H174" ca="1">INDEX( 'Eléments de constr. inté. et ex'!D:D, $F173)</f>
        <v>0</v>
      </c>
      <c r="I174" s="178" cm="1">
        <f t="array" aca="1" ref="I174" ca="1">INDEX( 'Eléments de constr. inté. et ex'!F:F, $F173)</f>
        <v>0</v>
      </c>
      <c r="J174" s="178">
        <f ca="1">_xlfn.XLOOKUP($I174,'Baumaterialien Matériaux'!A:A,'Baumaterialien Matériaux'!G:G,0,0)</f>
        <v>0</v>
      </c>
      <c r="K174" s="286">
        <f t="shared" ca="1" si="142"/>
        <v>0</v>
      </c>
      <c r="L174" s="178" cm="1">
        <f t="array" aca="1" ref="L174" ca="1">INDEX( 'Eléments de constr. inté. et ex'!I:I, $F173)</f>
        <v>0</v>
      </c>
      <c r="M174" s="178" cm="1">
        <f t="array" aca="1" ref="M174" ca="1">INDEX( 'Eléments de constr. inté. et ex'!G:G, $F173)</f>
        <v>0</v>
      </c>
      <c r="N174" s="999" cm="1">
        <f t="array" aca="1" ref="N174" ca="1">IFERROR(INDEX('Eléments de constr. inté. et ex'!L:L, $F173)*$K174/$M174,0)/$I$1</f>
        <v>0</v>
      </c>
      <c r="O174" s="996">
        <f t="shared" ca="1" si="139"/>
        <v>0</v>
      </c>
      <c r="P174" s="996">
        <f t="shared" ca="1" si="139"/>
        <v>0</v>
      </c>
      <c r="Q174" s="275" cm="1">
        <f t="array" aca="1" ref="Q174" ca="1">_xlfn.SWITCH(L174,Q$3,N174+R174,O$3,O174,0)</f>
        <v>0</v>
      </c>
      <c r="R174" s="999" cm="1">
        <f t="array" aca="1" ref="R174" ca="1">IFERROR(INDEX('Eléments de constr. inté. et ex'!M:M, $F173)*$K174/$M174,0)/$I$1</f>
        <v>0</v>
      </c>
      <c r="S174" s="997">
        <f t="shared" ca="1" si="140"/>
        <v>0</v>
      </c>
      <c r="T174" s="996" cm="1">
        <f t="array" aca="1" ref="T174" ca="1">IFERROR(INDEX('Eléments de constr. inté. et ex'!N:N, $F173)*$K174/$M174,0)/$I$1</f>
        <v>0</v>
      </c>
    </row>
    <row r="175" spans="2:21" ht="15.75" hidden="1" customHeight="1" outlineLevel="1">
      <c r="B175" s="1536"/>
      <c r="C175" s="1539"/>
      <c r="D175" s="178"/>
      <c r="E175" s="178"/>
      <c r="F175" s="178">
        <f t="shared" ca="1" si="141"/>
        <v>2</v>
      </c>
      <c r="G175" s="178" cm="1">
        <f t="array" aca="1" ref="G175" ca="1">INDEX( 'Eléments de constr. inté. et ex'!C:C, $F174)</f>
        <v>0</v>
      </c>
      <c r="H175" s="178" cm="1">
        <f t="array" aca="1" ref="H175" ca="1">INDEX( 'Eléments de constr. inté. et ex'!D:D, $F174)</f>
        <v>0</v>
      </c>
      <c r="I175" s="178" cm="1">
        <f t="array" aca="1" ref="I175" ca="1">INDEX( 'Eléments de constr. inté. et ex'!F:F, $F174)</f>
        <v>0</v>
      </c>
      <c r="J175" s="178">
        <f ca="1">_xlfn.XLOOKUP($I175,'Baumaterialien Matériaux'!A:A,'Baumaterialien Matériaux'!G:G,0,0)</f>
        <v>0</v>
      </c>
      <c r="K175" s="286">
        <f ca="1">M175*$K$169</f>
        <v>0</v>
      </c>
      <c r="L175" s="178" cm="1">
        <f t="array" aca="1" ref="L175" ca="1">INDEX( 'Eléments de constr. inté. et ex'!I:I, $F174)</f>
        <v>0</v>
      </c>
      <c r="M175" s="178" cm="1">
        <f t="array" aca="1" ref="M175" ca="1">INDEX( 'Eléments de constr. inté. et ex'!G:G, $F174)</f>
        <v>0</v>
      </c>
      <c r="N175" s="999" cm="1">
        <f t="array" aca="1" ref="N175" ca="1">IFERROR(INDEX('Eléments de constr. inté. et ex'!L:L, $F174)*$K175/$M175,0)/$I$1</f>
        <v>0</v>
      </c>
      <c r="O175" s="996">
        <f t="shared" ca="1" si="139"/>
        <v>0</v>
      </c>
      <c r="P175" s="996">
        <f t="shared" ca="1" si="139"/>
        <v>0</v>
      </c>
      <c r="Q175" s="275" cm="1">
        <f t="array" aca="1" ref="Q175" ca="1">_xlfn.SWITCH(L175,Q$3,N175+R175,O$3,O175,0)</f>
        <v>0</v>
      </c>
      <c r="R175" s="999" cm="1">
        <f t="array" aca="1" ref="R175" ca="1">IFERROR(INDEX('Eléments de constr. inté. et ex'!M:M, $F174)*$K175/$M175,0)/$I$1</f>
        <v>0</v>
      </c>
      <c r="S175" s="997">
        <f t="shared" ca="1" si="140"/>
        <v>0</v>
      </c>
      <c r="T175" s="996" cm="1">
        <f t="array" aca="1" ref="T175" ca="1">IFERROR(INDEX('Eléments de constr. inté. et ex'!N:N, $F174)*$K175/$M175,0)/$I$1</f>
        <v>0</v>
      </c>
    </row>
    <row r="176" spans="2:21" ht="15.75" hidden="1" outlineLevel="1">
      <c r="B176" s="1536"/>
      <c r="C176" s="1539"/>
      <c r="D176" s="178"/>
      <c r="E176" s="178"/>
      <c r="F176" s="178">
        <f t="shared" ca="1" si="141"/>
        <v>2</v>
      </c>
      <c r="G176" s="178" cm="1">
        <f t="array" aca="1" ref="G176" ca="1">INDEX( 'Eléments de constr. inté. et ex'!C:C, $F175)</f>
        <v>0</v>
      </c>
      <c r="H176" s="178" cm="1">
        <f t="array" aca="1" ref="H176" ca="1">INDEX( 'Eléments de constr. inté. et ex'!D:D, $F175)</f>
        <v>0</v>
      </c>
      <c r="I176" s="178" cm="1">
        <f t="array" aca="1" ref="I176" ca="1">INDEX( 'Eléments de constr. inté. et ex'!F:F, $F175)</f>
        <v>0</v>
      </c>
      <c r="J176" s="178">
        <f ca="1">_xlfn.XLOOKUP($I176,'Baumaterialien Matériaux'!A:A,'Baumaterialien Matériaux'!G:G,0,0)</f>
        <v>0</v>
      </c>
      <c r="K176" s="286">
        <f t="shared" ca="1" si="142"/>
        <v>0</v>
      </c>
      <c r="L176" s="178" cm="1">
        <f t="array" aca="1" ref="L176" ca="1">INDEX( 'Eléments de constr. inté. et ex'!I:I, $F175)</f>
        <v>0</v>
      </c>
      <c r="M176" s="178" cm="1">
        <f t="array" aca="1" ref="M176" ca="1">INDEX( 'Eléments de constr. inté. et ex'!G:G, $F175)</f>
        <v>0</v>
      </c>
      <c r="N176" s="999" cm="1">
        <f t="array" aca="1" ref="N176" ca="1">IFERROR(INDEX('Eléments de constr. inté. et ex'!L:L, $F175)*$K176/$M176,0)/$I$1</f>
        <v>0</v>
      </c>
      <c r="O176" s="996">
        <f t="shared" ca="1" si="139"/>
        <v>0</v>
      </c>
      <c r="P176" s="996">
        <f t="shared" ca="1" si="139"/>
        <v>0</v>
      </c>
      <c r="Q176" s="275" cm="1">
        <f t="array" aca="1" ref="Q176" ca="1">_xlfn.SWITCH(L176,Q$3,N176+R176,O$3,O176,0)</f>
        <v>0</v>
      </c>
      <c r="R176" s="999" cm="1">
        <f t="array" aca="1" ref="R176" ca="1">IFERROR(INDEX('Eléments de constr. inté. et ex'!M:M, $F175)*$K176/$M176,0)/$I$1</f>
        <v>0</v>
      </c>
      <c r="S176" s="997">
        <f t="shared" ca="1" si="140"/>
        <v>0</v>
      </c>
      <c r="T176" s="996" cm="1">
        <f t="array" aca="1" ref="T176" ca="1">IFERROR(INDEX('Eléments de constr. inté. et ex'!N:N, $F175)*$K176/$M176,0)/$I$1</f>
        <v>0</v>
      </c>
    </row>
    <row r="177" spans="2:20" ht="15.75" hidden="1" outlineLevel="1">
      <c r="B177" s="1536"/>
      <c r="C177" s="1540"/>
      <c r="D177" s="178"/>
      <c r="E177" s="178"/>
      <c r="F177" s="178">
        <f t="shared" ref="F177" ca="1" si="143">IF(I177=0,2,F176+1)</f>
        <v>2</v>
      </c>
      <c r="G177" s="178" cm="1">
        <f t="array" aca="1" ref="G177" ca="1">INDEX( 'Eléments de constr. inté. et ex'!C:C, $F176)</f>
        <v>0</v>
      </c>
      <c r="H177" s="178" cm="1">
        <f t="array" aca="1" ref="H177" ca="1">INDEX( 'Eléments de constr. inté. et ex'!D:D, $F176)</f>
        <v>0</v>
      </c>
      <c r="I177" s="178" cm="1">
        <f t="array" aca="1" ref="I177" ca="1">INDEX( 'Eléments de constr. inté. et ex'!F:F, $F176)</f>
        <v>0</v>
      </c>
      <c r="J177" s="178">
        <f ca="1">_xlfn.XLOOKUP($I177,'Baumaterialien Matériaux'!A:A,'Baumaterialien Matériaux'!G:G,0,0)</f>
        <v>0</v>
      </c>
      <c r="K177" s="286">
        <f t="shared" ca="1" si="142"/>
        <v>0</v>
      </c>
      <c r="L177" s="178" cm="1">
        <f t="array" aca="1" ref="L177" ca="1">INDEX( 'Eléments de constr. inté. et ex'!I:I, $F176)</f>
        <v>0</v>
      </c>
      <c r="M177" s="178" cm="1">
        <f t="array" aca="1" ref="M177" ca="1">INDEX( 'Eléments de constr. inté. et ex'!G:G, $F176)</f>
        <v>0</v>
      </c>
      <c r="N177" s="999" cm="1">
        <f t="array" aca="1" ref="N177" ca="1">IFERROR(INDEX('Eléments de constr. inté. et ex'!L:L, $F176)*$K177/$M177,0)/$I$1</f>
        <v>0</v>
      </c>
      <c r="O177" s="996">
        <f t="shared" ca="1" si="139"/>
        <v>0</v>
      </c>
      <c r="P177" s="996">
        <f t="shared" ca="1" si="139"/>
        <v>0</v>
      </c>
      <c r="Q177" s="275" cm="1">
        <f t="array" aca="1" ref="Q177" ca="1">_xlfn.SWITCH(L177,Q$3,N177+R177,O$3,O177,0)</f>
        <v>0</v>
      </c>
      <c r="R177" s="999" cm="1">
        <f t="array" aca="1" ref="R177" ca="1">IFERROR(INDEX('Eléments de constr. inté. et ex'!M:M, $F176)*$K177/$M177,0)/$I$1</f>
        <v>0</v>
      </c>
      <c r="S177" s="997">
        <f t="shared" ca="1" si="140"/>
        <v>0</v>
      </c>
      <c r="T177" s="996" cm="1">
        <f t="array" aca="1" ref="T177" ca="1">IFERROR(INDEX('Eléments de constr. inté. et ex'!N:N, $F176)*$K177/$M177,0)/$I$1</f>
        <v>0</v>
      </c>
    </row>
    <row r="178" spans="2:20" ht="15.75" collapsed="1">
      <c r="B178" s="1536"/>
      <c r="C178" s="1538" t="str">
        <f>'Outil détaillé'!C42</f>
        <v>G01.05</v>
      </c>
      <c r="D178" s="177" t="str">
        <f>'Outil détaillé'!D42</f>
        <v>Portes</v>
      </c>
      <c r="E178" s="177"/>
      <c r="F178" s="177">
        <f>MATCH(D178, 'Eléments de constr. inté. et ex'!B:B,0)</f>
        <v>82</v>
      </c>
      <c r="G178" s="177"/>
      <c r="H178" s="177"/>
      <c r="I178" s="177"/>
      <c r="J178" s="177"/>
      <c r="K178" s="289"/>
      <c r="L178" s="288"/>
      <c r="M178" s="288"/>
      <c r="N178" s="993">
        <f t="shared" ref="N178" ca="1" si="144">N179</f>
        <v>0</v>
      </c>
      <c r="O178" s="993">
        <f t="shared" ref="O178:T178" ca="1" si="145">O179</f>
        <v>0</v>
      </c>
      <c r="P178" s="993">
        <f t="shared" ca="1" si="145"/>
        <v>0</v>
      </c>
      <c r="Q178" s="993">
        <f t="shared" ca="1" si="145"/>
        <v>0</v>
      </c>
      <c r="R178" s="993">
        <f t="shared" ca="1" si="145"/>
        <v>0</v>
      </c>
      <c r="S178" s="993">
        <f t="shared" ca="1" si="145"/>
        <v>0</v>
      </c>
      <c r="T178" s="1053">
        <f t="shared" ca="1" si="145"/>
        <v>0</v>
      </c>
    </row>
    <row r="179" spans="2:20" ht="15.75">
      <c r="B179" s="1536"/>
      <c r="C179" s="1539"/>
      <c r="D179" s="178" t="str">
        <f>'Outil détaillé'!D43</f>
        <v>Interne</v>
      </c>
      <c r="E179" s="751" t="str">
        <f>'Outil détaillé'!E43</f>
        <v>Portes internes</v>
      </c>
      <c r="F179" s="928">
        <f ca="1">MATCH(E179, INDIRECT("'Eléments de constr. inté. et ex'!A"&amp;F178+1&amp;":A500"),0)+F178</f>
        <v>83</v>
      </c>
      <c r="G179" s="751"/>
      <c r="H179" s="751"/>
      <c r="I179" s="751"/>
      <c r="J179" s="751" t="s">
        <v>97</v>
      </c>
      <c r="K179" s="752">
        <f>'Outil détaillé'!J43</f>
        <v>0</v>
      </c>
      <c r="L179" s="761"/>
      <c r="M179" s="751"/>
      <c r="N179" s="753">
        <f t="shared" ref="N179" ca="1" si="146">SUM(N180:N181)</f>
        <v>0</v>
      </c>
      <c r="O179" s="753">
        <f t="shared" ref="O179:T179" ca="1" si="147">SUM(O180:O181)</f>
        <v>0</v>
      </c>
      <c r="P179" s="753">
        <f t="shared" ca="1" si="147"/>
        <v>0</v>
      </c>
      <c r="Q179" s="753">
        <f t="shared" ca="1" si="147"/>
        <v>0</v>
      </c>
      <c r="R179" s="753">
        <f t="shared" ca="1" si="147"/>
        <v>0</v>
      </c>
      <c r="S179" s="753">
        <f t="shared" ca="1" si="147"/>
        <v>0</v>
      </c>
      <c r="T179" s="1055">
        <f t="shared" ca="1" si="147"/>
        <v>0</v>
      </c>
    </row>
    <row r="180" spans="2:20" ht="15.75" hidden="1" outlineLevel="1">
      <c r="B180" s="1536"/>
      <c r="C180" s="1539"/>
      <c r="D180" s="178"/>
      <c r="E180" s="178"/>
      <c r="F180" s="178">
        <f t="shared" ref="F180" ca="1" si="148">IF(I180=0,2,F179+1)</f>
        <v>84</v>
      </c>
      <c r="G180" s="178" t="str" cm="1">
        <f t="array" aca="1" ref="G180" ca="1">INDEX( 'Eléments de constr. inté. et ex'!C:C, $F179)</f>
        <v>Porte bois</v>
      </c>
      <c r="H180" s="178" t="str" cm="1">
        <f t="array" aca="1" ref="H180" ca="1">INDEX( 'Eléments de constr. inté. et ex'!D:D, $F179)</f>
        <v>Porte intérieure, porte fonctionnelle, bois, cadre en bois</v>
      </c>
      <c r="I180" s="178" t="str" cm="1">
        <f t="array" aca="1" ref="I180" ca="1">INDEX( 'Eléments de constr. inté. et ex'!F:F, $F179)</f>
        <v>12.009</v>
      </c>
      <c r="J180" s="178" t="str">
        <f ca="1">_xlfn.XLOOKUP($I180,'Baumaterialien Matériaux'!A:A,'Baumaterialien Matériaux'!G:G,0,0)</f>
        <v>m2</v>
      </c>
      <c r="K180" s="286">
        <f ca="1">M180*$K$179</f>
        <v>0</v>
      </c>
      <c r="L180" s="178" cm="1">
        <f t="array" aca="1" ref="L180" ca="1">INDEX( 'Eléments de constr. inté. et ex'!I:I, $F179)</f>
        <v>30</v>
      </c>
      <c r="M180" s="178" cm="1">
        <f t="array" aca="1" ref="M180" ca="1">INDEX( 'Eléments de constr. inté. et ex'!G:G, $F179)</f>
        <v>1</v>
      </c>
      <c r="N180" s="999" cm="1">
        <f t="array" aca="1" ref="N180" ca="1">IFERROR(INDEX('Eléments de constr. inté. et ex'!L:L, $F179)*$K180/$M180,0)/$I$1</f>
        <v>0</v>
      </c>
      <c r="O180" s="996">
        <f ca="1">IF($L180=O$3,$N180+$R180,0)</f>
        <v>0</v>
      </c>
      <c r="P180" s="996">
        <f ca="1">IF($L180=P$3,$N180+$R180,0)</f>
        <v>0</v>
      </c>
      <c r="Q180" s="275" cm="1">
        <f t="array" aca="1" ref="Q180" ca="1">_xlfn.SWITCH(L180,Q$3,N180+R180,O$3,O180,0)</f>
        <v>0</v>
      </c>
      <c r="R180" s="999" cm="1">
        <f t="array" aca="1" ref="R180" ca="1">IFERROR(INDEX('Eléments de constr. inté. et ex'!M:M, $F179)*$K180/$M180,0)/$I$1</f>
        <v>0</v>
      </c>
      <c r="S180" s="997">
        <f ca="1">SUM(N180:R180)</f>
        <v>0</v>
      </c>
      <c r="T180" s="996" cm="1">
        <f t="array" aca="1" ref="T180" ca="1">IFERROR(INDEX('Eléments de constr. inté. et ex'!N:N, $F179)*$K180/$M180,0)/$I$1</f>
        <v>0</v>
      </c>
    </row>
    <row r="181" spans="2:20" ht="15.75" hidden="1" outlineLevel="1">
      <c r="B181" s="1536"/>
      <c r="C181" s="1540"/>
      <c r="D181" s="178"/>
      <c r="E181" s="178"/>
      <c r="F181" s="178">
        <f t="shared" ref="F181" ca="1" si="149">IF(I181=0,2,F180+1)</f>
        <v>2</v>
      </c>
      <c r="G181" s="178" cm="1">
        <f t="array" aca="1" ref="G181" ca="1">INDEX( 'Eléments de constr. inté. et ex'!C:C, $F180)</f>
        <v>0</v>
      </c>
      <c r="H181" s="178" cm="1">
        <f t="array" aca="1" ref="H181" ca="1">INDEX( 'Eléments de constr. inté. et ex'!D:D, $F180)</f>
        <v>0</v>
      </c>
      <c r="I181" s="178" cm="1">
        <f t="array" aca="1" ref="I181" ca="1">INDEX( 'Eléments de constr. inté. et ex'!F:F, $F180)</f>
        <v>0</v>
      </c>
      <c r="J181" s="178">
        <f ca="1">_xlfn.XLOOKUP($I181,'Baumaterialien Matériaux'!A:A,'Baumaterialien Matériaux'!G:G,0,0)</f>
        <v>0</v>
      </c>
      <c r="K181" s="286">
        <f ca="1">M181*$K$179</f>
        <v>0</v>
      </c>
      <c r="L181" s="178" cm="1">
        <f t="array" aca="1" ref="L181" ca="1">INDEX( 'Eléments de constr. inté. et ex'!I:I, $F180)</f>
        <v>0</v>
      </c>
      <c r="M181" s="178" cm="1">
        <f t="array" aca="1" ref="M181" ca="1">INDEX( 'Eléments de constr. inté. et ex'!G:G, $F180)</f>
        <v>0</v>
      </c>
      <c r="N181" s="999" cm="1">
        <f t="array" aca="1" ref="N181" ca="1">IFERROR(INDEX('Eléments de constr. inté. et ex'!L:L, $F180)*$K181/$M181,0)/$I$1</f>
        <v>0</v>
      </c>
      <c r="O181" s="996">
        <f ca="1">IF($L181=O$3,$N181+$R181,0)</f>
        <v>0</v>
      </c>
      <c r="P181" s="996">
        <f ca="1">IF($L181=P$3,$N181+$R181,0)</f>
        <v>0</v>
      </c>
      <c r="Q181" s="275" cm="1">
        <f t="array" aca="1" ref="Q181" ca="1">_xlfn.SWITCH(L181,Q$3,N181+R181,O$3,O181,0)</f>
        <v>0</v>
      </c>
      <c r="R181" s="999" cm="1">
        <f t="array" aca="1" ref="R181" ca="1">IFERROR(INDEX('Eléments de constr. inté. et ex'!M:M, $F180)*$K181/$M181,0)/$I$1</f>
        <v>0</v>
      </c>
      <c r="S181" s="997">
        <f ca="1">SUM(N181:R181)</f>
        <v>0</v>
      </c>
      <c r="T181" s="996" cm="1">
        <f t="array" aca="1" ref="T181" ca="1">IFERROR(INDEX('Eléments de constr. inté. et ex'!N:N, $F180)*$K181/$M181,0)/$I$1</f>
        <v>0</v>
      </c>
    </row>
    <row r="182" spans="2:20" ht="15.75" collapsed="1">
      <c r="B182" s="1536"/>
      <c r="C182" s="1538" t="str">
        <f>'Outil détaillé'!C44</f>
        <v>G02</v>
      </c>
      <c r="D182" s="177" t="str">
        <f>'Outil détaillé'!D44</f>
        <v>Revetements de sols</v>
      </c>
      <c r="E182" s="177"/>
      <c r="F182" s="177">
        <f>MATCH(D182, 'Eléments de constr. inté. et ex'!B:B,0)</f>
        <v>87</v>
      </c>
      <c r="G182" s="177"/>
      <c r="H182" s="177"/>
      <c r="I182" s="177"/>
      <c r="J182" s="177"/>
      <c r="K182" s="289"/>
      <c r="L182" s="288"/>
      <c r="M182" s="288"/>
      <c r="N182" s="993">
        <f ca="1">N183+N233+N197+N211+N229+N192+N206+N220+N225</f>
        <v>16.250466666666668</v>
      </c>
      <c r="O182" s="993">
        <f t="shared" ref="O182:S182" ca="1" si="150">O183+O233+O197+O211+O229+O192+O206+O220+O225</f>
        <v>0</v>
      </c>
      <c r="P182" s="993">
        <f t="shared" ca="1" si="150"/>
        <v>17.830826666666667</v>
      </c>
      <c r="Q182" s="993">
        <f t="shared" ca="1" si="150"/>
        <v>0</v>
      </c>
      <c r="R182" s="993">
        <f t="shared" ca="1" si="150"/>
        <v>1.5803600000000002</v>
      </c>
      <c r="S182" s="993">
        <f t="shared" ca="1" si="150"/>
        <v>35.661653333333334</v>
      </c>
      <c r="T182" s="1053">
        <f ca="1">T183+T233+T197+T211+T229+T192+T206+T220+T225</f>
        <v>4.6028888888888888</v>
      </c>
    </row>
    <row r="183" spans="2:20" ht="15.75">
      <c r="B183" s="1536"/>
      <c r="C183" s="1539"/>
      <c r="D183" s="178" t="s">
        <v>555</v>
      </c>
      <c r="E183" s="179" t="str">
        <f>'Outil détaillé'!E45</f>
        <v xml:space="preserve">Revêtement de sol fini mixte </v>
      </c>
      <c r="F183" s="928">
        <f ca="1">MATCH(E183, INDIRECT("'Eléments de constr. inté. et ex'!A"&amp;F182+1&amp;":A500"),0)+F182</f>
        <v>101</v>
      </c>
      <c r="G183" s="179"/>
      <c r="H183" s="179"/>
      <c r="I183" s="179"/>
      <c r="J183" s="179" t="s">
        <v>97</v>
      </c>
      <c r="K183" s="294">
        <f>'Outil détaillé'!J45</f>
        <v>0</v>
      </c>
      <c r="L183" s="295"/>
      <c r="M183" s="295"/>
      <c r="N183" s="994">
        <f ca="1">SUM(N184:N191)</f>
        <v>0</v>
      </c>
      <c r="O183" s="994">
        <f t="shared" ref="O183:S183" ca="1" si="151">SUM(O184:O191)</f>
        <v>0</v>
      </c>
      <c r="P183" s="994">
        <f t="shared" ca="1" si="151"/>
        <v>0</v>
      </c>
      <c r="Q183" s="994">
        <f t="shared" ca="1" si="151"/>
        <v>0</v>
      </c>
      <c r="R183" s="994">
        <f t="shared" ca="1" si="151"/>
        <v>0</v>
      </c>
      <c r="S183" s="994">
        <f t="shared" ca="1" si="151"/>
        <v>0</v>
      </c>
      <c r="T183" s="994">
        <f ca="1">SUM(T184:T191)</f>
        <v>0</v>
      </c>
    </row>
    <row r="184" spans="2:20" ht="15.75" hidden="1" outlineLevel="1">
      <c r="B184" s="1536"/>
      <c r="C184" s="1539"/>
      <c r="D184" s="178"/>
      <c r="E184" s="317"/>
      <c r="F184" s="178">
        <f t="shared" ref="F184" ca="1" si="152">IF(I184=0,2,F183+1)</f>
        <v>102</v>
      </c>
      <c r="G184" s="178" t="str" cm="1">
        <f t="array" aca="1" ref="G184" ca="1">INDEX( 'Eléments de constr. inté. et ex'!C:C, $F183)</f>
        <v>Parkett 2-Schicht werkversiegelt, 11 mm [m2]</v>
      </c>
      <c r="H184" s="178" t="str" cm="1">
        <f t="array" aca="1" ref="H184" ca="1">INDEX( 'Eléments de constr. inté. et ex'!D:D, $F183)</f>
        <v>Parquet, 2 plis, vitrifié d'usine, 11 mm</v>
      </c>
      <c r="I184" s="178" t="str" cm="1">
        <f t="array" aca="1" ref="I184" ca="1">INDEX( 'Eléments de constr. inté. et ex'!F:F, $F183)</f>
        <v>11.018</v>
      </c>
      <c r="J184" s="178" t="str">
        <f ca="1">_xlfn.XLOOKUP($I184,'Baumaterialien Matériaux'!A:A,'Baumaterialien Matériaux'!G:G,0,0)</f>
        <v>m2</v>
      </c>
      <c r="K184" s="286">
        <f ca="1">M184*$K$183</f>
        <v>0</v>
      </c>
      <c r="L184" s="178" cm="1">
        <f t="array" aca="1" ref="L184" ca="1">INDEX( 'Eléments de constr. inté. et ex'!I:I, $F183)</f>
        <v>30</v>
      </c>
      <c r="M184" s="178" cm="1">
        <f t="array" aca="1" ref="M184" ca="1">INDEX( 'Eléments de constr. inté. et ex'!G:G, $F183)</f>
        <v>0.7</v>
      </c>
      <c r="N184" s="999" cm="1">
        <f t="array" aca="1" ref="N184" ca="1">IFERROR(INDEX('Eléments de constr. inté. et ex'!L:L, $F183)*$K184/$M184,0)/$I$1</f>
        <v>0</v>
      </c>
      <c r="O184" s="996">
        <f t="shared" ref="O184:P196" ca="1" si="153">IF($L184=O$3,$N184+$R184,0)</f>
        <v>0</v>
      </c>
      <c r="P184" s="996">
        <f t="shared" ca="1" si="153"/>
        <v>0</v>
      </c>
      <c r="Q184" s="275" cm="1">
        <f t="array" aca="1" ref="Q184" ca="1">_xlfn.SWITCH(L184,Q$3,N184+R184,O$3,O184,0)</f>
        <v>0</v>
      </c>
      <c r="R184" s="999" cm="1">
        <f t="array" aca="1" ref="R184" ca="1">IFERROR(INDEX('Eléments de constr. inté. et ex'!M:M, $F183)*$K184/$M184,0)/$I$1</f>
        <v>0</v>
      </c>
      <c r="S184" s="997">
        <f t="shared" ref="S184:S191" ca="1" si="154">SUM(N184:R184)</f>
        <v>0</v>
      </c>
      <c r="T184" s="996" cm="1">
        <f t="array" aca="1" ref="T184" ca="1">IFERROR(INDEX('Eléments de constr. inté. et ex'!N:N, $F183)*$K184/$M184,0)/$I$1</f>
        <v>0</v>
      </c>
    </row>
    <row r="185" spans="2:20" ht="15.75" hidden="1" outlineLevel="1">
      <c r="B185" s="1536"/>
      <c r="C185" s="1539"/>
      <c r="D185" s="178"/>
      <c r="E185" s="317"/>
      <c r="F185" s="178">
        <f t="shared" ref="F185:F190" ca="1" si="155">IF(I185=0,2,F184+1)</f>
        <v>103</v>
      </c>
      <c r="G185" s="178" t="str" cm="1">
        <f t="array" aca="1" ref="G185" ca="1">INDEX( 'Eléments de constr. inté. et ex'!C:C, $F184)</f>
        <v>Klebstoff [kg]</v>
      </c>
      <c r="H185" s="178" t="str" cm="1">
        <f t="array" aca="1" ref="H185" ca="1">INDEX( 'Eléments de constr. inté. et ex'!D:D, $F184)</f>
        <v>Colle bicomposant</v>
      </c>
      <c r="I185" s="178" t="str" cm="1">
        <f t="array" aca="1" ref="I185" ca="1">INDEX( 'Eléments de constr. inté. et ex'!F:F, $F184)</f>
        <v>08.001</v>
      </c>
      <c r="J185" s="178" t="str">
        <f ca="1">_xlfn.XLOOKUP($I185,'Baumaterialien Matériaux'!A:A,'Baumaterialien Matériaux'!G:G,0,0)</f>
        <v>kg</v>
      </c>
      <c r="K185" s="286">
        <f t="shared" ref="K185:K191" ca="1" si="156">M185*$K$183</f>
        <v>0</v>
      </c>
      <c r="L185" s="178" cm="1">
        <f t="array" aca="1" ref="L185" ca="1">INDEX( 'Eléments de constr. inté. et ex'!I:I, $F184)</f>
        <v>30</v>
      </c>
      <c r="M185" s="178" cm="1">
        <f t="array" aca="1" ref="M185" ca="1">INDEX( 'Eléments de constr. inté. et ex'!G:G, $F184)</f>
        <v>0.7</v>
      </c>
      <c r="N185" s="999" cm="1">
        <f t="array" aca="1" ref="N185" ca="1">IFERROR(INDEX('Eléments de constr. inté. et ex'!L:L, $F184)*$K185/$M185,0)/$I$1</f>
        <v>0</v>
      </c>
      <c r="O185" s="996">
        <f t="shared" ca="1" si="153"/>
        <v>0</v>
      </c>
      <c r="P185" s="996">
        <f t="shared" ca="1" si="153"/>
        <v>0</v>
      </c>
      <c r="Q185" s="275" cm="1">
        <f t="array" aca="1" ref="Q185" ca="1">_xlfn.SWITCH(L185,Q$3,N185+R185,O$3,O185,0)</f>
        <v>0</v>
      </c>
      <c r="R185" s="999" cm="1">
        <f t="array" aca="1" ref="R185" ca="1">IFERROR(INDEX('Eléments de constr. inté. et ex'!M:M, $F184)*$K185/$M185,0)/$I$1</f>
        <v>0</v>
      </c>
      <c r="S185" s="997">
        <f t="shared" ca="1" si="154"/>
        <v>0</v>
      </c>
      <c r="T185" s="996" cm="1">
        <f t="array" aca="1" ref="T185" ca="1">IFERROR(INDEX('Eléments de constr. inté. et ex'!N:N, $F184)*$K185/$M185,0)/$I$1</f>
        <v>0</v>
      </c>
    </row>
    <row r="186" spans="2:20" ht="15.75" hidden="1" outlineLevel="1">
      <c r="B186" s="1536"/>
      <c r="C186" s="1539"/>
      <c r="D186" s="178"/>
      <c r="E186" s="317"/>
      <c r="F186" s="178">
        <f t="shared" ca="1" si="155"/>
        <v>104</v>
      </c>
      <c r="G186" s="178" t="str" cm="1">
        <f t="array" aca="1" ref="G186" ca="1">INDEX( 'Eléments de constr. inté. et ex'!C:C, $F185)</f>
        <v>Keramikplatten 9mm [m2]</v>
      </c>
      <c r="H186" s="178" t="str" cm="1">
        <f t="array" aca="1" ref="H186" ca="1">INDEX( 'Eléments de constr. inté. et ex'!D:D, $F185)</f>
        <v>Dalle en céramique/grès, 9 mm</v>
      </c>
      <c r="I186" s="178" t="str" cm="1">
        <f t="array" aca="1" ref="I186" ca="1">INDEX( 'Eléments de constr. inté. et ex'!F:F, $F185)</f>
        <v>11.008</v>
      </c>
      <c r="J186" s="178" t="str">
        <f ca="1">_xlfn.XLOOKUP($I186,'Baumaterialien Matériaux'!A:A,'Baumaterialien Matériaux'!G:G,0,0)</f>
        <v>m2</v>
      </c>
      <c r="K186" s="286">
        <f t="shared" ca="1" si="156"/>
        <v>0</v>
      </c>
      <c r="L186" s="178" cm="1">
        <f t="array" aca="1" ref="L186" ca="1">INDEX( 'Eléments de constr. inté. et ex'!I:I, $F185)</f>
        <v>30</v>
      </c>
      <c r="M186" s="178" cm="1">
        <f t="array" aca="1" ref="M186" ca="1">INDEX( 'Eléments de constr. inté. et ex'!G:G, $F185)</f>
        <v>0.3</v>
      </c>
      <c r="N186" s="999" cm="1">
        <f t="array" aca="1" ref="N186" ca="1">IFERROR(INDEX('Eléments de constr. inté. et ex'!L:L, $F185)*$K186/$M186,0)/$I$1</f>
        <v>0</v>
      </c>
      <c r="O186" s="996">
        <f t="shared" ca="1" si="153"/>
        <v>0</v>
      </c>
      <c r="P186" s="996">
        <f t="shared" ca="1" si="153"/>
        <v>0</v>
      </c>
      <c r="Q186" s="275" cm="1">
        <f t="array" aca="1" ref="Q186" ca="1">_xlfn.SWITCH(L186,Q$3,N186+R186,O$3,O186,0)</f>
        <v>0</v>
      </c>
      <c r="R186" s="999" cm="1">
        <f t="array" aca="1" ref="R186" ca="1">IFERROR(INDEX('Eléments de constr. inté. et ex'!M:M, $F185)*$K186/$M186,0)/$I$1</f>
        <v>0</v>
      </c>
      <c r="S186" s="997">
        <f t="shared" ca="1" si="154"/>
        <v>0</v>
      </c>
      <c r="T186" s="996" cm="1">
        <f t="array" aca="1" ref="T186" ca="1">IFERROR(INDEX('Eléments de constr. inté. et ex'!N:N, $F185)*$K186/$M186,0)/$I$1</f>
        <v>0</v>
      </c>
    </row>
    <row r="187" spans="2:20" ht="15.75" hidden="1" outlineLevel="1">
      <c r="B187" s="1536"/>
      <c r="C187" s="1539"/>
      <c r="D187" s="178"/>
      <c r="E187" s="317"/>
      <c r="F187" s="178">
        <f t="shared" ca="1" si="155"/>
        <v>105</v>
      </c>
      <c r="G187" s="178" t="str" cm="1">
        <f t="array" aca="1" ref="G187" ca="1">INDEX( 'Eléments de constr. inté. et ex'!C:C, $F186)</f>
        <v>Klebemörtel [kg]</v>
      </c>
      <c r="H187" s="178" t="str" cm="1">
        <f t="array" aca="1" ref="H187" ca="1">INDEX( 'Eléments de constr. inté. et ex'!D:D, $F186)</f>
        <v xml:space="preserve">Colle de construction/mortier d'enrobage minéral(e) </v>
      </c>
      <c r="I187" s="178" t="str" cm="1">
        <f t="array" aca="1" ref="I187" ca="1">INDEX( 'Eléments de constr. inté. et ex'!F:F, $F186)</f>
        <v>04.008</v>
      </c>
      <c r="J187" s="178" t="str">
        <f ca="1">_xlfn.XLOOKUP($I187,'Baumaterialien Matériaux'!A:A,'Baumaterialien Matériaux'!G:G,0,0)</f>
        <v>kg</v>
      </c>
      <c r="K187" s="286">
        <f t="shared" ca="1" si="156"/>
        <v>0</v>
      </c>
      <c r="L187" s="178" cm="1">
        <f t="array" aca="1" ref="L187" ca="1">INDEX( 'Eléments de constr. inté. et ex'!I:I, $F186)</f>
        <v>30</v>
      </c>
      <c r="M187" s="178" cm="1">
        <f t="array" aca="1" ref="M187" ca="1">INDEX( 'Eléments de constr. inté. et ex'!G:G, $F186)</f>
        <v>3.9</v>
      </c>
      <c r="N187" s="999" cm="1">
        <f t="array" aca="1" ref="N187" ca="1">IFERROR(INDEX('Eléments de constr. inté. et ex'!L:L, $F186)*$K187/$M187,0)/$I$1</f>
        <v>0</v>
      </c>
      <c r="O187" s="996">
        <f t="shared" ca="1" si="153"/>
        <v>0</v>
      </c>
      <c r="P187" s="996">
        <f t="shared" ca="1" si="153"/>
        <v>0</v>
      </c>
      <c r="Q187" s="275" cm="1">
        <f t="array" aca="1" ref="Q187" ca="1">_xlfn.SWITCH(L187,Q$3,N187+R187,O$3,O187,0)</f>
        <v>0</v>
      </c>
      <c r="R187" s="999" cm="1">
        <f t="array" aca="1" ref="R187" ca="1">IFERROR(INDEX('Eléments de constr. inté. et ex'!M:M, $F186)*$K187/$M187,0)/$I$1</f>
        <v>0</v>
      </c>
      <c r="S187" s="997">
        <f t="shared" ca="1" si="154"/>
        <v>0</v>
      </c>
      <c r="T187" s="996" cm="1">
        <f t="array" aca="1" ref="T187" ca="1">IFERROR(INDEX('Eléments de constr. inté. et ex'!N:N, $F186)*$K187/$M187,0)/$I$1</f>
        <v>0</v>
      </c>
    </row>
    <row r="188" spans="2:20" ht="15.75" hidden="1" outlineLevel="1">
      <c r="B188" s="1536"/>
      <c r="C188" s="1539"/>
      <c r="D188" s="178"/>
      <c r="E188" s="178"/>
      <c r="F188" s="178">
        <f t="shared" ca="1" si="155"/>
        <v>2</v>
      </c>
      <c r="G188" s="178" cm="1">
        <f t="array" aca="1" ref="G188" ca="1">INDEX( 'Eléments de constr. inté. et ex'!C:C, $F187)</f>
        <v>0</v>
      </c>
      <c r="H188" s="178" cm="1">
        <f t="array" aca="1" ref="H188" ca="1">INDEX( 'Eléments de constr. inté. et ex'!D:D, $F187)</f>
        <v>0</v>
      </c>
      <c r="I188" s="178" cm="1">
        <f t="array" aca="1" ref="I188" ca="1">INDEX( 'Eléments de constr. inté. et ex'!F:F, $F187)</f>
        <v>0</v>
      </c>
      <c r="J188" s="178">
        <f ca="1">_xlfn.XLOOKUP($I188,'Baumaterialien Matériaux'!A:A,'Baumaterialien Matériaux'!G:G,0,0)</f>
        <v>0</v>
      </c>
      <c r="K188" s="286">
        <f t="shared" ca="1" si="156"/>
        <v>0</v>
      </c>
      <c r="L188" s="178" cm="1">
        <f t="array" aca="1" ref="L188" ca="1">INDEX( 'Eléments de constr. inté. et ex'!I:I, $F187)</f>
        <v>0</v>
      </c>
      <c r="M188" s="178" cm="1">
        <f t="array" aca="1" ref="M188" ca="1">INDEX( 'Eléments de constr. inté. et ex'!G:G, $F187)</f>
        <v>0</v>
      </c>
      <c r="N188" s="999" cm="1">
        <f t="array" aca="1" ref="N188" ca="1">IFERROR(INDEX('Eléments de constr. inté. et ex'!L:L, $F187)*$K188/$M188,0)/$I$1</f>
        <v>0</v>
      </c>
      <c r="O188" s="996">
        <f t="shared" ca="1" si="153"/>
        <v>0</v>
      </c>
      <c r="P188" s="996">
        <f t="shared" ca="1" si="153"/>
        <v>0</v>
      </c>
      <c r="Q188" s="275" cm="1">
        <f t="array" aca="1" ref="Q188" ca="1">_xlfn.SWITCH(L188,Q$3,N188+R188,O$3,O188,0)</f>
        <v>0</v>
      </c>
      <c r="R188" s="999" cm="1">
        <f t="array" aca="1" ref="R188" ca="1">IFERROR(INDEX('Eléments de constr. inté. et ex'!M:M, $F187)*$K188/$M188,0)/$I$1</f>
        <v>0</v>
      </c>
      <c r="S188" s="997">
        <f t="shared" ca="1" si="154"/>
        <v>0</v>
      </c>
      <c r="T188" s="996" cm="1">
        <f t="array" aca="1" ref="T188" ca="1">IFERROR(INDEX('Eléments de constr. inté. et ex'!N:N, $F187)*$K188/$M188,0)/$I$1</f>
        <v>0</v>
      </c>
    </row>
    <row r="189" spans="2:20" ht="15.75" hidden="1" outlineLevel="1">
      <c r="B189" s="1536"/>
      <c r="C189" s="1539"/>
      <c r="D189" s="178"/>
      <c r="E189" s="178"/>
      <c r="F189" s="178">
        <f t="shared" ca="1" si="155"/>
        <v>2</v>
      </c>
      <c r="G189" s="178" cm="1">
        <f t="array" aca="1" ref="G189" ca="1">INDEX( 'Eléments de constr. inté. et ex'!C:C, $F188)</f>
        <v>0</v>
      </c>
      <c r="H189" s="178" cm="1">
        <f t="array" aca="1" ref="H189" ca="1">INDEX( 'Eléments de constr. inté. et ex'!D:D, $F188)</f>
        <v>0</v>
      </c>
      <c r="I189" s="178" cm="1">
        <f t="array" aca="1" ref="I189" ca="1">INDEX( 'Eléments de constr. inté. et ex'!F:F, $F188)</f>
        <v>0</v>
      </c>
      <c r="J189" s="178">
        <f ca="1">_xlfn.XLOOKUP($I189,'Baumaterialien Matériaux'!A:A,'Baumaterialien Matériaux'!G:G,0,0)</f>
        <v>0</v>
      </c>
      <c r="K189" s="286">
        <f t="shared" ca="1" si="156"/>
        <v>0</v>
      </c>
      <c r="L189" s="178" cm="1">
        <f t="array" aca="1" ref="L189" ca="1">INDEX( 'Eléments de constr. inté. et ex'!I:I, $F188)</f>
        <v>0</v>
      </c>
      <c r="M189" s="178" cm="1">
        <f t="array" aca="1" ref="M189" ca="1">INDEX( 'Eléments de constr. inté. et ex'!G:G, $F188)</f>
        <v>0</v>
      </c>
      <c r="N189" s="999" cm="1">
        <f t="array" aca="1" ref="N189" ca="1">IFERROR(INDEX('Eléments de constr. inté. et ex'!L:L, $F188)*$K189/$M189,0)/$I$1</f>
        <v>0</v>
      </c>
      <c r="O189" s="996">
        <f t="shared" ca="1" si="153"/>
        <v>0</v>
      </c>
      <c r="P189" s="996">
        <f t="shared" ca="1" si="153"/>
        <v>0</v>
      </c>
      <c r="Q189" s="275" cm="1">
        <f t="array" aca="1" ref="Q189" ca="1">_xlfn.SWITCH(L189,Q$3,N189+R189,O$3,O189,0)</f>
        <v>0</v>
      </c>
      <c r="R189" s="999" cm="1">
        <f t="array" aca="1" ref="R189" ca="1">IFERROR(INDEX('Eléments de constr. inté. et ex'!M:M, $F188)*$K189/$M189,0)/$I$1</f>
        <v>0</v>
      </c>
      <c r="S189" s="997">
        <f t="shared" ca="1" si="154"/>
        <v>0</v>
      </c>
      <c r="T189" s="996" cm="1">
        <f t="array" aca="1" ref="T189" ca="1">IFERROR(INDEX('Eléments de constr. inté. et ex'!N:N, $F188)*$K189/$M189,0)/$I$1</f>
        <v>0</v>
      </c>
    </row>
    <row r="190" spans="2:20" ht="15.75" hidden="1" outlineLevel="1">
      <c r="B190" s="1536"/>
      <c r="C190" s="1539"/>
      <c r="D190" s="178"/>
      <c r="E190" s="178"/>
      <c r="F190" s="178">
        <f t="shared" ca="1" si="155"/>
        <v>2</v>
      </c>
      <c r="G190" s="178" cm="1">
        <f t="array" aca="1" ref="G190" ca="1">INDEX( 'Eléments de constr. inté. et ex'!C:C, $F189)</f>
        <v>0</v>
      </c>
      <c r="H190" s="178" cm="1">
        <f t="array" aca="1" ref="H190" ca="1">INDEX( 'Eléments de constr. inté. et ex'!D:D, $F189)</f>
        <v>0</v>
      </c>
      <c r="I190" s="178" cm="1">
        <f t="array" aca="1" ref="I190" ca="1">INDEX( 'Eléments de constr. inté. et ex'!F:F, $F189)</f>
        <v>0</v>
      </c>
      <c r="J190" s="178">
        <f ca="1">_xlfn.XLOOKUP($I190,'Baumaterialien Matériaux'!A:A,'Baumaterialien Matériaux'!G:G,0,0)</f>
        <v>0</v>
      </c>
      <c r="K190" s="286">
        <f t="shared" ca="1" si="156"/>
        <v>0</v>
      </c>
      <c r="L190" s="178" cm="1">
        <f t="array" aca="1" ref="L190" ca="1">INDEX( 'Eléments de constr. inté. et ex'!I:I, $F189)</f>
        <v>0</v>
      </c>
      <c r="M190" s="178" cm="1">
        <f t="array" aca="1" ref="M190" ca="1">INDEX( 'Eléments de constr. inté. et ex'!G:G, $F189)</f>
        <v>0</v>
      </c>
      <c r="N190" s="999" cm="1">
        <f t="array" aca="1" ref="N190" ca="1">IFERROR(INDEX('Eléments de constr. inté. et ex'!L:L, $F189)*$K190/$M190,0)/$I$1</f>
        <v>0</v>
      </c>
      <c r="O190" s="996">
        <f t="shared" ca="1" si="153"/>
        <v>0</v>
      </c>
      <c r="P190" s="996">
        <f t="shared" ca="1" si="153"/>
        <v>0</v>
      </c>
      <c r="Q190" s="275" cm="1">
        <f t="array" aca="1" ref="Q190" ca="1">_xlfn.SWITCH(L190,Q$3,N190+R190,O$3,O190,0)</f>
        <v>0</v>
      </c>
      <c r="R190" s="999" cm="1">
        <f t="array" aca="1" ref="R190" ca="1">IFERROR(INDEX('Eléments de constr. inté. et ex'!M:M, $F189)*$K190/$M190,0)/$I$1</f>
        <v>0</v>
      </c>
      <c r="S190" s="997">
        <f t="shared" ca="1" si="154"/>
        <v>0</v>
      </c>
      <c r="T190" s="996" cm="1">
        <f t="array" aca="1" ref="T190" ca="1">IFERROR(INDEX('Eléments de constr. inté. et ex'!N:N, $F189)*$K190/$M190,0)/$I$1</f>
        <v>0</v>
      </c>
    </row>
    <row r="191" spans="2:20" ht="15.75" hidden="1" outlineLevel="1">
      <c r="B191" s="1536"/>
      <c r="C191" s="1539"/>
      <c r="D191" s="178"/>
      <c r="E191" s="178"/>
      <c r="F191" s="178">
        <f t="shared" ref="F191" ca="1" si="157">IF(I191=0,2,F190+1)</f>
        <v>2</v>
      </c>
      <c r="G191" s="178" cm="1">
        <f t="array" aca="1" ref="G191" ca="1">INDEX( 'Eléments de constr. inté. et ex'!C:C, $F190)</f>
        <v>0</v>
      </c>
      <c r="H191" s="178" cm="1">
        <f t="array" aca="1" ref="H191" ca="1">INDEX( 'Eléments de constr. inté. et ex'!D:D, $F190)</f>
        <v>0</v>
      </c>
      <c r="I191" s="178" cm="1">
        <f t="array" aca="1" ref="I191" ca="1">INDEX( 'Eléments de constr. inté. et ex'!F:F, $F190)</f>
        <v>0</v>
      </c>
      <c r="J191" s="178">
        <f ca="1">_xlfn.XLOOKUP($I191,'Baumaterialien Matériaux'!A:A,'Baumaterialien Matériaux'!G:G,0,0)</f>
        <v>0</v>
      </c>
      <c r="K191" s="286">
        <f t="shared" ca="1" si="156"/>
        <v>0</v>
      </c>
      <c r="L191" s="178" cm="1">
        <f t="array" aca="1" ref="L191" ca="1">INDEX( 'Eléments de constr. inté. et ex'!I:I, $F190)</f>
        <v>0</v>
      </c>
      <c r="M191" s="178" cm="1">
        <f t="array" aca="1" ref="M191" ca="1">INDEX( 'Eléments de constr. inté. et ex'!G:G, $F190)</f>
        <v>0</v>
      </c>
      <c r="N191" s="999" cm="1">
        <f t="array" aca="1" ref="N191" ca="1">IFERROR(INDEX('Eléments de constr. inté. et ex'!L:L, $F190)*$K191/$M191,0)/$I$1</f>
        <v>0</v>
      </c>
      <c r="O191" s="996">
        <f t="shared" ca="1" si="153"/>
        <v>0</v>
      </c>
      <c r="P191" s="996">
        <f t="shared" ca="1" si="153"/>
        <v>0</v>
      </c>
      <c r="Q191" s="275" cm="1">
        <f t="array" aca="1" ref="Q191" ca="1">_xlfn.SWITCH(L191,Q$3,N191+R191,O$3,O191,0)</f>
        <v>0</v>
      </c>
      <c r="R191" s="999" cm="1">
        <f t="array" aca="1" ref="R191" ca="1">IFERROR(INDEX('Eléments de constr. inté. et ex'!M:M, $F190)*$K191/$M191,0)/$I$1</f>
        <v>0</v>
      </c>
      <c r="S191" s="997">
        <f t="shared" ca="1" si="154"/>
        <v>0</v>
      </c>
      <c r="T191" s="996" cm="1">
        <f t="array" aca="1" ref="T191" ca="1">IFERROR(INDEX('Eléments de constr. inté. et ex'!N:N, $F190)*$K191/$M191,0)/$I$1</f>
        <v>0</v>
      </c>
    </row>
    <row r="192" spans="2:20" ht="15.75" hidden="1" outlineLevel="1">
      <c r="B192" s="1536"/>
      <c r="C192" s="1539"/>
      <c r="D192" s="178" t="str">
        <f>'Outil détaillé'!D46</f>
        <v>Rez support</v>
      </c>
      <c r="E192" s="179" t="str">
        <f>'Outil détaillé'!E46</f>
        <v>Chape ciment</v>
      </c>
      <c r="F192" s="928">
        <f ca="1">MATCH(E192, INDIRECT("'Eléments de constr. inté. et ex'!A"&amp;F182+1&amp;":A500"),0)+F182</f>
        <v>108</v>
      </c>
      <c r="G192" s="179"/>
      <c r="H192" s="179"/>
      <c r="I192" s="179"/>
      <c r="J192" s="179" t="s">
        <v>97</v>
      </c>
      <c r="K192" s="294">
        <f>'Outil détaillé'!J46</f>
        <v>0</v>
      </c>
      <c r="L192" s="295"/>
      <c r="M192" s="295"/>
      <c r="N192" s="994">
        <f ca="1">SUM(N193:N196)</f>
        <v>0</v>
      </c>
      <c r="O192" s="994">
        <f t="shared" ref="O192:T192" ca="1" si="158">SUM(O193:O196)</f>
        <v>0</v>
      </c>
      <c r="P192" s="994">
        <f t="shared" ca="1" si="158"/>
        <v>0</v>
      </c>
      <c r="Q192" s="994">
        <f t="shared" ca="1" si="158"/>
        <v>0</v>
      </c>
      <c r="R192" s="994">
        <f t="shared" ca="1" si="158"/>
        <v>0</v>
      </c>
      <c r="S192" s="994">
        <f t="shared" ca="1" si="158"/>
        <v>0</v>
      </c>
      <c r="T192" s="994">
        <f t="shared" ca="1" si="158"/>
        <v>0</v>
      </c>
    </row>
    <row r="193" spans="2:20" ht="15.75" hidden="1" outlineLevel="1">
      <c r="B193" s="1536"/>
      <c r="C193" s="1539"/>
      <c r="D193" s="178"/>
      <c r="E193" s="317"/>
      <c r="F193" s="178">
        <f t="shared" ref="F193:F196" ca="1" si="159">IF(I193=0,2,F192+1)</f>
        <v>109</v>
      </c>
      <c r="G193" s="178" t="str" cm="1">
        <f t="array" aca="1" ref="G193" ca="1">INDEX( 'Eléments de constr. inté. et ex'!C:C, $F192)</f>
        <v>Zementunterlagsboden 7cm [kg]</v>
      </c>
      <c r="H193" s="178" t="str" cm="1">
        <f t="array" aca="1" ref="H193" ca="1">INDEX( 'Eléments de constr. inté. et ex'!D:D, $F192)</f>
        <v>Chape de ciment, 85 mm</v>
      </c>
      <c r="I193" s="178" t="str" cm="1">
        <f t="array" aca="1" ref="I193" ca="1">INDEX( 'Eléments de constr. inté. et ex'!F:F, $F192)</f>
        <v>04.006</v>
      </c>
      <c r="J193" s="178" t="str">
        <f ca="1">_xlfn.XLOOKUP($I193,'Baumaterialien Matériaux'!A:A,'Baumaterialien Matériaux'!G:G,0,0)</f>
        <v>kg</v>
      </c>
      <c r="K193" s="286">
        <f ca="1">M193*$K$183</f>
        <v>0</v>
      </c>
      <c r="L193" s="178" cm="1">
        <f t="array" aca="1" ref="L193" ca="1">INDEX( 'Eléments de constr. inté. et ex'!I:I, $F192)</f>
        <v>30</v>
      </c>
      <c r="M193" s="178" cm="1">
        <f t="array" aca="1" ref="M193" ca="1">INDEX( 'Eléments de constr. inté. et ex'!G:G, $F192)</f>
        <v>129.5</v>
      </c>
      <c r="N193" s="999" cm="1">
        <f t="array" aca="1" ref="N193" ca="1">IFERROR(INDEX('Eléments de constr. inté. et ex'!L:L, $F192)*$K193/$M193,0)/$I$1</f>
        <v>0</v>
      </c>
      <c r="O193" s="996">
        <f t="shared" ca="1" si="153"/>
        <v>0</v>
      </c>
      <c r="P193" s="996">
        <f t="shared" ca="1" si="153"/>
        <v>0</v>
      </c>
      <c r="Q193" s="275" cm="1">
        <f t="array" aca="1" ref="Q193" ca="1">_xlfn.SWITCH(L193,Q$3,N193+R193,O$3,O193,0)</f>
        <v>0</v>
      </c>
      <c r="R193" s="999" cm="1">
        <f t="array" aca="1" ref="R193" ca="1">IFERROR(INDEX('Eléments de constr. inté. et ex'!M:M, $F192)*$K193/$M193,0)/$I$1</f>
        <v>0</v>
      </c>
      <c r="S193" s="997">
        <f t="shared" ref="S193:S196" ca="1" si="160">SUM(N193:R193)</f>
        <v>0</v>
      </c>
      <c r="T193" s="996" cm="1">
        <f t="array" aca="1" ref="T193" ca="1">IFERROR(INDEX('Eléments de constr. inté. et ex'!N:N, $F192)*$K193/$M193,0)/$I$1</f>
        <v>0</v>
      </c>
    </row>
    <row r="194" spans="2:20" ht="15.75" hidden="1" outlineLevel="1">
      <c r="B194" s="1536"/>
      <c r="C194" s="1539"/>
      <c r="D194" s="178"/>
      <c r="E194" s="317"/>
      <c r="F194" s="178">
        <f t="shared" ca="1" si="159"/>
        <v>2</v>
      </c>
      <c r="G194" s="178" cm="1">
        <f t="array" aca="1" ref="G194" ca="1">INDEX( 'Eléments de constr. inté. et ex'!C:C, $F193)</f>
        <v>0</v>
      </c>
      <c r="H194" s="178" cm="1">
        <f t="array" aca="1" ref="H194" ca="1">INDEX( 'Eléments de constr. inté. et ex'!D:D, $F193)</f>
        <v>0</v>
      </c>
      <c r="I194" s="178" cm="1">
        <f t="array" aca="1" ref="I194" ca="1">INDEX( 'Eléments de constr. inté. et ex'!F:F, $F193)</f>
        <v>0</v>
      </c>
      <c r="J194" s="178">
        <f ca="1">_xlfn.XLOOKUP($I194,'Baumaterialien Matériaux'!A:A,'Baumaterialien Matériaux'!G:G,0,0)</f>
        <v>0</v>
      </c>
      <c r="K194" s="286">
        <f t="shared" ref="K194:K196" ca="1" si="161">M194*$K$183</f>
        <v>0</v>
      </c>
      <c r="L194" s="178" cm="1">
        <f t="array" aca="1" ref="L194" ca="1">INDEX( 'Eléments de constr. inté. et ex'!I:I, $F193)</f>
        <v>0</v>
      </c>
      <c r="M194" s="178" cm="1">
        <f t="array" aca="1" ref="M194" ca="1">INDEX( 'Eléments de constr. inté. et ex'!G:G, $F193)</f>
        <v>0</v>
      </c>
      <c r="N194" s="999" cm="1">
        <f t="array" aca="1" ref="N194" ca="1">IFERROR(INDEX('Eléments de constr. inté. et ex'!L:L, $F193)*$K194/$M194,0)/$I$1</f>
        <v>0</v>
      </c>
      <c r="O194" s="996">
        <f t="shared" ca="1" si="153"/>
        <v>0</v>
      </c>
      <c r="P194" s="996">
        <f t="shared" ca="1" si="153"/>
        <v>0</v>
      </c>
      <c r="Q194" s="275" cm="1">
        <f t="array" aca="1" ref="Q194" ca="1">_xlfn.SWITCH(L194,Q$3,N194+R194,O$3,O194,0)</f>
        <v>0</v>
      </c>
      <c r="R194" s="999" cm="1">
        <f t="array" aca="1" ref="R194" ca="1">IFERROR(INDEX('Eléments de constr. inté. et ex'!M:M, $F193)*$K194/$M194,0)/$I$1</f>
        <v>0</v>
      </c>
      <c r="S194" s="997">
        <f t="shared" ca="1" si="160"/>
        <v>0</v>
      </c>
      <c r="T194" s="996" cm="1">
        <f t="array" aca="1" ref="T194" ca="1">IFERROR(INDEX('Eléments de constr. inté. et ex'!N:N, $F193)*$K194/$M194,0)/$I$1</f>
        <v>0</v>
      </c>
    </row>
    <row r="195" spans="2:20" ht="15.75" hidden="1" outlineLevel="1">
      <c r="B195" s="1536"/>
      <c r="C195" s="1539"/>
      <c r="D195" s="178"/>
      <c r="E195" s="317"/>
      <c r="F195" s="178">
        <f t="shared" ca="1" si="159"/>
        <v>2</v>
      </c>
      <c r="G195" s="178" cm="1">
        <f t="array" aca="1" ref="G195" ca="1">INDEX( 'Eléments de constr. inté. et ex'!C:C, $F194)</f>
        <v>0</v>
      </c>
      <c r="H195" s="178" cm="1">
        <f t="array" aca="1" ref="H195" ca="1">INDEX( 'Eléments de constr. inté. et ex'!D:D, $F194)</f>
        <v>0</v>
      </c>
      <c r="I195" s="178" cm="1">
        <f t="array" aca="1" ref="I195" ca="1">INDEX( 'Eléments de constr. inté. et ex'!F:F, $F194)</f>
        <v>0</v>
      </c>
      <c r="J195" s="178">
        <f ca="1">_xlfn.XLOOKUP($I195,'Baumaterialien Matériaux'!A:A,'Baumaterialien Matériaux'!G:G,0,0)</f>
        <v>0</v>
      </c>
      <c r="K195" s="286">
        <f t="shared" ca="1" si="161"/>
        <v>0</v>
      </c>
      <c r="L195" s="178" cm="1">
        <f t="array" aca="1" ref="L195" ca="1">INDEX( 'Eléments de constr. inté. et ex'!I:I, $F194)</f>
        <v>0</v>
      </c>
      <c r="M195" s="178" cm="1">
        <f t="array" aca="1" ref="M195" ca="1">INDEX( 'Eléments de constr. inté. et ex'!G:G, $F194)</f>
        <v>0</v>
      </c>
      <c r="N195" s="999" cm="1">
        <f t="array" aca="1" ref="N195" ca="1">IFERROR(INDEX('Eléments de constr. inté. et ex'!L:L, $F194)*$K195/$M195,0)/$I$1</f>
        <v>0</v>
      </c>
      <c r="O195" s="996">
        <f t="shared" ca="1" si="153"/>
        <v>0</v>
      </c>
      <c r="P195" s="996">
        <f t="shared" ca="1" si="153"/>
        <v>0</v>
      </c>
      <c r="Q195" s="275" cm="1">
        <f t="array" aca="1" ref="Q195" ca="1">_xlfn.SWITCH(L195,Q$3,N195+R195,O$3,O195,0)</f>
        <v>0</v>
      </c>
      <c r="R195" s="999" cm="1">
        <f t="array" aca="1" ref="R195" ca="1">IFERROR(INDEX('Eléments de constr. inté. et ex'!M:M, $F194)*$K195/$M195,0)/$I$1</f>
        <v>0</v>
      </c>
      <c r="S195" s="997">
        <f t="shared" ca="1" si="160"/>
        <v>0</v>
      </c>
      <c r="T195" s="996" cm="1">
        <f t="array" aca="1" ref="T195" ca="1">IFERROR(INDEX('Eléments de constr. inté. et ex'!N:N, $F194)*$K195/$M195,0)/$I$1</f>
        <v>0</v>
      </c>
    </row>
    <row r="196" spans="2:20" ht="15.75" hidden="1" outlineLevel="1">
      <c r="B196" s="1536"/>
      <c r="C196" s="1539"/>
      <c r="D196" s="178"/>
      <c r="E196" s="317"/>
      <c r="F196" s="178">
        <f t="shared" ca="1" si="159"/>
        <v>2</v>
      </c>
      <c r="G196" s="178" cm="1">
        <f t="array" aca="1" ref="G196" ca="1">INDEX( 'Eléments de constr. inté. et ex'!C:C, $F195)</f>
        <v>0</v>
      </c>
      <c r="H196" s="178" cm="1">
        <f t="array" aca="1" ref="H196" ca="1">INDEX( 'Eléments de constr. inté. et ex'!D:D, $F195)</f>
        <v>0</v>
      </c>
      <c r="I196" s="178" cm="1">
        <f t="array" aca="1" ref="I196" ca="1">INDEX( 'Eléments de constr. inté. et ex'!F:F, $F195)</f>
        <v>0</v>
      </c>
      <c r="J196" s="178">
        <f ca="1">_xlfn.XLOOKUP($I196,'Baumaterialien Matériaux'!A:A,'Baumaterialien Matériaux'!G:G,0,0)</f>
        <v>0</v>
      </c>
      <c r="K196" s="286">
        <f t="shared" ca="1" si="161"/>
        <v>0</v>
      </c>
      <c r="L196" s="178" cm="1">
        <f t="array" aca="1" ref="L196" ca="1">INDEX( 'Eléments de constr. inté. et ex'!I:I, $F195)</f>
        <v>0</v>
      </c>
      <c r="M196" s="178" cm="1">
        <f t="array" aca="1" ref="M196" ca="1">INDEX( 'Eléments de constr. inté. et ex'!G:G, $F195)</f>
        <v>0</v>
      </c>
      <c r="N196" s="999" cm="1">
        <f t="array" aca="1" ref="N196" ca="1">IFERROR(INDEX('Eléments de constr. inté. et ex'!L:L, $F195)*$K196/$M196,0)/$I$1</f>
        <v>0</v>
      </c>
      <c r="O196" s="996">
        <f t="shared" ca="1" si="153"/>
        <v>0</v>
      </c>
      <c r="P196" s="996">
        <f t="shared" ca="1" si="153"/>
        <v>0</v>
      </c>
      <c r="Q196" s="275" cm="1">
        <f t="array" aca="1" ref="Q196" ca="1">_xlfn.SWITCH(L196,Q$3,N196+R196,O$3,O196,0)</f>
        <v>0</v>
      </c>
      <c r="R196" s="999" cm="1">
        <f t="array" aca="1" ref="R196" ca="1">IFERROR(INDEX('Eléments de constr. inté. et ex'!M:M, $F195)*$K196/$M196,0)/$I$1</f>
        <v>0</v>
      </c>
      <c r="S196" s="997">
        <f t="shared" ca="1" si="160"/>
        <v>0</v>
      </c>
      <c r="T196" s="996" cm="1">
        <f t="array" aca="1" ref="T196" ca="1">IFERROR(INDEX('Eléments de constr. inté. et ex'!N:N, $F195)*$K196/$M196,0)/$I$1</f>
        <v>0</v>
      </c>
    </row>
    <row r="197" spans="2:20" ht="15.75" collapsed="1">
      <c r="B197" s="1536"/>
      <c r="C197" s="1539"/>
      <c r="D197" s="178" t="s">
        <v>122</v>
      </c>
      <c r="E197" s="179" t="str">
        <f>'Outil détaillé'!E47</f>
        <v xml:space="preserve">Revêtement de sol fini mixte </v>
      </c>
      <c r="F197" s="928">
        <f ca="1">MATCH(E197, INDIRECT("'Eléments de constr. inté. et ex'!A"&amp;F182+1&amp;":A500"),0)+F182</f>
        <v>101</v>
      </c>
      <c r="G197" s="179"/>
      <c r="H197" s="179"/>
      <c r="I197" s="179"/>
      <c r="J197" s="179" t="s">
        <v>97</v>
      </c>
      <c r="K197" s="294">
        <f>'Outil détaillé'!J47</f>
        <v>643.33333333333337</v>
      </c>
      <c r="L197" s="295"/>
      <c r="M197" s="295"/>
      <c r="N197" s="994">
        <f t="shared" ref="N197" ca="1" si="162">SUM(N198:N204)</f>
        <v>9.4731333333333332</v>
      </c>
      <c r="O197" s="994">
        <f t="shared" ref="O197:T197" ca="1" si="163">SUM(O198:O204)</f>
        <v>0</v>
      </c>
      <c r="P197" s="994">
        <f t="shared" ca="1" si="163"/>
        <v>10.572686666666666</v>
      </c>
      <c r="Q197" s="994">
        <f t="shared" ca="1" si="163"/>
        <v>0</v>
      </c>
      <c r="R197" s="994">
        <f t="shared" ca="1" si="163"/>
        <v>1.0995533333333336</v>
      </c>
      <c r="S197" s="994">
        <f t="shared" ca="1" si="163"/>
        <v>21.145373333333332</v>
      </c>
      <c r="T197" s="1054">
        <f t="shared" ca="1" si="163"/>
        <v>4.6028888888888888</v>
      </c>
    </row>
    <row r="198" spans="2:20" ht="15.75" hidden="1" outlineLevel="1">
      <c r="B198" s="1536"/>
      <c r="C198" s="1539"/>
      <c r="D198" s="178"/>
      <c r="E198" s="317">
        <v>0.7</v>
      </c>
      <c r="F198" s="178">
        <f t="shared" ref="F198" ca="1" si="164">IF(I198=0,2,F197+1)</f>
        <v>102</v>
      </c>
      <c r="G198" s="178" t="str" cm="1">
        <f t="array" aca="1" ref="G198" ca="1">INDEX( 'Eléments de constr. inté. et ex'!C:C, $F197)</f>
        <v>Parkett 2-Schicht werkversiegelt, 11 mm [m2]</v>
      </c>
      <c r="H198" s="178" t="str" cm="1">
        <f t="array" aca="1" ref="H198" ca="1">INDEX( 'Eléments de constr. inté. et ex'!D:D, $F197)</f>
        <v>Parquet, 2 plis, vitrifié d'usine, 11 mm</v>
      </c>
      <c r="I198" s="178" t="str" cm="1">
        <f t="array" aca="1" ref="I198" ca="1">INDEX( 'Eléments de constr. inté. et ex'!F:F, $F197)</f>
        <v>11.018</v>
      </c>
      <c r="J198" s="178" t="str">
        <f ca="1">_xlfn.XLOOKUP($I198,'Baumaterialien Matériaux'!A:A,'Baumaterialien Matériaux'!G:G,0,0)</f>
        <v>m2</v>
      </c>
      <c r="K198" s="286">
        <f t="shared" ref="K198:K205" ca="1" si="165">M198*$K$197</f>
        <v>450.33333333333331</v>
      </c>
      <c r="L198" s="178" cm="1">
        <f t="array" aca="1" ref="L198" ca="1">INDEX( 'Eléments de constr. inté. et ex'!I:I, $F197)</f>
        <v>30</v>
      </c>
      <c r="M198" s="178" cm="1">
        <f t="array" aca="1" ref="M198" ca="1">INDEX( 'Eléments de constr. inté. et ex'!G:G, $F197)</f>
        <v>0.7</v>
      </c>
      <c r="N198" s="999" cm="1">
        <f t="array" aca="1" ref="N198" ca="1">IFERROR(INDEX('Eléments de constr. inté. et ex'!L:L, $F197)*$K198/$M198,0)/$I$1</f>
        <v>3.4813333333333327</v>
      </c>
      <c r="O198" s="996">
        <f t="shared" ref="O198:P205" ca="1" si="166">IF($L198=O$3,$N198+$R198,0)</f>
        <v>0</v>
      </c>
      <c r="P198" s="996">
        <f t="shared" ca="1" si="166"/>
        <v>3.6385999999999994</v>
      </c>
      <c r="Q198" s="275" cm="1">
        <f t="array" aca="1" ref="Q198" ca="1">_xlfn.SWITCH(L198,Q$3,N198+R198,O$3,O198,0)</f>
        <v>0</v>
      </c>
      <c r="R198" s="999" cm="1">
        <f t="array" aca="1" ref="R198" ca="1">IFERROR(INDEX('Eléments de constr. inté. et ex'!M:M, $F197)*$K198/$M198,0)/$I$1</f>
        <v>0.15726666666666667</v>
      </c>
      <c r="S198" s="997">
        <f t="shared" ref="S198:S205" ca="1" si="167">SUM(N198:R198)</f>
        <v>7.2771999999999988</v>
      </c>
      <c r="T198" s="996" cm="1">
        <f t="array" aca="1" ref="T198" ca="1">IFERROR(INDEX('Eléments de constr. inté. et ex'!N:N, $F197)*$K198/$M198,0)/$I$1</f>
        <v>4.6028888888888888</v>
      </c>
    </row>
    <row r="199" spans="2:20" ht="15.75" hidden="1" outlineLevel="1">
      <c r="B199" s="1536"/>
      <c r="C199" s="1539"/>
      <c r="D199" s="178"/>
      <c r="E199" s="317">
        <v>0.7</v>
      </c>
      <c r="F199" s="178">
        <f t="shared" ref="F199:F204" ca="1" si="168">IF(I199=0,2,F198+1)</f>
        <v>103</v>
      </c>
      <c r="G199" s="178" t="str" cm="1">
        <f t="array" aca="1" ref="G199" ca="1">INDEX( 'Eléments de constr. inté. et ex'!C:C, $F198)</f>
        <v>Klebstoff [kg]</v>
      </c>
      <c r="H199" s="178" t="str" cm="1">
        <f t="array" aca="1" ref="H199" ca="1">INDEX( 'Eléments de constr. inté. et ex'!D:D, $F198)</f>
        <v>Colle bicomposant</v>
      </c>
      <c r="I199" s="178" t="str" cm="1">
        <f t="array" aca="1" ref="I199" ca="1">INDEX( 'Eléments de constr. inté. et ex'!F:F, $F198)</f>
        <v>08.001</v>
      </c>
      <c r="J199" s="178" t="str">
        <f ca="1">_xlfn.XLOOKUP($I199,'Baumaterialien Matériaux'!A:A,'Baumaterialien Matériaux'!G:G,0,0)</f>
        <v>kg</v>
      </c>
      <c r="K199" s="286">
        <f t="shared" ca="1" si="165"/>
        <v>450.33333333333331</v>
      </c>
      <c r="L199" s="178" cm="1">
        <f t="array" aca="1" ref="L199" ca="1">INDEX( 'Eléments de constr. inté. et ex'!I:I, $F198)</f>
        <v>30</v>
      </c>
      <c r="M199" s="178" cm="1">
        <f t="array" aca="1" ref="M199" ca="1">INDEX( 'Eléments de constr. inté. et ex'!G:G, $F198)</f>
        <v>0.7</v>
      </c>
      <c r="N199" s="999" cm="1">
        <f t="array" aca="1" ref="N199" ca="1">IFERROR(INDEX('Eléments de constr. inté. et ex'!L:L, $F198)*$K199/$M199,0)/$I$1</f>
        <v>2.17</v>
      </c>
      <c r="O199" s="996">
        <f t="shared" ca="1" si="166"/>
        <v>0</v>
      </c>
      <c r="P199" s="996">
        <f t="shared" ca="1" si="166"/>
        <v>2.2572666666666668</v>
      </c>
      <c r="Q199" s="275" cm="1">
        <f t="array" aca="1" ref="Q199" ca="1">_xlfn.SWITCH(L199,Q$3,N199+R199,O$3,O199,0)</f>
        <v>0</v>
      </c>
      <c r="R199" s="999" cm="1">
        <f t="array" aca="1" ref="R199" ca="1">IFERROR(INDEX('Eléments de constr. inté. et ex'!M:M, $F198)*$K199/$M199,0)/$I$1</f>
        <v>8.7266666666666673E-2</v>
      </c>
      <c r="S199" s="997">
        <f t="shared" ca="1" si="167"/>
        <v>4.5145333333333326</v>
      </c>
      <c r="T199" s="996" cm="1">
        <f t="array" aca="1" ref="T199" ca="1">IFERROR(INDEX('Eléments de constr. inté. et ex'!N:N, $F198)*$K199/$M199,0)/$I$1</f>
        <v>0</v>
      </c>
    </row>
    <row r="200" spans="2:20" ht="15.75" hidden="1" outlineLevel="1">
      <c r="B200" s="1536"/>
      <c r="C200" s="1539"/>
      <c r="D200" s="178"/>
      <c r="E200" s="317">
        <v>0.3</v>
      </c>
      <c r="F200" s="178">
        <f t="shared" ca="1" si="168"/>
        <v>104</v>
      </c>
      <c r="G200" s="178" t="str" cm="1">
        <f t="array" aca="1" ref="G200" ca="1">INDEX( 'Eléments de constr. inté. et ex'!C:C, $F199)</f>
        <v>Keramikplatten 9mm [m2]</v>
      </c>
      <c r="H200" s="178" t="str" cm="1">
        <f t="array" aca="1" ref="H200" ca="1">INDEX( 'Eléments de constr. inté. et ex'!D:D, $F199)</f>
        <v>Dalle en céramique/grès, 9 mm</v>
      </c>
      <c r="I200" s="178" t="str" cm="1">
        <f t="array" aca="1" ref="I200" ca="1">INDEX( 'Eléments de constr. inté. et ex'!F:F, $F199)</f>
        <v>11.008</v>
      </c>
      <c r="J200" s="178" t="str">
        <f ca="1">_xlfn.XLOOKUP($I200,'Baumaterialien Matériaux'!A:A,'Baumaterialien Matériaux'!G:G,0,0)</f>
        <v>m2</v>
      </c>
      <c r="K200" s="286">
        <f t="shared" ca="1" si="165"/>
        <v>193</v>
      </c>
      <c r="L200" s="178" cm="1">
        <f t="array" aca="1" ref="L200" ca="1">INDEX( 'Eléments de constr. inté. et ex'!I:I, $F199)</f>
        <v>30</v>
      </c>
      <c r="M200" s="178" cm="1">
        <f t="array" aca="1" ref="M200" ca="1">INDEX( 'Eléments de constr. inté. et ex'!G:G, $F199)</f>
        <v>0.3</v>
      </c>
      <c r="N200" s="999" cm="1">
        <f t="array" aca="1" ref="N200" ca="1">IFERROR(INDEX('Eléments de constr. inté. et ex'!L:L, $F199)*$K200/$M200,0)/$I$1</f>
        <v>2.8</v>
      </c>
      <c r="O200" s="996">
        <f t="shared" ca="1" si="166"/>
        <v>0</v>
      </c>
      <c r="P200" s="996">
        <f t="shared" ca="1" si="166"/>
        <v>3.6219999999999999</v>
      </c>
      <c r="Q200" s="275" cm="1">
        <f t="array" aca="1" ref="Q200" ca="1">_xlfn.SWITCH(L200,Q$3,N200+R200,O$3,O200,0)</f>
        <v>0</v>
      </c>
      <c r="R200" s="999" cm="1">
        <f t="array" aca="1" ref="R200" ca="1">IFERROR(INDEX('Eléments de constr. inté. et ex'!M:M, $F199)*$K200/$M200,0)/$I$1</f>
        <v>0.82200000000000017</v>
      </c>
      <c r="S200" s="997">
        <f t="shared" ca="1" si="167"/>
        <v>7.2439999999999998</v>
      </c>
      <c r="T200" s="996" cm="1">
        <f t="array" aca="1" ref="T200" ca="1">IFERROR(INDEX('Eléments de constr. inté. et ex'!N:N, $F199)*$K200/$M200,0)/$I$1</f>
        <v>0</v>
      </c>
    </row>
    <row r="201" spans="2:20" ht="15.75" hidden="1" outlineLevel="1">
      <c r="B201" s="1536"/>
      <c r="C201" s="1539"/>
      <c r="D201" s="178"/>
      <c r="E201" s="317">
        <v>0.3</v>
      </c>
      <c r="F201" s="178">
        <f t="shared" ca="1" si="168"/>
        <v>105</v>
      </c>
      <c r="G201" s="178" t="str" cm="1">
        <f t="array" aca="1" ref="G201" ca="1">INDEX( 'Eléments de constr. inté. et ex'!C:C, $F200)</f>
        <v>Klebemörtel [kg]</v>
      </c>
      <c r="H201" s="178" t="str" cm="1">
        <f t="array" aca="1" ref="H201" ca="1">INDEX( 'Eléments de constr. inté. et ex'!D:D, $F200)</f>
        <v xml:space="preserve">Colle de construction/mortier d'enrobage minéral(e) </v>
      </c>
      <c r="I201" s="178" t="str" cm="1">
        <f t="array" aca="1" ref="I201" ca="1">INDEX( 'Eléments de constr. inté. et ex'!F:F, $F200)</f>
        <v>04.008</v>
      </c>
      <c r="J201" s="178" t="str">
        <f ca="1">_xlfn.XLOOKUP($I201,'Baumaterialien Matériaux'!A:A,'Baumaterialien Matériaux'!G:G,0,0)</f>
        <v>kg</v>
      </c>
      <c r="K201" s="286">
        <f t="shared" ca="1" si="165"/>
        <v>2509</v>
      </c>
      <c r="L201" s="178" cm="1">
        <f t="array" aca="1" ref="L201" ca="1">INDEX( 'Eléments de constr. inté. et ex'!I:I, $F200)</f>
        <v>30</v>
      </c>
      <c r="M201" s="178" cm="1">
        <f t="array" aca="1" ref="M201" ca="1">INDEX( 'Eléments de constr. inté. et ex'!G:G, $F200)</f>
        <v>3.9</v>
      </c>
      <c r="N201" s="999" cm="1">
        <f t="array" aca="1" ref="N201" ca="1">IFERROR(INDEX('Eléments de constr. inté. et ex'!L:L, $F200)*$K201/$M201,0)/$I$1</f>
        <v>1.0218</v>
      </c>
      <c r="O201" s="996">
        <f t="shared" ca="1" si="166"/>
        <v>0</v>
      </c>
      <c r="P201" s="996">
        <f t="shared" ca="1" si="166"/>
        <v>1.0548200000000001</v>
      </c>
      <c r="Q201" s="275" cm="1">
        <f t="array" aca="1" ref="Q201" ca="1">_xlfn.SWITCH(L201,Q$3,N201+R201,O$3,O201,0)</f>
        <v>0</v>
      </c>
      <c r="R201" s="999" cm="1">
        <f t="array" aca="1" ref="R201" ca="1">IFERROR(INDEX('Eléments de constr. inté. et ex'!M:M, $F200)*$K201/$M201,0)/$I$1</f>
        <v>3.3020000000000001E-2</v>
      </c>
      <c r="S201" s="997">
        <f t="shared" ca="1" si="167"/>
        <v>2.1096400000000002</v>
      </c>
      <c r="T201" s="996" cm="1">
        <f t="array" aca="1" ref="T201" ca="1">IFERROR(INDEX('Eléments de constr. inté. et ex'!N:N, $F200)*$K201/$M201,0)/$I$1</f>
        <v>0</v>
      </c>
    </row>
    <row r="202" spans="2:20" ht="15.75" hidden="1" outlineLevel="1">
      <c r="B202" s="1536"/>
      <c r="C202" s="1539"/>
      <c r="D202" s="178"/>
      <c r="E202" s="178"/>
      <c r="F202" s="178">
        <f t="shared" ca="1" si="168"/>
        <v>2</v>
      </c>
      <c r="G202" s="178" cm="1">
        <f t="array" aca="1" ref="G202" ca="1">INDEX( 'Eléments de constr. inté. et ex'!C:C, $F201)</f>
        <v>0</v>
      </c>
      <c r="H202" s="178" cm="1">
        <f t="array" aca="1" ref="H202" ca="1">INDEX( 'Eléments de constr. inté. et ex'!D:D, $F201)</f>
        <v>0</v>
      </c>
      <c r="I202" s="178" cm="1">
        <f t="array" aca="1" ref="I202" ca="1">INDEX( 'Eléments de constr. inté. et ex'!F:F, $F201)</f>
        <v>0</v>
      </c>
      <c r="J202" s="178">
        <f ca="1">_xlfn.XLOOKUP($I202,'Baumaterialien Matériaux'!A:A,'Baumaterialien Matériaux'!G:G,0,0)</f>
        <v>0</v>
      </c>
      <c r="K202" s="286">
        <f t="shared" ca="1" si="165"/>
        <v>0</v>
      </c>
      <c r="L202" s="178" cm="1">
        <f t="array" aca="1" ref="L202" ca="1">INDEX( 'Eléments de constr. inté. et ex'!I:I, $F201)</f>
        <v>0</v>
      </c>
      <c r="M202" s="178" cm="1">
        <f t="array" aca="1" ref="M202" ca="1">INDEX( 'Eléments de constr. inté. et ex'!G:G, $F201)</f>
        <v>0</v>
      </c>
      <c r="N202" s="999" cm="1">
        <f t="array" aca="1" ref="N202" ca="1">IFERROR(INDEX('Eléments de constr. inté. et ex'!L:L, $F201)*$K202/$M202,0)/$I$1</f>
        <v>0</v>
      </c>
      <c r="O202" s="996">
        <f t="shared" ca="1" si="166"/>
        <v>0</v>
      </c>
      <c r="P202" s="996">
        <f t="shared" ca="1" si="166"/>
        <v>0</v>
      </c>
      <c r="Q202" s="275" cm="1">
        <f t="array" aca="1" ref="Q202" ca="1">_xlfn.SWITCH(L202,Q$3,N202+R202,O$3,O202,0)</f>
        <v>0</v>
      </c>
      <c r="R202" s="999" cm="1">
        <f t="array" aca="1" ref="R202" ca="1">IFERROR(INDEX('Eléments de constr. inté. et ex'!M:M, $F201)*$K202/$M202,0)/$I$1</f>
        <v>0</v>
      </c>
      <c r="S202" s="997">
        <f t="shared" ca="1" si="167"/>
        <v>0</v>
      </c>
      <c r="T202" s="996" cm="1">
        <f t="array" aca="1" ref="T202" ca="1">IFERROR(INDEX('Eléments de constr. inté. et ex'!N:N, $F201)*$K202/$M202,0)/$I$1</f>
        <v>0</v>
      </c>
    </row>
    <row r="203" spans="2:20" ht="15.75" hidden="1" outlineLevel="1">
      <c r="B203" s="1536"/>
      <c r="C203" s="1539"/>
      <c r="D203" s="178"/>
      <c r="E203" s="178"/>
      <c r="F203" s="178">
        <f t="shared" ca="1" si="168"/>
        <v>2</v>
      </c>
      <c r="G203" s="178" cm="1">
        <f t="array" aca="1" ref="G203" ca="1">INDEX( 'Eléments de constr. inté. et ex'!C:C, $F202)</f>
        <v>0</v>
      </c>
      <c r="H203" s="178" cm="1">
        <f t="array" aca="1" ref="H203" ca="1">INDEX( 'Eléments de constr. inté. et ex'!D:D, $F202)</f>
        <v>0</v>
      </c>
      <c r="I203" s="178" cm="1">
        <f t="array" aca="1" ref="I203" ca="1">INDEX( 'Eléments de constr. inté. et ex'!F:F, $F202)</f>
        <v>0</v>
      </c>
      <c r="J203" s="178">
        <f ca="1">_xlfn.XLOOKUP($I203,'Baumaterialien Matériaux'!A:A,'Baumaterialien Matériaux'!G:G,0,0)</f>
        <v>0</v>
      </c>
      <c r="K203" s="286">
        <f t="shared" ca="1" si="165"/>
        <v>0</v>
      </c>
      <c r="L203" s="178" cm="1">
        <f t="array" aca="1" ref="L203" ca="1">INDEX( 'Eléments de constr. inté. et ex'!I:I, $F202)</f>
        <v>0</v>
      </c>
      <c r="M203" s="178" cm="1">
        <f t="array" aca="1" ref="M203" ca="1">INDEX( 'Eléments de constr. inté. et ex'!G:G, $F202)</f>
        <v>0</v>
      </c>
      <c r="N203" s="999" cm="1">
        <f t="array" aca="1" ref="N203" ca="1">IFERROR(INDEX('Eléments de constr. inté. et ex'!L:L, $F202)*$K203/$M203,0)/$I$1</f>
        <v>0</v>
      </c>
      <c r="O203" s="996">
        <f t="shared" ca="1" si="166"/>
        <v>0</v>
      </c>
      <c r="P203" s="996">
        <f t="shared" ca="1" si="166"/>
        <v>0</v>
      </c>
      <c r="Q203" s="275" cm="1">
        <f t="array" aca="1" ref="Q203" ca="1">_xlfn.SWITCH(L203,Q$3,N203+R203,O$3,O203,0)</f>
        <v>0</v>
      </c>
      <c r="R203" s="999" cm="1">
        <f t="array" aca="1" ref="R203" ca="1">IFERROR(INDEX('Eléments de constr. inté. et ex'!M:M, $F202)*$K203/$M203,0)/$I$1</f>
        <v>0</v>
      </c>
      <c r="S203" s="997">
        <f t="shared" ca="1" si="167"/>
        <v>0</v>
      </c>
      <c r="T203" s="996" cm="1">
        <f t="array" aca="1" ref="T203" ca="1">IFERROR(INDEX('Eléments de constr. inté. et ex'!N:N, $F202)*$K203/$M203,0)/$I$1</f>
        <v>0</v>
      </c>
    </row>
    <row r="204" spans="2:20" ht="15.75" hidden="1" outlineLevel="1">
      <c r="B204" s="1536"/>
      <c r="C204" s="1539"/>
      <c r="D204" s="178"/>
      <c r="E204" s="178"/>
      <c r="F204" s="178">
        <f t="shared" ca="1" si="168"/>
        <v>2</v>
      </c>
      <c r="G204" s="178" cm="1">
        <f t="array" aca="1" ref="G204" ca="1">INDEX( 'Eléments de constr. inté. et ex'!C:C, $F203)</f>
        <v>0</v>
      </c>
      <c r="H204" s="178" cm="1">
        <f t="array" aca="1" ref="H204" ca="1">INDEX( 'Eléments de constr. inté. et ex'!D:D, $F203)</f>
        <v>0</v>
      </c>
      <c r="I204" s="178" cm="1">
        <f t="array" aca="1" ref="I204" ca="1">INDEX( 'Eléments de constr. inté. et ex'!F:F, $F203)</f>
        <v>0</v>
      </c>
      <c r="J204" s="178">
        <f ca="1">_xlfn.XLOOKUP($I204,'Baumaterialien Matériaux'!A:A,'Baumaterialien Matériaux'!G:G,0,0)</f>
        <v>0</v>
      </c>
      <c r="K204" s="286">
        <f t="shared" ca="1" si="165"/>
        <v>0</v>
      </c>
      <c r="L204" s="178" cm="1">
        <f t="array" aca="1" ref="L204" ca="1">INDEX( 'Eléments de constr. inté. et ex'!I:I, $F203)</f>
        <v>0</v>
      </c>
      <c r="M204" s="178" cm="1">
        <f t="array" aca="1" ref="M204" ca="1">INDEX( 'Eléments de constr. inté. et ex'!G:G, $F203)</f>
        <v>0</v>
      </c>
      <c r="N204" s="999" cm="1">
        <f t="array" aca="1" ref="N204" ca="1">IFERROR(INDEX('Eléments de constr. inté. et ex'!L:L, $F203)*$K204/$M204,0)/$I$1</f>
        <v>0</v>
      </c>
      <c r="O204" s="996">
        <f t="shared" ca="1" si="166"/>
        <v>0</v>
      </c>
      <c r="P204" s="996">
        <f t="shared" ca="1" si="166"/>
        <v>0</v>
      </c>
      <c r="Q204" s="275" cm="1">
        <f t="array" aca="1" ref="Q204" ca="1">_xlfn.SWITCH(L204,Q$3,N204+R204,O$3,O204,0)</f>
        <v>0</v>
      </c>
      <c r="R204" s="999" cm="1">
        <f t="array" aca="1" ref="R204" ca="1">IFERROR(INDEX('Eléments de constr. inté. et ex'!M:M, $F203)*$K204/$M204,0)/$I$1</f>
        <v>0</v>
      </c>
      <c r="S204" s="997">
        <f t="shared" ca="1" si="167"/>
        <v>0</v>
      </c>
      <c r="T204" s="996" cm="1">
        <f t="array" aca="1" ref="T204" ca="1">IFERROR(INDEX('Eléments de constr. inté. et ex'!N:N, $F203)*$K204/$M204,0)/$I$1</f>
        <v>0</v>
      </c>
    </row>
    <row r="205" spans="2:20" ht="15.75" hidden="1" outlineLevel="1">
      <c r="B205" s="1536"/>
      <c r="C205" s="1539"/>
      <c r="D205" s="178"/>
      <c r="E205" s="178"/>
      <c r="F205" s="178">
        <f t="shared" ref="F205" ca="1" si="169">IF(I205=0,2,F204+1)</f>
        <v>2</v>
      </c>
      <c r="G205" s="178" cm="1">
        <f t="array" aca="1" ref="G205" ca="1">INDEX( 'Eléments de constr. inté. et ex'!C:C, $F204)</f>
        <v>0</v>
      </c>
      <c r="H205" s="178" cm="1">
        <f t="array" aca="1" ref="H205" ca="1">INDEX( 'Eléments de constr. inté. et ex'!D:D, $F204)</f>
        <v>0</v>
      </c>
      <c r="I205" s="178" cm="1">
        <f t="array" aca="1" ref="I205" ca="1">INDEX( 'Eléments de constr. inté. et ex'!F:F, $F204)</f>
        <v>0</v>
      </c>
      <c r="J205" s="178">
        <f ca="1">_xlfn.XLOOKUP($I205,'Baumaterialien Matériaux'!A:A,'Baumaterialien Matériaux'!G:G,0,0)</f>
        <v>0</v>
      </c>
      <c r="K205" s="286">
        <f t="shared" ca="1" si="165"/>
        <v>0</v>
      </c>
      <c r="L205" s="178" cm="1">
        <f t="array" aca="1" ref="L205" ca="1">INDEX( 'Eléments de constr. inté. et ex'!I:I, $F204)</f>
        <v>0</v>
      </c>
      <c r="M205" s="178" cm="1">
        <f t="array" aca="1" ref="M205" ca="1">INDEX( 'Eléments de constr. inté. et ex'!G:G, $F204)</f>
        <v>0</v>
      </c>
      <c r="N205" s="999" cm="1">
        <f t="array" aca="1" ref="N205" ca="1">IFERROR(INDEX('Eléments de constr. inté. et ex'!L:L, $F204)*$K205/$M205,0)/$I$1</f>
        <v>0</v>
      </c>
      <c r="O205" s="996">
        <f t="shared" ca="1" si="166"/>
        <v>0</v>
      </c>
      <c r="P205" s="996">
        <f t="shared" ca="1" si="166"/>
        <v>0</v>
      </c>
      <c r="Q205" s="275" cm="1">
        <f t="array" aca="1" ref="Q205" ca="1">_xlfn.SWITCH(L205,Q$3,N205+R205,O$3,O205,0)</f>
        <v>0</v>
      </c>
      <c r="R205" s="999" cm="1">
        <f t="array" aca="1" ref="R205" ca="1">IFERROR(INDEX('Eléments de constr. inté. et ex'!M:M, $F204)*$K205/$M205,0)/$I$1</f>
        <v>0</v>
      </c>
      <c r="S205" s="997">
        <f t="shared" ca="1" si="167"/>
        <v>0</v>
      </c>
      <c r="T205" s="996" cm="1">
        <f t="array" aca="1" ref="T205" ca="1">IFERROR(INDEX('Eléments de constr. inté. et ex'!N:N, $F204)*$K205/$M205,0)/$I$1</f>
        <v>0</v>
      </c>
    </row>
    <row r="206" spans="2:20" ht="15.75" hidden="1" outlineLevel="1">
      <c r="B206" s="1536"/>
      <c r="C206" s="1539"/>
      <c r="D206" s="178" t="str">
        <f>'Outil détaillé'!D48</f>
        <v>Hors-terrain support</v>
      </c>
      <c r="E206" s="179" t="str">
        <f>'Outil détaillé'!E48</f>
        <v>Chape ciment</v>
      </c>
      <c r="F206" s="928">
        <f ca="1">MATCH(E206, INDIRECT("'Eléments de constr. inté. et ex'!A"&amp;F182+1&amp;":A500"),0)+F182</f>
        <v>108</v>
      </c>
      <c r="G206" s="179"/>
      <c r="H206" s="179"/>
      <c r="I206" s="179"/>
      <c r="J206" s="179" t="s">
        <v>97</v>
      </c>
      <c r="K206" s="294">
        <f>'Outil détaillé'!J48</f>
        <v>643.33333333333337</v>
      </c>
      <c r="L206" s="295"/>
      <c r="M206" s="295"/>
      <c r="N206" s="994">
        <f ca="1">SUM(N207:N210)</f>
        <v>0</v>
      </c>
      <c r="O206" s="994">
        <f t="shared" ref="O206" ca="1" si="170">SUM(O207:O210)</f>
        <v>0</v>
      </c>
      <c r="P206" s="994">
        <f t="shared" ref="P206" ca="1" si="171">SUM(P207:P210)</f>
        <v>0</v>
      </c>
      <c r="Q206" s="994">
        <f t="shared" ref="Q206" ca="1" si="172">SUM(Q207:Q210)</f>
        <v>0</v>
      </c>
      <c r="R206" s="994">
        <f t="shared" ref="R206" ca="1" si="173">SUM(R207:R210)</f>
        <v>0</v>
      </c>
      <c r="S206" s="994">
        <f t="shared" ref="S206" ca="1" si="174">SUM(S207:S210)</f>
        <v>0</v>
      </c>
      <c r="T206" s="994">
        <f t="shared" ref="T206" ca="1" si="175">SUM(T207:T210)</f>
        <v>0</v>
      </c>
    </row>
    <row r="207" spans="2:20" ht="15.75" hidden="1" outlineLevel="1">
      <c r="B207" s="1536"/>
      <c r="C207" s="1539"/>
      <c r="D207" s="178"/>
      <c r="E207" s="317"/>
      <c r="F207" s="178">
        <f t="shared" ref="F207:F210" ca="1" si="176">IF(I207=0,2,F206+1)</f>
        <v>109</v>
      </c>
      <c r="G207" s="178" t="str" cm="1">
        <f t="array" aca="1" ref="G207" ca="1">INDEX( 'Eléments de constr. inté. et ex'!C:C, $F206)</f>
        <v>Zementunterlagsboden 7cm [kg]</v>
      </c>
      <c r="H207" s="178" t="str" cm="1">
        <f t="array" aca="1" ref="H207" ca="1">INDEX( 'Eléments de constr. inté. et ex'!D:D, $F206)</f>
        <v>Chape de ciment, 85 mm</v>
      </c>
      <c r="I207" s="178" t="str" cm="1">
        <f t="array" aca="1" ref="I207" ca="1">INDEX( 'Eléments de constr. inté. et ex'!F:F, $F206)</f>
        <v>04.006</v>
      </c>
      <c r="J207" s="178" t="str">
        <f ca="1">_xlfn.XLOOKUP($I207,'Baumaterialien Matériaux'!A:A,'Baumaterialien Matériaux'!G:G,0,0)</f>
        <v>kg</v>
      </c>
      <c r="K207" s="286">
        <f ca="1">M207*$K$183</f>
        <v>0</v>
      </c>
      <c r="L207" s="178" cm="1">
        <f t="array" aca="1" ref="L207" ca="1">INDEX( 'Eléments de constr. inté. et ex'!I:I, $F206)</f>
        <v>30</v>
      </c>
      <c r="M207" s="178" cm="1">
        <f t="array" aca="1" ref="M207" ca="1">INDEX( 'Eléments de constr. inté. et ex'!G:G, $F206)</f>
        <v>129.5</v>
      </c>
      <c r="N207" s="999" cm="1">
        <f t="array" aca="1" ref="N207" ca="1">IFERROR(INDEX('Eléments de constr. inté. et ex'!L:L, $F206)*$K207/$M207,0)/$I$1</f>
        <v>0</v>
      </c>
      <c r="O207" s="996">
        <f t="shared" ref="O207:P210" ca="1" si="177">IF($L207=O$3,$N207+$R207,0)</f>
        <v>0</v>
      </c>
      <c r="P207" s="996">
        <f t="shared" ca="1" si="177"/>
        <v>0</v>
      </c>
      <c r="Q207" s="275" cm="1">
        <f t="array" aca="1" ref="Q207" ca="1">_xlfn.SWITCH(L207,Q$3,N207+R207,O$3,O207,0)</f>
        <v>0</v>
      </c>
      <c r="R207" s="999" cm="1">
        <f t="array" aca="1" ref="R207" ca="1">IFERROR(INDEX('Eléments de constr. inté. et ex'!M:M, $F206)*$K207/$M207,0)/$I$1</f>
        <v>0</v>
      </c>
      <c r="S207" s="997">
        <f t="shared" ref="S207:S210" ca="1" si="178">SUM(N207:R207)</f>
        <v>0</v>
      </c>
      <c r="T207" s="996" cm="1">
        <f t="array" aca="1" ref="T207" ca="1">IFERROR(INDEX('Eléments de constr. inté. et ex'!N:N, $F206)*$K207/$M207,0)/$I$1</f>
        <v>0</v>
      </c>
    </row>
    <row r="208" spans="2:20" ht="15.75" hidden="1" outlineLevel="1">
      <c r="B208" s="1536"/>
      <c r="C208" s="1539"/>
      <c r="D208" s="178"/>
      <c r="E208" s="317"/>
      <c r="F208" s="178">
        <f t="shared" ca="1" si="176"/>
        <v>2</v>
      </c>
      <c r="G208" s="178" cm="1">
        <f t="array" aca="1" ref="G208" ca="1">INDEX( 'Eléments de constr. inté. et ex'!C:C, $F207)</f>
        <v>0</v>
      </c>
      <c r="H208" s="178" cm="1">
        <f t="array" aca="1" ref="H208" ca="1">INDEX( 'Eléments de constr. inté. et ex'!D:D, $F207)</f>
        <v>0</v>
      </c>
      <c r="I208" s="178" cm="1">
        <f t="array" aca="1" ref="I208" ca="1">INDEX( 'Eléments de constr. inté. et ex'!F:F, $F207)</f>
        <v>0</v>
      </c>
      <c r="J208" s="178">
        <f ca="1">_xlfn.XLOOKUP($I208,'Baumaterialien Matériaux'!A:A,'Baumaterialien Matériaux'!G:G,0,0)</f>
        <v>0</v>
      </c>
      <c r="K208" s="286">
        <f t="shared" ref="K208:K210" ca="1" si="179">M208*$K$183</f>
        <v>0</v>
      </c>
      <c r="L208" s="178" cm="1">
        <f t="array" aca="1" ref="L208" ca="1">INDEX( 'Eléments de constr. inté. et ex'!I:I, $F207)</f>
        <v>0</v>
      </c>
      <c r="M208" s="178" cm="1">
        <f t="array" aca="1" ref="M208" ca="1">INDEX( 'Eléments de constr. inté. et ex'!G:G, $F207)</f>
        <v>0</v>
      </c>
      <c r="N208" s="999" cm="1">
        <f t="array" aca="1" ref="N208" ca="1">IFERROR(INDEX('Eléments de constr. inté. et ex'!L:L, $F207)*$K208/$M208,0)/$I$1</f>
        <v>0</v>
      </c>
      <c r="O208" s="996">
        <f t="shared" ca="1" si="177"/>
        <v>0</v>
      </c>
      <c r="P208" s="996">
        <f t="shared" ca="1" si="177"/>
        <v>0</v>
      </c>
      <c r="Q208" s="275" cm="1">
        <f t="array" aca="1" ref="Q208" ca="1">_xlfn.SWITCH(L208,Q$3,N208+R208,O$3,O208,0)</f>
        <v>0</v>
      </c>
      <c r="R208" s="999" cm="1">
        <f t="array" aca="1" ref="R208" ca="1">IFERROR(INDEX('Eléments de constr. inté. et ex'!M:M, $F207)*$K208/$M208,0)/$I$1</f>
        <v>0</v>
      </c>
      <c r="S208" s="997">
        <f t="shared" ca="1" si="178"/>
        <v>0</v>
      </c>
      <c r="T208" s="996" cm="1">
        <f t="array" aca="1" ref="T208" ca="1">IFERROR(INDEX('Eléments de constr. inté. et ex'!N:N, $F207)*$K208/$M208,0)/$I$1</f>
        <v>0</v>
      </c>
    </row>
    <row r="209" spans="2:20" ht="15.75" hidden="1" outlineLevel="1">
      <c r="B209" s="1536"/>
      <c r="C209" s="1539"/>
      <c r="D209" s="178"/>
      <c r="E209" s="317"/>
      <c r="F209" s="178">
        <f t="shared" ca="1" si="176"/>
        <v>2</v>
      </c>
      <c r="G209" s="178" cm="1">
        <f t="array" aca="1" ref="G209" ca="1">INDEX( 'Eléments de constr. inté. et ex'!C:C, $F208)</f>
        <v>0</v>
      </c>
      <c r="H209" s="178" cm="1">
        <f t="array" aca="1" ref="H209" ca="1">INDEX( 'Eléments de constr. inté. et ex'!D:D, $F208)</f>
        <v>0</v>
      </c>
      <c r="I209" s="178" cm="1">
        <f t="array" aca="1" ref="I209" ca="1">INDEX( 'Eléments de constr. inté. et ex'!F:F, $F208)</f>
        <v>0</v>
      </c>
      <c r="J209" s="178">
        <f ca="1">_xlfn.XLOOKUP($I209,'Baumaterialien Matériaux'!A:A,'Baumaterialien Matériaux'!G:G,0,0)</f>
        <v>0</v>
      </c>
      <c r="K209" s="286">
        <f t="shared" ca="1" si="179"/>
        <v>0</v>
      </c>
      <c r="L209" s="178" cm="1">
        <f t="array" aca="1" ref="L209" ca="1">INDEX( 'Eléments de constr. inté. et ex'!I:I, $F208)</f>
        <v>0</v>
      </c>
      <c r="M209" s="178" cm="1">
        <f t="array" aca="1" ref="M209" ca="1">INDEX( 'Eléments de constr. inté. et ex'!G:G, $F208)</f>
        <v>0</v>
      </c>
      <c r="N209" s="999" cm="1">
        <f t="array" aca="1" ref="N209" ca="1">IFERROR(INDEX('Eléments de constr. inté. et ex'!L:L, $F208)*$K209/$M209,0)/$I$1</f>
        <v>0</v>
      </c>
      <c r="O209" s="996">
        <f t="shared" ca="1" si="177"/>
        <v>0</v>
      </c>
      <c r="P209" s="996">
        <f t="shared" ca="1" si="177"/>
        <v>0</v>
      </c>
      <c r="Q209" s="275" cm="1">
        <f t="array" aca="1" ref="Q209" ca="1">_xlfn.SWITCH(L209,Q$3,N209+R209,O$3,O209,0)</f>
        <v>0</v>
      </c>
      <c r="R209" s="999" cm="1">
        <f t="array" aca="1" ref="R209" ca="1">IFERROR(INDEX('Eléments de constr. inté. et ex'!M:M, $F208)*$K209/$M209,0)/$I$1</f>
        <v>0</v>
      </c>
      <c r="S209" s="997">
        <f t="shared" ca="1" si="178"/>
        <v>0</v>
      </c>
      <c r="T209" s="996" cm="1">
        <f t="array" aca="1" ref="T209" ca="1">IFERROR(INDEX('Eléments de constr. inté. et ex'!N:N, $F208)*$K209/$M209,0)/$I$1</f>
        <v>0</v>
      </c>
    </row>
    <row r="210" spans="2:20" ht="15.75" hidden="1" outlineLevel="1">
      <c r="B210" s="1536"/>
      <c r="C210" s="1539"/>
      <c r="D210" s="178"/>
      <c r="E210" s="317"/>
      <c r="F210" s="178">
        <f t="shared" ca="1" si="176"/>
        <v>2</v>
      </c>
      <c r="G210" s="178" cm="1">
        <f t="array" aca="1" ref="G210" ca="1">INDEX( 'Eléments de constr. inté. et ex'!C:C, $F209)</f>
        <v>0</v>
      </c>
      <c r="H210" s="178" cm="1">
        <f t="array" aca="1" ref="H210" ca="1">INDEX( 'Eléments de constr. inté. et ex'!D:D, $F209)</f>
        <v>0</v>
      </c>
      <c r="I210" s="178" cm="1">
        <f t="array" aca="1" ref="I210" ca="1">INDEX( 'Eléments de constr. inté. et ex'!F:F, $F209)</f>
        <v>0</v>
      </c>
      <c r="J210" s="178">
        <f ca="1">_xlfn.XLOOKUP($I210,'Baumaterialien Matériaux'!A:A,'Baumaterialien Matériaux'!G:G,0,0)</f>
        <v>0</v>
      </c>
      <c r="K210" s="286">
        <f t="shared" ca="1" si="179"/>
        <v>0</v>
      </c>
      <c r="L210" s="178" cm="1">
        <f t="array" aca="1" ref="L210" ca="1">INDEX( 'Eléments de constr. inté. et ex'!I:I, $F209)</f>
        <v>0</v>
      </c>
      <c r="M210" s="178" cm="1">
        <f t="array" aca="1" ref="M210" ca="1">INDEX( 'Eléments de constr. inté. et ex'!G:G, $F209)</f>
        <v>0</v>
      </c>
      <c r="N210" s="999" cm="1">
        <f t="array" aca="1" ref="N210" ca="1">IFERROR(INDEX('Eléments de constr. inté. et ex'!L:L, $F209)*$K210/$M210,0)/$I$1</f>
        <v>0</v>
      </c>
      <c r="O210" s="996">
        <f t="shared" ca="1" si="177"/>
        <v>0</v>
      </c>
      <c r="P210" s="996">
        <f t="shared" ca="1" si="177"/>
        <v>0</v>
      </c>
      <c r="Q210" s="275" cm="1">
        <f t="array" aca="1" ref="Q210" ca="1">_xlfn.SWITCH(L210,Q$3,N210+R210,O$3,O210,0)</f>
        <v>0</v>
      </c>
      <c r="R210" s="999" cm="1">
        <f t="array" aca="1" ref="R210" ca="1">IFERROR(INDEX('Eléments de constr. inté. et ex'!M:M, $F209)*$K210/$M210,0)/$I$1</f>
        <v>0</v>
      </c>
      <c r="S210" s="997">
        <f t="shared" ca="1" si="178"/>
        <v>0</v>
      </c>
      <c r="T210" s="996" cm="1">
        <f t="array" aca="1" ref="T210" ca="1">IFERROR(INDEX('Eléments de constr. inté. et ex'!N:N, $F209)*$K210/$M210,0)/$I$1</f>
        <v>0</v>
      </c>
    </row>
    <row r="211" spans="2:20" ht="15.75" collapsed="1">
      <c r="B211" s="1536"/>
      <c r="C211" s="1539"/>
      <c r="D211" s="178" t="s">
        <v>114</v>
      </c>
      <c r="E211" s="179" t="str">
        <f>'Outil détaillé'!E49</f>
        <v xml:space="preserve">Revêtement de sol fini mixte </v>
      </c>
      <c r="F211" s="928">
        <f ca="1">MATCH(E211, INDIRECT("'Eléments de constr. inté. et ex'!A"&amp;F182+1&amp;":A500"),0)+F182</f>
        <v>101</v>
      </c>
      <c r="G211" s="179"/>
      <c r="H211" s="179"/>
      <c r="I211" s="179"/>
      <c r="J211" s="179" t="s">
        <v>97</v>
      </c>
      <c r="K211" s="294">
        <f>'Outil détaillé'!J49</f>
        <v>0</v>
      </c>
      <c r="L211" s="295"/>
      <c r="M211" s="295"/>
      <c r="N211" s="994">
        <f t="shared" ref="N211" ca="1" si="180">SUM(N212:N218)</f>
        <v>0</v>
      </c>
      <c r="O211" s="994">
        <f t="shared" ref="O211:T211" ca="1" si="181">SUM(O212:O218)</f>
        <v>0</v>
      </c>
      <c r="P211" s="994">
        <f t="shared" ca="1" si="181"/>
        <v>0</v>
      </c>
      <c r="Q211" s="994">
        <f t="shared" ca="1" si="181"/>
        <v>0</v>
      </c>
      <c r="R211" s="994">
        <f t="shared" ca="1" si="181"/>
        <v>0</v>
      </c>
      <c r="S211" s="994">
        <f t="shared" ca="1" si="181"/>
        <v>0</v>
      </c>
      <c r="T211" s="1054">
        <f t="shared" ca="1" si="181"/>
        <v>0</v>
      </c>
    </row>
    <row r="212" spans="2:20" ht="15.75" hidden="1" outlineLevel="1">
      <c r="B212" s="1536"/>
      <c r="C212" s="1539"/>
      <c r="D212" s="178"/>
      <c r="E212" s="178"/>
      <c r="F212" s="178">
        <f t="shared" ref="F212:F218" ca="1" si="182">IF(I212=0,2,F211+1)</f>
        <v>102</v>
      </c>
      <c r="G212" s="178" t="str" cm="1">
        <f t="array" aca="1" ref="G212" ca="1">INDEX( 'Eléments de constr. inté. et ex'!C:C, $F211)</f>
        <v>Parkett 2-Schicht werkversiegelt, 11 mm [m2]</v>
      </c>
      <c r="H212" s="178" t="str" cm="1">
        <f t="array" aca="1" ref="H212" ca="1">INDEX( 'Eléments de constr. inté. et ex'!D:D, $F211)</f>
        <v>Parquet, 2 plis, vitrifié d'usine, 11 mm</v>
      </c>
      <c r="I212" s="178" t="str" cm="1">
        <f t="array" aca="1" ref="I212" ca="1">INDEX( 'Eléments de constr. inté. et ex'!F:F, $F211)</f>
        <v>11.018</v>
      </c>
      <c r="J212" s="178" t="str">
        <f ca="1">_xlfn.XLOOKUP($I212,'Baumaterialien Matériaux'!A:A,'Baumaterialien Matériaux'!G:G,0,0)</f>
        <v>m2</v>
      </c>
      <c r="K212" s="286">
        <f t="shared" ref="K212:K219" ca="1" si="183">M212*$K$211</f>
        <v>0</v>
      </c>
      <c r="L212" s="178" cm="1">
        <f t="array" aca="1" ref="L212" ca="1">INDEX( 'Eléments de constr. inté. et ex'!I:I, $F211)</f>
        <v>30</v>
      </c>
      <c r="M212" s="178" cm="1">
        <f t="array" aca="1" ref="M212" ca="1">INDEX( 'Eléments de constr. inté. et ex'!G:G, $F211)</f>
        <v>0.7</v>
      </c>
      <c r="N212" s="999" cm="1">
        <f t="array" aca="1" ref="N212" ca="1">IFERROR(INDEX('Eléments de constr. inté. et ex'!L:L, $F211)*$K212/$M212,0)/$I$1</f>
        <v>0</v>
      </c>
      <c r="O212" s="996">
        <f t="shared" ref="O212:P219" ca="1" si="184">IF($L212=O$3,$N212+$R212,0)</f>
        <v>0</v>
      </c>
      <c r="P212" s="996">
        <f t="shared" ca="1" si="184"/>
        <v>0</v>
      </c>
      <c r="Q212" s="275" cm="1">
        <f t="array" aca="1" ref="Q212" ca="1">_xlfn.SWITCH(L212,Q$3,N212+R212,O$3,O212,0)</f>
        <v>0</v>
      </c>
      <c r="R212" s="999" cm="1">
        <f t="array" aca="1" ref="R212" ca="1">IFERROR(INDEX('Eléments de constr. inté. et ex'!M:M, $F211)*$K212/$M212,0)/$I$1</f>
        <v>0</v>
      </c>
      <c r="S212" s="997">
        <f t="shared" ref="S212:S219" ca="1" si="185">SUM(N212:R212)</f>
        <v>0</v>
      </c>
      <c r="T212" s="996" cm="1">
        <f t="array" aca="1" ref="T212" ca="1">IFERROR(INDEX('Eléments de constr. inté. et ex'!N:N, $F211)*$K212/$M212,0)/$I$1</f>
        <v>0</v>
      </c>
    </row>
    <row r="213" spans="2:20" ht="15.75" hidden="1" outlineLevel="1">
      <c r="B213" s="1536"/>
      <c r="C213" s="1539"/>
      <c r="D213" s="178"/>
      <c r="E213" s="178"/>
      <c r="F213" s="178">
        <f t="shared" ca="1" si="182"/>
        <v>103</v>
      </c>
      <c r="G213" s="178" t="str" cm="1">
        <f t="array" aca="1" ref="G213" ca="1">INDEX( 'Eléments de constr. inté. et ex'!C:C, $F212)</f>
        <v>Klebstoff [kg]</v>
      </c>
      <c r="H213" s="178" t="str" cm="1">
        <f t="array" aca="1" ref="H213" ca="1">INDEX( 'Eléments de constr. inté. et ex'!D:D, $F212)</f>
        <v>Colle bicomposant</v>
      </c>
      <c r="I213" s="178" t="str" cm="1">
        <f t="array" aca="1" ref="I213" ca="1">INDEX( 'Eléments de constr. inté. et ex'!F:F, $F212)</f>
        <v>08.001</v>
      </c>
      <c r="J213" s="178" t="str">
        <f ca="1">_xlfn.XLOOKUP($I213,'Baumaterialien Matériaux'!A:A,'Baumaterialien Matériaux'!G:G,0,0)</f>
        <v>kg</v>
      </c>
      <c r="K213" s="286">
        <f t="shared" ca="1" si="183"/>
        <v>0</v>
      </c>
      <c r="L213" s="178" cm="1">
        <f t="array" aca="1" ref="L213" ca="1">INDEX( 'Eléments de constr. inté. et ex'!I:I, $F212)</f>
        <v>30</v>
      </c>
      <c r="M213" s="178" cm="1">
        <f t="array" aca="1" ref="M213" ca="1">INDEX( 'Eléments de constr. inté. et ex'!G:G, $F212)</f>
        <v>0.7</v>
      </c>
      <c r="N213" s="999" cm="1">
        <f t="array" aca="1" ref="N213" ca="1">IFERROR(INDEX('Eléments de constr. inté. et ex'!L:L, $F212)*$K213/$M213,0)/$I$1</f>
        <v>0</v>
      </c>
      <c r="O213" s="996">
        <f t="shared" ca="1" si="184"/>
        <v>0</v>
      </c>
      <c r="P213" s="996">
        <f t="shared" ca="1" si="184"/>
        <v>0</v>
      </c>
      <c r="Q213" s="275" cm="1">
        <f t="array" aca="1" ref="Q213" ca="1">_xlfn.SWITCH(L213,Q$3,N213+R213,O$3,O213,0)</f>
        <v>0</v>
      </c>
      <c r="R213" s="999" cm="1">
        <f t="array" aca="1" ref="R213" ca="1">IFERROR(INDEX('Eléments de constr. inté. et ex'!M:M, $F212)*$K213/$M213,0)/$I$1</f>
        <v>0</v>
      </c>
      <c r="S213" s="997">
        <f t="shared" ca="1" si="185"/>
        <v>0</v>
      </c>
      <c r="T213" s="996" cm="1">
        <f t="array" aca="1" ref="T213" ca="1">IFERROR(INDEX('Eléments de constr. inté. et ex'!N:N, $F212)*$K213/$M213,0)/$I$1</f>
        <v>0</v>
      </c>
    </row>
    <row r="214" spans="2:20" ht="15.75" hidden="1" outlineLevel="1">
      <c r="B214" s="1536"/>
      <c r="C214" s="1539"/>
      <c r="D214" s="178"/>
      <c r="E214" s="178"/>
      <c r="F214" s="178">
        <f t="shared" ca="1" si="182"/>
        <v>104</v>
      </c>
      <c r="G214" s="178" t="str" cm="1">
        <f t="array" aca="1" ref="G214" ca="1">INDEX( 'Eléments de constr. inté. et ex'!C:C, $F213)</f>
        <v>Keramikplatten 9mm [m2]</v>
      </c>
      <c r="H214" s="178" t="str" cm="1">
        <f t="array" aca="1" ref="H214" ca="1">INDEX( 'Eléments de constr. inté. et ex'!D:D, $F213)</f>
        <v>Dalle en céramique/grès, 9 mm</v>
      </c>
      <c r="I214" s="178" t="str" cm="1">
        <f t="array" aca="1" ref="I214" ca="1">INDEX( 'Eléments de constr. inté. et ex'!F:F, $F213)</f>
        <v>11.008</v>
      </c>
      <c r="J214" s="178" t="str">
        <f ca="1">_xlfn.XLOOKUP($I214,'Baumaterialien Matériaux'!A:A,'Baumaterialien Matériaux'!G:G,0,0)</f>
        <v>m2</v>
      </c>
      <c r="K214" s="286">
        <f t="shared" ca="1" si="183"/>
        <v>0</v>
      </c>
      <c r="L214" s="178" cm="1">
        <f t="array" aca="1" ref="L214" ca="1">INDEX( 'Eléments de constr. inté. et ex'!I:I, $F213)</f>
        <v>30</v>
      </c>
      <c r="M214" s="178" cm="1">
        <f t="array" aca="1" ref="M214" ca="1">INDEX( 'Eléments de constr. inté. et ex'!G:G, $F213)</f>
        <v>0.3</v>
      </c>
      <c r="N214" s="999" cm="1">
        <f t="array" aca="1" ref="N214" ca="1">IFERROR(INDEX('Eléments de constr. inté. et ex'!L:L, $F213)*$K214/$M214,0)/$I$1</f>
        <v>0</v>
      </c>
      <c r="O214" s="996">
        <f t="shared" ca="1" si="184"/>
        <v>0</v>
      </c>
      <c r="P214" s="996">
        <f t="shared" ca="1" si="184"/>
        <v>0</v>
      </c>
      <c r="Q214" s="275" cm="1">
        <f t="array" aca="1" ref="Q214" ca="1">_xlfn.SWITCH(L214,Q$3,N214+R214,O$3,O214,0)</f>
        <v>0</v>
      </c>
      <c r="R214" s="999" cm="1">
        <f t="array" aca="1" ref="R214" ca="1">IFERROR(INDEX('Eléments de constr. inté. et ex'!M:M, $F213)*$K214/$M214,0)/$I$1</f>
        <v>0</v>
      </c>
      <c r="S214" s="997">
        <f t="shared" ca="1" si="185"/>
        <v>0</v>
      </c>
      <c r="T214" s="996" cm="1">
        <f t="array" aca="1" ref="T214" ca="1">IFERROR(INDEX('Eléments de constr. inté. et ex'!N:N, $F213)*$K214/$M214,0)/$I$1</f>
        <v>0</v>
      </c>
    </row>
    <row r="215" spans="2:20" ht="15.75" hidden="1" outlineLevel="1">
      <c r="B215" s="1536"/>
      <c r="C215" s="1539"/>
      <c r="D215" s="178"/>
      <c r="E215" s="178"/>
      <c r="F215" s="178">
        <f t="shared" ca="1" si="182"/>
        <v>105</v>
      </c>
      <c r="G215" s="178" t="str" cm="1">
        <f t="array" aca="1" ref="G215" ca="1">INDEX( 'Eléments de constr. inté. et ex'!C:C, $F214)</f>
        <v>Klebemörtel [kg]</v>
      </c>
      <c r="H215" s="178" t="str" cm="1">
        <f t="array" aca="1" ref="H215" ca="1">INDEX( 'Eléments de constr. inté. et ex'!D:D, $F214)</f>
        <v xml:space="preserve">Colle de construction/mortier d'enrobage minéral(e) </v>
      </c>
      <c r="I215" s="178" t="str" cm="1">
        <f t="array" aca="1" ref="I215" ca="1">INDEX( 'Eléments de constr. inté. et ex'!F:F, $F214)</f>
        <v>04.008</v>
      </c>
      <c r="J215" s="178" t="str">
        <f ca="1">_xlfn.XLOOKUP($I215,'Baumaterialien Matériaux'!A:A,'Baumaterialien Matériaux'!G:G,0,0)</f>
        <v>kg</v>
      </c>
      <c r="K215" s="286">
        <f t="shared" ca="1" si="183"/>
        <v>0</v>
      </c>
      <c r="L215" s="178" cm="1">
        <f t="array" aca="1" ref="L215" ca="1">INDEX( 'Eléments de constr. inté. et ex'!I:I, $F214)</f>
        <v>30</v>
      </c>
      <c r="M215" s="178" cm="1">
        <f t="array" aca="1" ref="M215" ca="1">INDEX( 'Eléments de constr. inté. et ex'!G:G, $F214)</f>
        <v>3.9</v>
      </c>
      <c r="N215" s="999" cm="1">
        <f t="array" aca="1" ref="N215" ca="1">IFERROR(INDEX('Eléments de constr. inté. et ex'!L:L, $F214)*$K215/$M215,0)/$I$1</f>
        <v>0</v>
      </c>
      <c r="O215" s="996">
        <f t="shared" ca="1" si="184"/>
        <v>0</v>
      </c>
      <c r="P215" s="996">
        <f t="shared" ca="1" si="184"/>
        <v>0</v>
      </c>
      <c r="Q215" s="275" cm="1">
        <f t="array" aca="1" ref="Q215" ca="1">_xlfn.SWITCH(L215,Q$3,N215+R215,O$3,O215,0)</f>
        <v>0</v>
      </c>
      <c r="R215" s="999" cm="1">
        <f t="array" aca="1" ref="R215" ca="1">IFERROR(INDEX('Eléments de constr. inté. et ex'!M:M, $F214)*$K215/$M215,0)/$I$1</f>
        <v>0</v>
      </c>
      <c r="S215" s="997">
        <f t="shared" ca="1" si="185"/>
        <v>0</v>
      </c>
      <c r="T215" s="996" cm="1">
        <f t="array" aca="1" ref="T215" ca="1">IFERROR(INDEX('Eléments de constr. inté. et ex'!N:N, $F214)*$K215/$M215,0)/$I$1</f>
        <v>0</v>
      </c>
    </row>
    <row r="216" spans="2:20" ht="15.75" hidden="1" outlineLevel="1">
      <c r="B216" s="1536"/>
      <c r="C216" s="1539"/>
      <c r="D216" s="178"/>
      <c r="E216" s="178"/>
      <c r="F216" s="178">
        <f t="shared" ca="1" si="182"/>
        <v>2</v>
      </c>
      <c r="G216" s="178" cm="1">
        <f t="array" aca="1" ref="G216" ca="1">INDEX( 'Eléments de constr. inté. et ex'!C:C, $F215)</f>
        <v>0</v>
      </c>
      <c r="H216" s="178" cm="1">
        <f t="array" aca="1" ref="H216" ca="1">INDEX( 'Eléments de constr. inté. et ex'!D:D, $F215)</f>
        <v>0</v>
      </c>
      <c r="I216" s="178" cm="1">
        <f t="array" aca="1" ref="I216" ca="1">INDEX( 'Eléments de constr. inté. et ex'!F:F, $F215)</f>
        <v>0</v>
      </c>
      <c r="J216" s="178">
        <f ca="1">_xlfn.XLOOKUP($I216,'Baumaterialien Matériaux'!A:A,'Baumaterialien Matériaux'!G:G,0,0)</f>
        <v>0</v>
      </c>
      <c r="K216" s="286">
        <f t="shared" ca="1" si="183"/>
        <v>0</v>
      </c>
      <c r="L216" s="178" cm="1">
        <f t="array" aca="1" ref="L216" ca="1">INDEX( 'Eléments de constr. inté. et ex'!I:I, $F215)</f>
        <v>0</v>
      </c>
      <c r="M216" s="178" cm="1">
        <f t="array" aca="1" ref="M216" ca="1">INDEX( 'Eléments de constr. inté. et ex'!G:G, $F215)</f>
        <v>0</v>
      </c>
      <c r="N216" s="999" cm="1">
        <f t="array" aca="1" ref="N216" ca="1">IFERROR(INDEX('Eléments de constr. inté. et ex'!L:L, $F215)*$K216/$M216,0)/$I$1</f>
        <v>0</v>
      </c>
      <c r="O216" s="996">
        <f t="shared" ca="1" si="184"/>
        <v>0</v>
      </c>
      <c r="P216" s="996">
        <f t="shared" ca="1" si="184"/>
        <v>0</v>
      </c>
      <c r="Q216" s="275" cm="1">
        <f t="array" aca="1" ref="Q216" ca="1">_xlfn.SWITCH(L216,Q$3,N216+R216,O$3,O216,0)</f>
        <v>0</v>
      </c>
      <c r="R216" s="999" cm="1">
        <f t="array" aca="1" ref="R216" ca="1">IFERROR(INDEX('Eléments de constr. inté. et ex'!M:M, $F215)*$K216/$M216,0)/$I$1</f>
        <v>0</v>
      </c>
      <c r="S216" s="997">
        <f t="shared" ca="1" si="185"/>
        <v>0</v>
      </c>
      <c r="T216" s="996" cm="1">
        <f t="array" aca="1" ref="T216" ca="1">IFERROR(INDEX('Eléments de constr. inté. et ex'!N:N, $F215)*$K216/$M216,0)/$I$1</f>
        <v>0</v>
      </c>
    </row>
    <row r="217" spans="2:20" ht="15.75" hidden="1" customHeight="1" outlineLevel="1">
      <c r="B217" s="1536"/>
      <c r="C217" s="1539"/>
      <c r="D217" s="178"/>
      <c r="E217" s="178"/>
      <c r="F217" s="178">
        <f t="shared" ca="1" si="182"/>
        <v>2</v>
      </c>
      <c r="G217" s="178" cm="1">
        <f t="array" aca="1" ref="G217" ca="1">INDEX( 'Eléments de constr. inté. et ex'!C:C, $F216)</f>
        <v>0</v>
      </c>
      <c r="H217" s="178" cm="1">
        <f t="array" aca="1" ref="H217" ca="1">INDEX( 'Eléments de constr. inté. et ex'!D:D, $F216)</f>
        <v>0</v>
      </c>
      <c r="I217" s="178" cm="1">
        <f t="array" aca="1" ref="I217" ca="1">INDEX( 'Eléments de constr. inté. et ex'!F:F, $F216)</f>
        <v>0</v>
      </c>
      <c r="J217" s="178">
        <f ca="1">_xlfn.XLOOKUP($I217,'Baumaterialien Matériaux'!A:A,'Baumaterialien Matériaux'!G:G,0,0)</f>
        <v>0</v>
      </c>
      <c r="K217" s="286">
        <f t="shared" ca="1" si="183"/>
        <v>0</v>
      </c>
      <c r="L217" s="178" cm="1">
        <f t="array" aca="1" ref="L217" ca="1">INDEX( 'Eléments de constr. inté. et ex'!I:I, $F216)</f>
        <v>0</v>
      </c>
      <c r="M217" s="178" cm="1">
        <f t="array" aca="1" ref="M217" ca="1">INDEX( 'Eléments de constr. inté. et ex'!G:G, $F216)</f>
        <v>0</v>
      </c>
      <c r="N217" s="999" cm="1">
        <f t="array" aca="1" ref="N217" ca="1">IFERROR(INDEX('Eléments de constr. inté. et ex'!L:L, $F216)*$K217/$M217,0)/$I$1</f>
        <v>0</v>
      </c>
      <c r="O217" s="996">
        <f t="shared" ca="1" si="184"/>
        <v>0</v>
      </c>
      <c r="P217" s="996">
        <f t="shared" ca="1" si="184"/>
        <v>0</v>
      </c>
      <c r="Q217" s="275" cm="1">
        <f t="array" aca="1" ref="Q217" ca="1">_xlfn.SWITCH(L217,Q$3,N217+R217,O$3,O217,0)</f>
        <v>0</v>
      </c>
      <c r="R217" s="999" cm="1">
        <f t="array" aca="1" ref="R217" ca="1">IFERROR(INDEX('Eléments de constr. inté. et ex'!M:M, $F216)*$K217/$M217,0)/$I$1</f>
        <v>0</v>
      </c>
      <c r="S217" s="997">
        <f t="shared" ca="1" si="185"/>
        <v>0</v>
      </c>
      <c r="T217" s="996" cm="1">
        <f t="array" aca="1" ref="T217" ca="1">IFERROR(INDEX('Eléments de constr. inté. et ex'!N:N, $F216)*$K217/$M217,0)/$I$1</f>
        <v>0</v>
      </c>
    </row>
    <row r="218" spans="2:20" ht="15.75" hidden="1" outlineLevel="1">
      <c r="B218" s="1536"/>
      <c r="C218" s="1539"/>
      <c r="D218" s="178"/>
      <c r="E218" s="178"/>
      <c r="F218" s="178">
        <f t="shared" ca="1" si="182"/>
        <v>2</v>
      </c>
      <c r="G218" s="178" cm="1">
        <f t="array" aca="1" ref="G218" ca="1">INDEX( 'Eléments de constr. inté. et ex'!C:C, $F217)</f>
        <v>0</v>
      </c>
      <c r="H218" s="178" cm="1">
        <f t="array" aca="1" ref="H218" ca="1">INDEX( 'Eléments de constr. inté. et ex'!D:D, $F217)</f>
        <v>0</v>
      </c>
      <c r="I218" s="178" cm="1">
        <f t="array" aca="1" ref="I218" ca="1">INDEX( 'Eléments de constr. inté. et ex'!F:F, $F217)</f>
        <v>0</v>
      </c>
      <c r="J218" s="178">
        <f ca="1">_xlfn.XLOOKUP($I218,'Baumaterialien Matériaux'!A:A,'Baumaterialien Matériaux'!G:G,0,0)</f>
        <v>0</v>
      </c>
      <c r="K218" s="286">
        <f t="shared" ca="1" si="183"/>
        <v>0</v>
      </c>
      <c r="L218" s="178" cm="1">
        <f t="array" aca="1" ref="L218" ca="1">INDEX( 'Eléments de constr. inté. et ex'!I:I, $F217)</f>
        <v>0</v>
      </c>
      <c r="M218" s="178" cm="1">
        <f t="array" aca="1" ref="M218" ca="1">INDEX( 'Eléments de constr. inté. et ex'!G:G, $F217)</f>
        <v>0</v>
      </c>
      <c r="N218" s="999" cm="1">
        <f t="array" aca="1" ref="N218" ca="1">IFERROR(INDEX('Eléments de constr. inté. et ex'!L:L, $F217)*$K218/$M218,0)/$I$1</f>
        <v>0</v>
      </c>
      <c r="O218" s="996">
        <f t="shared" ca="1" si="184"/>
        <v>0</v>
      </c>
      <c r="P218" s="996">
        <f t="shared" ca="1" si="184"/>
        <v>0</v>
      </c>
      <c r="Q218" s="275" cm="1">
        <f t="array" aca="1" ref="Q218" ca="1">_xlfn.SWITCH(L218,Q$3,N218+R218,O$3,O218,0)</f>
        <v>0</v>
      </c>
      <c r="R218" s="999" cm="1">
        <f t="array" aca="1" ref="R218" ca="1">IFERROR(INDEX('Eléments de constr. inté. et ex'!M:M, $F217)*$K218/$M218,0)/$I$1</f>
        <v>0</v>
      </c>
      <c r="S218" s="997">
        <f t="shared" ca="1" si="185"/>
        <v>0</v>
      </c>
      <c r="T218" s="996" cm="1">
        <f t="array" aca="1" ref="T218" ca="1">IFERROR(INDEX('Eléments de constr. inté. et ex'!N:N, $F217)*$K218/$M218,0)/$I$1</f>
        <v>0</v>
      </c>
    </row>
    <row r="219" spans="2:20" ht="15.75" hidden="1" outlineLevel="1">
      <c r="B219" s="1536"/>
      <c r="C219" s="1539"/>
      <c r="D219" s="178"/>
      <c r="E219" s="178"/>
      <c r="F219" s="178">
        <f t="shared" ref="F219" ca="1" si="186">IF(I219=0,2,F218+1)</f>
        <v>2</v>
      </c>
      <c r="G219" s="178" cm="1">
        <f t="array" aca="1" ref="G219" ca="1">INDEX( 'Eléments de constr. inté. et ex'!C:C, $F218)</f>
        <v>0</v>
      </c>
      <c r="H219" s="178" cm="1">
        <f t="array" aca="1" ref="H219" ca="1">INDEX( 'Eléments de constr. inté. et ex'!D:D, $F218)</f>
        <v>0</v>
      </c>
      <c r="I219" s="178" cm="1">
        <f t="array" aca="1" ref="I219" ca="1">INDEX( 'Eléments de constr. inté. et ex'!F:F, $F218)</f>
        <v>0</v>
      </c>
      <c r="J219" s="178">
        <f ca="1">_xlfn.XLOOKUP($I219,'Baumaterialien Matériaux'!A:A,'Baumaterialien Matériaux'!G:G,0,0)</f>
        <v>0</v>
      </c>
      <c r="K219" s="286">
        <f t="shared" ca="1" si="183"/>
        <v>0</v>
      </c>
      <c r="L219" s="178" cm="1">
        <f t="array" aca="1" ref="L219" ca="1">INDEX( 'Eléments de constr. inté. et ex'!I:I, $F218)</f>
        <v>0</v>
      </c>
      <c r="M219" s="178" cm="1">
        <f t="array" aca="1" ref="M219" ca="1">INDEX( 'Eléments de constr. inté. et ex'!G:G, $F218)</f>
        <v>0</v>
      </c>
      <c r="N219" s="999" cm="1">
        <f t="array" aca="1" ref="N219" ca="1">IFERROR(INDEX('Eléments de constr. inté. et ex'!L:L, $F218)*$K219/$M219,0)/$I$1</f>
        <v>0</v>
      </c>
      <c r="O219" s="996">
        <f t="shared" ca="1" si="184"/>
        <v>0</v>
      </c>
      <c r="P219" s="996">
        <f t="shared" ca="1" si="184"/>
        <v>0</v>
      </c>
      <c r="Q219" s="275" cm="1">
        <f t="array" aca="1" ref="Q219" ca="1">_xlfn.SWITCH(L219,Q$3,N219+R219,O$3,O219,0)</f>
        <v>0</v>
      </c>
      <c r="R219" s="999" cm="1">
        <f t="array" aca="1" ref="R219" ca="1">IFERROR(INDEX('Eléments de constr. inté. et ex'!M:M, $F218)*$K219/$M219,0)/$I$1</f>
        <v>0</v>
      </c>
      <c r="S219" s="997">
        <f t="shared" ca="1" si="185"/>
        <v>0</v>
      </c>
      <c r="T219" s="996" cm="1">
        <f t="array" aca="1" ref="T219" ca="1">IFERROR(INDEX('Eléments de constr. inté. et ex'!N:N, $F218)*$K219/$M219,0)/$I$1</f>
        <v>0</v>
      </c>
    </row>
    <row r="220" spans="2:20" ht="15.75" hidden="1" outlineLevel="1">
      <c r="B220" s="1536"/>
      <c r="C220" s="1539"/>
      <c r="D220" s="178" t="str">
        <f>'Outil détaillé'!D50</f>
        <v>Sous-sol support</v>
      </c>
      <c r="E220" s="179" t="str">
        <f>'Outil détaillé'!E50</f>
        <v>Chape ciment</v>
      </c>
      <c r="F220" s="928">
        <f ca="1">MATCH(E220, INDIRECT("'Eléments de constr. inté. et ex'!A"&amp;F182+1&amp;":A500"),0)+F182</f>
        <v>108</v>
      </c>
      <c r="G220" s="179"/>
      <c r="H220" s="179"/>
      <c r="I220" s="179"/>
      <c r="J220" s="179" t="s">
        <v>97</v>
      </c>
      <c r="K220" s="294">
        <f>'Outil détaillé'!J50</f>
        <v>0</v>
      </c>
      <c r="L220" s="295"/>
      <c r="M220" s="295"/>
      <c r="N220" s="994">
        <f ca="1">SUM(N221:N224)</f>
        <v>0</v>
      </c>
      <c r="O220" s="994">
        <f t="shared" ref="O220" ca="1" si="187">SUM(O221:O224)</f>
        <v>0</v>
      </c>
      <c r="P220" s="994">
        <f t="shared" ref="P220" ca="1" si="188">SUM(P221:P224)</f>
        <v>0</v>
      </c>
      <c r="Q220" s="994">
        <f t="shared" ref="Q220" ca="1" si="189">SUM(Q221:Q224)</f>
        <v>0</v>
      </c>
      <c r="R220" s="994">
        <f t="shared" ref="R220" ca="1" si="190">SUM(R221:R224)</f>
        <v>0</v>
      </c>
      <c r="S220" s="994">
        <f t="shared" ref="S220" ca="1" si="191">SUM(S221:S224)</f>
        <v>0</v>
      </c>
      <c r="T220" s="994">
        <f t="shared" ref="T220" ca="1" si="192">SUM(T221:T224)</f>
        <v>0</v>
      </c>
    </row>
    <row r="221" spans="2:20" ht="15.75" hidden="1" outlineLevel="1">
      <c r="B221" s="1536"/>
      <c r="C221" s="1539"/>
      <c r="D221" s="178"/>
      <c r="E221" s="317"/>
      <c r="F221" s="178">
        <f t="shared" ref="F221:F224" ca="1" si="193">IF(I221=0,2,F220+1)</f>
        <v>109</v>
      </c>
      <c r="G221" s="178" t="str" cm="1">
        <f t="array" aca="1" ref="G221" ca="1">INDEX( 'Eléments de constr. inté. et ex'!C:C, $F220)</f>
        <v>Zementunterlagsboden 7cm [kg]</v>
      </c>
      <c r="H221" s="178" t="str" cm="1">
        <f t="array" aca="1" ref="H221" ca="1">INDEX( 'Eléments de constr. inté. et ex'!D:D, $F220)</f>
        <v>Chape de ciment, 85 mm</v>
      </c>
      <c r="I221" s="178" t="str" cm="1">
        <f t="array" aca="1" ref="I221" ca="1">INDEX( 'Eléments de constr. inté. et ex'!F:F, $F220)</f>
        <v>04.006</v>
      </c>
      <c r="J221" s="178" t="str">
        <f ca="1">_xlfn.XLOOKUP($I221,'Baumaterialien Matériaux'!A:A,'Baumaterialien Matériaux'!G:G,0,0)</f>
        <v>kg</v>
      </c>
      <c r="K221" s="286">
        <f ca="1">M221*$K$183</f>
        <v>0</v>
      </c>
      <c r="L221" s="178" cm="1">
        <f t="array" aca="1" ref="L221" ca="1">INDEX( 'Eléments de constr. inté. et ex'!I:I, $F220)</f>
        <v>30</v>
      </c>
      <c r="M221" s="178" cm="1">
        <f t="array" aca="1" ref="M221" ca="1">INDEX( 'Eléments de constr. inté. et ex'!G:G, $F220)</f>
        <v>129.5</v>
      </c>
      <c r="N221" s="999" cm="1">
        <f t="array" aca="1" ref="N221" ca="1">IFERROR(INDEX('Eléments de constr. inté. et ex'!L:L, $F220)*$K221/$M221,0)/$I$1</f>
        <v>0</v>
      </c>
      <c r="O221" s="996">
        <f t="shared" ref="O221:P224" ca="1" si="194">IF($L221=O$3,$N221+$R221,0)</f>
        <v>0</v>
      </c>
      <c r="P221" s="996">
        <f t="shared" ca="1" si="194"/>
        <v>0</v>
      </c>
      <c r="Q221" s="275" cm="1">
        <f t="array" aca="1" ref="Q221" ca="1">_xlfn.SWITCH(L221,Q$3,N221+R221,O$3,O221,0)</f>
        <v>0</v>
      </c>
      <c r="R221" s="999" cm="1">
        <f t="array" aca="1" ref="R221" ca="1">IFERROR(INDEX('Eléments de constr. inté. et ex'!M:M, $F220)*$K221/$M221,0)/$I$1</f>
        <v>0</v>
      </c>
      <c r="S221" s="997">
        <f t="shared" ref="S221:S224" ca="1" si="195">SUM(N221:R221)</f>
        <v>0</v>
      </c>
      <c r="T221" s="996" cm="1">
        <f t="array" aca="1" ref="T221" ca="1">IFERROR(INDEX('Eléments de constr. inté. et ex'!N:N, $F220)*$K221/$M221,0)/$I$1</f>
        <v>0</v>
      </c>
    </row>
    <row r="222" spans="2:20" ht="15.75" hidden="1" outlineLevel="1">
      <c r="B222" s="1536"/>
      <c r="C222" s="1539"/>
      <c r="D222" s="178"/>
      <c r="E222" s="317"/>
      <c r="F222" s="178">
        <f t="shared" ca="1" si="193"/>
        <v>2</v>
      </c>
      <c r="G222" s="178" cm="1">
        <f t="array" aca="1" ref="G222" ca="1">INDEX( 'Eléments de constr. inté. et ex'!C:C, $F221)</f>
        <v>0</v>
      </c>
      <c r="H222" s="178" cm="1">
        <f t="array" aca="1" ref="H222" ca="1">INDEX( 'Eléments de constr. inté. et ex'!D:D, $F221)</f>
        <v>0</v>
      </c>
      <c r="I222" s="178" cm="1">
        <f t="array" aca="1" ref="I222" ca="1">INDEX( 'Eléments de constr. inté. et ex'!F:F, $F221)</f>
        <v>0</v>
      </c>
      <c r="J222" s="178">
        <f ca="1">_xlfn.XLOOKUP($I222,'Baumaterialien Matériaux'!A:A,'Baumaterialien Matériaux'!G:G,0,0)</f>
        <v>0</v>
      </c>
      <c r="K222" s="286">
        <f t="shared" ref="K222:K224" ca="1" si="196">M222*$K$183</f>
        <v>0</v>
      </c>
      <c r="L222" s="178" cm="1">
        <f t="array" aca="1" ref="L222" ca="1">INDEX( 'Eléments de constr. inté. et ex'!I:I, $F221)</f>
        <v>0</v>
      </c>
      <c r="M222" s="178" cm="1">
        <f t="array" aca="1" ref="M222" ca="1">INDEX( 'Eléments de constr. inté. et ex'!G:G, $F221)</f>
        <v>0</v>
      </c>
      <c r="N222" s="999" cm="1">
        <f t="array" aca="1" ref="N222" ca="1">IFERROR(INDEX('Eléments de constr. inté. et ex'!L:L, $F221)*$K222/$M222,0)/$I$1</f>
        <v>0</v>
      </c>
      <c r="O222" s="996">
        <f t="shared" ca="1" si="194"/>
        <v>0</v>
      </c>
      <c r="P222" s="996">
        <f t="shared" ca="1" si="194"/>
        <v>0</v>
      </c>
      <c r="Q222" s="275" cm="1">
        <f t="array" aca="1" ref="Q222" ca="1">_xlfn.SWITCH(L222,Q$3,N222+R222,O$3,O222,0)</f>
        <v>0</v>
      </c>
      <c r="R222" s="999" cm="1">
        <f t="array" aca="1" ref="R222" ca="1">IFERROR(INDEX('Eléments de constr. inté. et ex'!M:M, $F221)*$K222/$M222,0)/$I$1</f>
        <v>0</v>
      </c>
      <c r="S222" s="997">
        <f t="shared" ca="1" si="195"/>
        <v>0</v>
      </c>
      <c r="T222" s="996" cm="1">
        <f t="array" aca="1" ref="T222" ca="1">IFERROR(INDEX('Eléments de constr. inté. et ex'!N:N, $F221)*$K222/$M222,0)/$I$1</f>
        <v>0</v>
      </c>
    </row>
    <row r="223" spans="2:20" ht="15.75" hidden="1" outlineLevel="1">
      <c r="B223" s="1536"/>
      <c r="C223" s="1539"/>
      <c r="D223" s="178"/>
      <c r="E223" s="317"/>
      <c r="F223" s="178">
        <f t="shared" ca="1" si="193"/>
        <v>2</v>
      </c>
      <c r="G223" s="178" cm="1">
        <f t="array" aca="1" ref="G223" ca="1">INDEX( 'Eléments de constr. inté. et ex'!C:C, $F222)</f>
        <v>0</v>
      </c>
      <c r="H223" s="178" cm="1">
        <f t="array" aca="1" ref="H223" ca="1">INDEX( 'Eléments de constr. inté. et ex'!D:D, $F222)</f>
        <v>0</v>
      </c>
      <c r="I223" s="178" cm="1">
        <f t="array" aca="1" ref="I223" ca="1">INDEX( 'Eléments de constr. inté. et ex'!F:F, $F222)</f>
        <v>0</v>
      </c>
      <c r="J223" s="178">
        <f ca="1">_xlfn.XLOOKUP($I223,'Baumaterialien Matériaux'!A:A,'Baumaterialien Matériaux'!G:G,0,0)</f>
        <v>0</v>
      </c>
      <c r="K223" s="286">
        <f t="shared" ca="1" si="196"/>
        <v>0</v>
      </c>
      <c r="L223" s="178" cm="1">
        <f t="array" aca="1" ref="L223" ca="1">INDEX( 'Eléments de constr. inté. et ex'!I:I, $F222)</f>
        <v>0</v>
      </c>
      <c r="M223" s="178" cm="1">
        <f t="array" aca="1" ref="M223" ca="1">INDEX( 'Eléments de constr. inté. et ex'!G:G, $F222)</f>
        <v>0</v>
      </c>
      <c r="N223" s="999" cm="1">
        <f t="array" aca="1" ref="N223" ca="1">IFERROR(INDEX('Eléments de constr. inté. et ex'!L:L, $F222)*$K223/$M223,0)/$I$1</f>
        <v>0</v>
      </c>
      <c r="O223" s="996">
        <f t="shared" ca="1" si="194"/>
        <v>0</v>
      </c>
      <c r="P223" s="996">
        <f t="shared" ca="1" si="194"/>
        <v>0</v>
      </c>
      <c r="Q223" s="275" cm="1">
        <f t="array" aca="1" ref="Q223" ca="1">_xlfn.SWITCH(L223,Q$3,N223+R223,O$3,O223,0)</f>
        <v>0</v>
      </c>
      <c r="R223" s="999" cm="1">
        <f t="array" aca="1" ref="R223" ca="1">IFERROR(INDEX('Eléments de constr. inté. et ex'!M:M, $F222)*$K223/$M223,0)/$I$1</f>
        <v>0</v>
      </c>
      <c r="S223" s="997">
        <f t="shared" ca="1" si="195"/>
        <v>0</v>
      </c>
      <c r="T223" s="996" cm="1">
        <f t="array" aca="1" ref="T223" ca="1">IFERROR(INDEX('Eléments de constr. inté. et ex'!N:N, $F222)*$K223/$M223,0)/$I$1</f>
        <v>0</v>
      </c>
    </row>
    <row r="224" spans="2:20" ht="15.75" hidden="1" outlineLevel="1">
      <c r="B224" s="1536"/>
      <c r="C224" s="1539"/>
      <c r="D224" s="178"/>
      <c r="E224" s="317"/>
      <c r="F224" s="178">
        <f t="shared" ca="1" si="193"/>
        <v>2</v>
      </c>
      <c r="G224" s="178" cm="1">
        <f t="array" aca="1" ref="G224" ca="1">INDEX( 'Eléments de constr. inté. et ex'!C:C, $F223)</f>
        <v>0</v>
      </c>
      <c r="H224" s="178" cm="1">
        <f t="array" aca="1" ref="H224" ca="1">INDEX( 'Eléments de constr. inté. et ex'!D:D, $F223)</f>
        <v>0</v>
      </c>
      <c r="I224" s="178" cm="1">
        <f t="array" aca="1" ref="I224" ca="1">INDEX( 'Eléments de constr. inté. et ex'!F:F, $F223)</f>
        <v>0</v>
      </c>
      <c r="J224" s="178">
        <f ca="1">_xlfn.XLOOKUP($I224,'Baumaterialien Matériaux'!A:A,'Baumaterialien Matériaux'!G:G,0,0)</f>
        <v>0</v>
      </c>
      <c r="K224" s="286">
        <f t="shared" ca="1" si="196"/>
        <v>0</v>
      </c>
      <c r="L224" s="178" cm="1">
        <f t="array" aca="1" ref="L224" ca="1">INDEX( 'Eléments de constr. inté. et ex'!I:I, $F223)</f>
        <v>0</v>
      </c>
      <c r="M224" s="178" cm="1">
        <f t="array" aca="1" ref="M224" ca="1">INDEX( 'Eléments de constr. inté. et ex'!G:G, $F223)</f>
        <v>0</v>
      </c>
      <c r="N224" s="999" cm="1">
        <f t="array" aca="1" ref="N224" ca="1">IFERROR(INDEX('Eléments de constr. inté. et ex'!L:L, $F223)*$K224/$M224,0)/$I$1</f>
        <v>0</v>
      </c>
      <c r="O224" s="996">
        <f t="shared" ca="1" si="194"/>
        <v>0</v>
      </c>
      <c r="P224" s="996">
        <f t="shared" ca="1" si="194"/>
        <v>0</v>
      </c>
      <c r="Q224" s="275" cm="1">
        <f t="array" aca="1" ref="Q224" ca="1">_xlfn.SWITCH(L224,Q$3,N224+R224,O$3,O224,0)</f>
        <v>0</v>
      </c>
      <c r="R224" s="999" cm="1">
        <f t="array" aca="1" ref="R224" ca="1">IFERROR(INDEX('Eléments de constr. inté. et ex'!M:M, $F223)*$K224/$M224,0)/$I$1</f>
        <v>0</v>
      </c>
      <c r="S224" s="997">
        <f t="shared" ca="1" si="195"/>
        <v>0</v>
      </c>
      <c r="T224" s="996" cm="1">
        <f t="array" aca="1" ref="T224" ca="1">IFERROR(INDEX('Eléments de constr. inté. et ex'!N:N, $F223)*$K224/$M224,0)/$I$1</f>
        <v>0</v>
      </c>
    </row>
    <row r="225" spans="2:20" ht="15.75" collapsed="1">
      <c r="B225" s="1536"/>
      <c r="C225" s="1539"/>
      <c r="D225" s="178" t="str">
        <f>'Outil détaillé'!D51</f>
        <v>Isolation acoustique</v>
      </c>
      <c r="E225" s="179" t="str">
        <f>'Outil détaillé'!E51</f>
        <v>Laine de roche, acoustique</v>
      </c>
      <c r="F225" s="928">
        <f ca="1">MATCH(E225, INDIRECT("'Eléments de constr. inté. et ex'!A"&amp;F182+1&amp;":A500"),0)+F182</f>
        <v>132</v>
      </c>
      <c r="G225" s="179"/>
      <c r="H225" s="179"/>
      <c r="I225" s="179"/>
      <c r="J225" s="179" t="s">
        <v>97</v>
      </c>
      <c r="K225" s="294">
        <f>'Outil détaillé'!J51</f>
        <v>643.33333333333337</v>
      </c>
      <c r="L225" s="295"/>
      <c r="M225" s="295"/>
      <c r="N225" s="994">
        <f ca="1">SUM(N226:N228)</f>
        <v>0</v>
      </c>
      <c r="O225" s="994">
        <f t="shared" ref="O225:T225" ca="1" si="197">SUM(O226:O228)</f>
        <v>0</v>
      </c>
      <c r="P225" s="994">
        <f t="shared" ca="1" si="197"/>
        <v>0</v>
      </c>
      <c r="Q225" s="994">
        <f t="shared" ca="1" si="197"/>
        <v>0</v>
      </c>
      <c r="R225" s="994">
        <f t="shared" ca="1" si="197"/>
        <v>0</v>
      </c>
      <c r="S225" s="994">
        <f t="shared" ca="1" si="197"/>
        <v>0</v>
      </c>
      <c r="T225" s="994">
        <f t="shared" ca="1" si="197"/>
        <v>0</v>
      </c>
    </row>
    <row r="226" spans="2:20" ht="15.75" hidden="1" outlineLevel="1">
      <c r="B226" s="1536"/>
      <c r="C226" s="1539"/>
      <c r="D226" s="178"/>
      <c r="E226" s="178"/>
      <c r="F226" s="178">
        <f t="shared" ref="F226:F228" ca="1" si="198">IF(I226=0,2,F225+1)</f>
        <v>133</v>
      </c>
      <c r="G226" s="178" t="str" cm="1">
        <f t="array" aca="1" ref="G226" ca="1">INDEX( 'Eléments de constr. inté. et ex'!C:C, $F225)</f>
        <v>Laine de roche (80kg/m3)</v>
      </c>
      <c r="H226" s="178" t="str" cm="1">
        <f t="array" aca="1" ref="H226" ca="1">INDEX( 'Eléments de constr. inté. et ex'!D:D, $F225)</f>
        <v>Laine de roche</v>
      </c>
      <c r="I226" s="178" t="str" cm="1">
        <f t="array" aca="1" ref="I226" ca="1">INDEX( 'Eléments de constr. inté. et ex'!F:F, $F225)</f>
        <v>10.008</v>
      </c>
      <c r="J226" s="178" t="str">
        <f ca="1">_xlfn.XLOOKUP($I226,'Baumaterialien Matériaux'!A:A,'Baumaterialien Matériaux'!G:G,0,0)</f>
        <v>kg</v>
      </c>
      <c r="K226" s="286">
        <f ca="1">M226*K$233</f>
        <v>0</v>
      </c>
      <c r="L226" s="178" cm="1">
        <f t="array" aca="1" ref="L226" ca="1">INDEX( 'Eléments de constr. inté. et ex'!I:I, $F225)</f>
        <v>30</v>
      </c>
      <c r="M226" s="178" cm="1">
        <f t="array" aca="1" ref="M226" ca="1">INDEX( 'Eléments de constr. inté. et ex'!G:G, $F225)</f>
        <v>1.6</v>
      </c>
      <c r="N226" s="999" cm="1">
        <f t="array" aca="1" ref="N226" ca="1">IFERROR(INDEX('Eléments de constr. inté. et ex'!L:L, $F225)*$K226/$M226,0)/$I$1</f>
        <v>0</v>
      </c>
      <c r="O226" s="996">
        <f t="shared" ref="O226:P227" ca="1" si="199">IF($L226=O$3,$N226+$R226,0)</f>
        <v>0</v>
      </c>
      <c r="P226" s="996">
        <f t="shared" ca="1" si="199"/>
        <v>0</v>
      </c>
      <c r="Q226" s="275" cm="1">
        <f t="array" aca="1" ref="Q226" ca="1">_xlfn.SWITCH(L226,Q$3,N226+R226,O$3,O226,0)</f>
        <v>0</v>
      </c>
      <c r="R226" s="999" cm="1">
        <f t="array" aca="1" ref="R226" ca="1">IFERROR(INDEX('Eléments de constr. inté. et ex'!M:M, $F225)*$K226/$M226,0)/$I$1</f>
        <v>0</v>
      </c>
      <c r="S226" s="997">
        <f ca="1">SUM(N226:R226)</f>
        <v>0</v>
      </c>
      <c r="T226" s="996" cm="1">
        <f t="array" aca="1" ref="T226" ca="1">IFERROR(INDEX('Eléments de constr. inté. et ex'!N:N, $F225)*$K226/$M226,0)/$I$1</f>
        <v>0</v>
      </c>
    </row>
    <row r="227" spans="2:20" ht="15.75" hidden="1" outlineLevel="1">
      <c r="B227" s="1536"/>
      <c r="C227" s="1539"/>
      <c r="D227" s="178"/>
      <c r="E227" s="178"/>
      <c r="F227" s="178">
        <f t="shared" ca="1" si="198"/>
        <v>134</v>
      </c>
      <c r="G227" s="178" t="str" cm="1">
        <f t="array" aca="1" ref="G227" ca="1">INDEX( 'Eléments de constr. inté. et ex'!C:C, $F226)</f>
        <v>PE-Vlies [kg]</v>
      </c>
      <c r="H227" s="178" t="str" cm="1">
        <f t="array" aca="1" ref="H227" ca="1">INDEX( 'Eléments de constr. inté. et ex'!D:D, $F226)</f>
        <v>Voile de polyéthylène (PE)</v>
      </c>
      <c r="I227" s="178" t="str" cm="1">
        <f t="array" aca="1" ref="I227" ca="1">INDEX( 'Eléments de constr. inté. et ex'!F:F, $F226)</f>
        <v>09.008</v>
      </c>
      <c r="J227" s="178" t="str">
        <f ca="1">_xlfn.XLOOKUP($I227,'Baumaterialien Matériaux'!A:A,'Baumaterialien Matériaux'!G:G,0,0)</f>
        <v>kg</v>
      </c>
      <c r="K227" s="286">
        <f ca="1">M227*K$233</f>
        <v>0</v>
      </c>
      <c r="L227" s="178" cm="1">
        <f t="array" aca="1" ref="L227" ca="1">INDEX( 'Eléments de constr. inté. et ex'!I:I, $F226)</f>
        <v>30</v>
      </c>
      <c r="M227" s="178" cm="1">
        <f t="array" aca="1" ref="M227" ca="1">INDEX( 'Eléments de constr. inté. et ex'!G:G, $F226)</f>
        <v>0.15</v>
      </c>
      <c r="N227" s="999" cm="1">
        <f t="array" aca="1" ref="N227" ca="1">IFERROR(INDEX('Eléments de constr. inté. et ex'!L:L, $F226)*$K227/$M227,0)/$I$1</f>
        <v>0</v>
      </c>
      <c r="O227" s="996">
        <f t="shared" ca="1" si="199"/>
        <v>0</v>
      </c>
      <c r="P227" s="996">
        <f t="shared" ca="1" si="199"/>
        <v>0</v>
      </c>
      <c r="Q227" s="275" cm="1">
        <f t="array" aca="1" ref="Q227" ca="1">_xlfn.SWITCH(L227,Q$3,N227+R227,O$3,O227,0)</f>
        <v>0</v>
      </c>
      <c r="R227" s="999" cm="1">
        <f t="array" aca="1" ref="R227" ca="1">IFERROR(INDEX('Eléments de constr. inté. et ex'!M:M, $F226)*$K227/$M227,0)/$I$1</f>
        <v>0</v>
      </c>
      <c r="S227" s="997">
        <f ca="1">SUM(N227:R227)</f>
        <v>0</v>
      </c>
      <c r="T227" s="996" cm="1">
        <f t="array" aca="1" ref="T227" ca="1">IFERROR(INDEX('Eléments de constr. inté. et ex'!N:N, $F226)*$K227/$M227,0)/$I$1</f>
        <v>0</v>
      </c>
    </row>
    <row r="228" spans="2:20" ht="15.75" hidden="1" outlineLevel="1">
      <c r="B228" s="1536"/>
      <c r="C228" s="1539"/>
      <c r="D228" s="178"/>
      <c r="E228" s="178"/>
      <c r="F228" s="178">
        <f t="shared" ca="1" si="198"/>
        <v>2</v>
      </c>
      <c r="G228" s="178" cm="1">
        <f t="array" aca="1" ref="G228" ca="1">INDEX( 'Eléments de constr. inté. et ex'!C:C, $F227)</f>
        <v>0</v>
      </c>
      <c r="H228" s="178" cm="1">
        <f t="array" aca="1" ref="H228" ca="1">INDEX( 'Eléments de constr. inté. et ex'!D:D, $F227)</f>
        <v>0</v>
      </c>
      <c r="I228" s="178" cm="1">
        <f t="array" aca="1" ref="I228" ca="1">INDEX( 'Eléments de constr. inté. et ex'!F:F, $F227)</f>
        <v>0</v>
      </c>
      <c r="J228" s="178">
        <f ca="1">_xlfn.XLOOKUP($I228,'Baumaterialien Matériaux'!A:A,'Baumaterialien Matériaux'!G:G,0,0)</f>
        <v>0</v>
      </c>
      <c r="K228" s="286">
        <f ca="1">M228*K$233</f>
        <v>0</v>
      </c>
      <c r="L228" s="178" cm="1">
        <f t="array" aca="1" ref="L228" ca="1">INDEX( 'Eléments de constr. inté. et ex'!I:I, $F227)</f>
        <v>30</v>
      </c>
      <c r="M228" s="178" cm="1">
        <f t="array" aca="1" ref="M228" ca="1">INDEX( 'Eléments de constr. inté. et ex'!G:G, $F227)</f>
        <v>0</v>
      </c>
      <c r="N228" s="999" cm="1">
        <f t="array" aca="1" ref="N228" ca="1">IFERROR(INDEX('Eléments de constr. inté. et ex'!L:L, $F227)*$K228/$M228,0)/$I$1</f>
        <v>0</v>
      </c>
      <c r="O228" s="996">
        <f t="shared" ref="O228:P232" ca="1" si="200">IF($L228=O$3,$N228+$R228,0)</f>
        <v>0</v>
      </c>
      <c r="P228" s="996">
        <f t="shared" ca="1" si="200"/>
        <v>0</v>
      </c>
      <c r="Q228" s="275" cm="1">
        <f t="array" aca="1" ref="Q228" ca="1">_xlfn.SWITCH(L228,Q$3,N228+R228,O$3,O228,0)</f>
        <v>0</v>
      </c>
      <c r="R228" s="999" cm="1">
        <f t="array" aca="1" ref="R228" ca="1">IFERROR(INDEX('Eléments de constr. inté. et ex'!M:M, $F227)*$K228/$M228,0)/$I$1</f>
        <v>0</v>
      </c>
      <c r="S228" s="997">
        <f ca="1">SUM(N228:R228)</f>
        <v>0</v>
      </c>
      <c r="T228" s="996" cm="1">
        <f t="array" aca="1" ref="T228" ca="1">IFERROR(INDEX('Eléments de constr. inté. et ex'!N:N, $F227)*$K228/$M228,0)/$I$1</f>
        <v>0</v>
      </c>
    </row>
    <row r="229" spans="2:20" ht="15.75" collapsed="1">
      <c r="B229" s="1536"/>
      <c r="C229" s="1539"/>
      <c r="D229" s="178" t="str">
        <f>'Outil détaillé'!D52</f>
        <v>Isolant contre non-chauffé</v>
      </c>
      <c r="E229" s="595" t="str">
        <f>'Outil détaillé'!E52</f>
        <v>Laine de roche</v>
      </c>
      <c r="F229" s="928">
        <f ca="1">MATCH(E229, INDIRECT("'Eléments de constr. inté. et ex'!A"&amp;F182+1&amp;":A500"),0)+F182</f>
        <v>145</v>
      </c>
      <c r="G229" s="179"/>
      <c r="H229" s="179"/>
      <c r="I229" s="179"/>
      <c r="J229" s="179" t="s">
        <v>97</v>
      </c>
      <c r="K229" s="294">
        <f>'Outil détaillé'!J52</f>
        <v>321.66666666666669</v>
      </c>
      <c r="L229" s="295"/>
      <c r="M229" s="295"/>
      <c r="N229" s="994">
        <f ca="1">SUM(N230:N232)</f>
        <v>6.777333333333333</v>
      </c>
      <c r="O229" s="994">
        <f t="shared" ref="O229" ca="1" si="201">SUM(O230:O232)</f>
        <v>0</v>
      </c>
      <c r="P229" s="994">
        <f t="shared" ref="P229" ca="1" si="202">SUM(P230:P232)</f>
        <v>7.25814</v>
      </c>
      <c r="Q229" s="994">
        <f t="shared" ref="Q229" ca="1" si="203">SUM(Q230:Q232)</f>
        <v>0</v>
      </c>
      <c r="R229" s="994">
        <f t="shared" ref="R229" ca="1" si="204">SUM(R230:R232)</f>
        <v>0.48080666666666672</v>
      </c>
      <c r="S229" s="994">
        <f t="shared" ref="S229" ca="1" si="205">SUM(S230:S232)</f>
        <v>14.51628</v>
      </c>
      <c r="T229" s="994">
        <f t="shared" ref="T229" ca="1" si="206">SUM(T230:T232)</f>
        <v>0</v>
      </c>
    </row>
    <row r="230" spans="2:20" ht="15.75" hidden="1" outlineLevel="1">
      <c r="B230" s="1536"/>
      <c r="C230" s="1539"/>
      <c r="D230" s="178"/>
      <c r="E230" s="178"/>
      <c r="F230" s="178">
        <f t="shared" ref="F230:F231" ca="1" si="207">IF(I230=0,2,F229+1)</f>
        <v>146</v>
      </c>
      <c r="G230" s="178" t="str" cm="1">
        <f t="array" aca="1" ref="G230" ca="1">INDEX( 'Eléments de constr. inté. et ex'!C:C, $F229)</f>
        <v>Laine de roche (80kg/m3)</v>
      </c>
      <c r="H230" s="178" t="str" cm="1">
        <f t="array" aca="1" ref="H230" ca="1">INDEX( 'Eléments de constr. inté. et ex'!D:D, $F229)</f>
        <v>Laine de roche</v>
      </c>
      <c r="I230" s="178" t="str" cm="1">
        <f t="array" aca="1" ref="I230" ca="1">INDEX( 'Eléments de constr. inté. et ex'!F:F, $F229)</f>
        <v>10.008</v>
      </c>
      <c r="J230" s="178" t="str">
        <f ca="1">_xlfn.XLOOKUP($I230,'Baumaterialien Matériaux'!A:A,'Baumaterialien Matériaux'!G:G,0,0)</f>
        <v>kg</v>
      </c>
      <c r="K230" s="286">
        <f ca="1">M230*K$229</f>
        <v>5661.3333333333339</v>
      </c>
      <c r="L230" s="178" cm="1">
        <f t="array" aca="1" ref="L230" ca="1">INDEX( 'Eléments de constr. inté. et ex'!I:I, $F229)</f>
        <v>30</v>
      </c>
      <c r="M230" s="178" cm="1">
        <f t="array" aca="1" ref="M230" ca="1">INDEX( 'Eléments de constr. inté. et ex'!G:G, $F229)</f>
        <v>17.600000000000001</v>
      </c>
      <c r="N230" s="999" cm="1">
        <f t="array" aca="1" ref="N230" ca="1">IFERROR(INDEX('Eléments de constr. inté. et ex'!L:L, $F229)*$K230/$M230,0)/$I$1</f>
        <v>6.6293333333333333</v>
      </c>
      <c r="O230" s="996">
        <f t="shared" ca="1" si="200"/>
        <v>0</v>
      </c>
      <c r="P230" s="996">
        <f t="shared" ca="1" si="200"/>
        <v>6.9766399999999997</v>
      </c>
      <c r="Q230" s="275" cm="1">
        <f t="array" aca="1" ref="Q230" ca="1">_xlfn.SWITCH(L230,Q$3,N230+R230,O$3,O230,0)</f>
        <v>0</v>
      </c>
      <c r="R230" s="999" cm="1">
        <f t="array" aca="1" ref="R230" ca="1">IFERROR(INDEX('Eléments de constr. inté. et ex'!M:M, $F229)*$K230/$M230,0)/$I$1</f>
        <v>0.34730666666666671</v>
      </c>
      <c r="S230" s="997">
        <f ca="1">SUM(N230:R230)</f>
        <v>13.953279999999999</v>
      </c>
      <c r="T230" s="996" cm="1">
        <f t="array" aca="1" ref="T230" ca="1">IFERROR(INDEX('Eléments de constr. inté. et ex'!N:N, $F229)*$K230/$M230,0)/$I$1</f>
        <v>0</v>
      </c>
    </row>
    <row r="231" spans="2:20" ht="15.75" hidden="1" outlineLevel="1">
      <c r="B231" s="1536"/>
      <c r="C231" s="1539"/>
      <c r="D231" s="178"/>
      <c r="E231" s="178"/>
      <c r="F231" s="178">
        <f t="shared" ca="1" si="207"/>
        <v>147</v>
      </c>
      <c r="G231" s="178" t="str" cm="1">
        <f t="array" aca="1" ref="G231" ca="1">INDEX( 'Eléments de constr. inté. et ex'!C:C, $F230)</f>
        <v>PE-Vlies [kg]</v>
      </c>
      <c r="H231" s="178" t="str" cm="1">
        <f t="array" aca="1" ref="H231" ca="1">INDEX( 'Eléments de constr. inté. et ex'!D:D, $F230)</f>
        <v>Voile de polyéthylène (PE)</v>
      </c>
      <c r="I231" s="178" t="str" cm="1">
        <f t="array" aca="1" ref="I231" ca="1">INDEX( 'Eléments de constr. inté. et ex'!F:F, $F230)</f>
        <v>09.008</v>
      </c>
      <c r="J231" s="178" t="str">
        <f ca="1">_xlfn.XLOOKUP($I231,'Baumaterialien Matériaux'!A:A,'Baumaterialien Matériaux'!G:G,0,0)</f>
        <v>kg</v>
      </c>
      <c r="K231" s="286">
        <f ca="1">M231*K$229</f>
        <v>48.25</v>
      </c>
      <c r="L231" s="178" cm="1">
        <f t="array" aca="1" ref="L231" ca="1">INDEX( 'Eléments de constr. inté. et ex'!I:I, $F230)</f>
        <v>30</v>
      </c>
      <c r="M231" s="178" cm="1">
        <f t="array" aca="1" ref="M231" ca="1">INDEX( 'Eléments de constr. inté. et ex'!G:G, $F230)</f>
        <v>0.15</v>
      </c>
      <c r="N231" s="999" cm="1">
        <f t="array" aca="1" ref="N231" ca="1">IFERROR(INDEX('Eléments de constr. inté. et ex'!L:L, $F230)*$K231/$M231,0)/$I$1</f>
        <v>0.14800000000000002</v>
      </c>
      <c r="O231" s="996">
        <f t="shared" ca="1" si="200"/>
        <v>0</v>
      </c>
      <c r="P231" s="996">
        <f t="shared" ca="1" si="200"/>
        <v>0.28149999999999997</v>
      </c>
      <c r="Q231" s="275" cm="1">
        <f t="array" aca="1" ref="Q231" ca="1">_xlfn.SWITCH(L231,Q$3,N231+R231,O$3,O231,0)</f>
        <v>0</v>
      </c>
      <c r="R231" s="999" cm="1">
        <f t="array" aca="1" ref="R231" ca="1">IFERROR(INDEX('Eléments de constr. inté. et ex'!M:M, $F230)*$K231/$M231,0)/$I$1</f>
        <v>0.13349999999999998</v>
      </c>
      <c r="S231" s="997">
        <f ca="1">SUM(N231:R231)</f>
        <v>0.56299999999999994</v>
      </c>
      <c r="T231" s="996" cm="1">
        <f t="array" aca="1" ref="T231" ca="1">IFERROR(INDEX('Eléments de constr. inté. et ex'!N:N, $F230)*$K231/$M231,0)/$I$1</f>
        <v>0</v>
      </c>
    </row>
    <row r="232" spans="2:20" ht="15.75" hidden="1" outlineLevel="1">
      <c r="B232" s="1536"/>
      <c r="C232" s="1539"/>
      <c r="D232" s="178"/>
      <c r="E232" s="178"/>
      <c r="F232" s="178">
        <f t="shared" ref="F232" ca="1" si="208">IF(I232=0,2,F231+1)</f>
        <v>2</v>
      </c>
      <c r="G232" s="178" cm="1">
        <f t="array" aca="1" ref="G232" ca="1">INDEX( 'Eléments de constr. inté. et ex'!C:C, $F231)</f>
        <v>0</v>
      </c>
      <c r="H232" s="178" cm="1">
        <f t="array" aca="1" ref="H232" ca="1">INDEX( 'Eléments de constr. inté. et ex'!D:D, $F231)</f>
        <v>0</v>
      </c>
      <c r="I232" s="178" cm="1">
        <f t="array" aca="1" ref="I232" ca="1">INDEX( 'Eléments de constr. inté. et ex'!F:F, $F231)</f>
        <v>0</v>
      </c>
      <c r="J232" s="178">
        <f ca="1">_xlfn.XLOOKUP($I232,'Baumaterialien Matériaux'!A:A,'Baumaterialien Matériaux'!G:G,0,0)</f>
        <v>0</v>
      </c>
      <c r="K232" s="286">
        <f ca="1">M232*K$233</f>
        <v>0</v>
      </c>
      <c r="L232" s="178" cm="1">
        <f t="array" aca="1" ref="L232" ca="1">INDEX( 'Eléments de constr. inté. et ex'!I:I, $F231)</f>
        <v>30</v>
      </c>
      <c r="M232" s="178" cm="1">
        <f t="array" aca="1" ref="M232" ca="1">INDEX( 'Eléments de constr. inté. et ex'!G:G, $F231)</f>
        <v>0</v>
      </c>
      <c r="N232" s="999" cm="1">
        <f t="array" aca="1" ref="N232" ca="1">IFERROR(INDEX('Eléments de constr. inté. et ex'!L:L, $F231)*$K232/$M232,0)/$I$1</f>
        <v>0</v>
      </c>
      <c r="O232" s="996">
        <f t="shared" ca="1" si="200"/>
        <v>0</v>
      </c>
      <c r="P232" s="996">
        <f t="shared" ca="1" si="200"/>
        <v>0</v>
      </c>
      <c r="Q232" s="275" cm="1">
        <f t="array" aca="1" ref="Q232" ca="1">_xlfn.SWITCH(L232,Q$3,N232+R232,O$3,O232,0)</f>
        <v>0</v>
      </c>
      <c r="R232" s="999" cm="1">
        <f t="array" aca="1" ref="R232" ca="1">IFERROR(INDEX('Eléments de constr. inté. et ex'!M:M, $F231)*$K232/$M232,0)/$I$1</f>
        <v>0</v>
      </c>
      <c r="S232" s="997">
        <f ca="1">SUM(N232:R232)</f>
        <v>0</v>
      </c>
      <c r="T232" s="996" cm="1">
        <f t="array" aca="1" ref="T232" ca="1">IFERROR(INDEX('Eléments de constr. inté. et ex'!N:N, $F231)*$K232/$M232,0)/$I$1</f>
        <v>0</v>
      </c>
    </row>
    <row r="233" spans="2:20" ht="15.75" collapsed="1">
      <c r="B233" s="1536"/>
      <c r="C233" s="1539"/>
      <c r="D233" s="178" t="str">
        <f>'Outil détaillé'!D53</f>
        <v>Isolant contre terre</v>
      </c>
      <c r="E233" s="595" t="str">
        <f>'Outil détaillé'!E53</f>
        <v>Isolant contre terre, XPS</v>
      </c>
      <c r="F233" s="928">
        <f ca="1">MATCH(E233, INDIRECT("'Eléments de constr. inté. et ex'!A"&amp;F182+1&amp;":A500"),0)+F182</f>
        <v>150</v>
      </c>
      <c r="G233" s="179"/>
      <c r="H233" s="179"/>
      <c r="I233" s="179"/>
      <c r="J233" s="179" t="s">
        <v>97</v>
      </c>
      <c r="K233" s="294">
        <f>'Outil détaillé'!J53</f>
        <v>0</v>
      </c>
      <c r="L233" s="295"/>
      <c r="M233" s="295"/>
      <c r="N233" s="994">
        <f ca="1">SUM(N234:N236)</f>
        <v>0</v>
      </c>
      <c r="O233" s="994">
        <f t="shared" ref="O233" ca="1" si="209">SUM(O234:O236)</f>
        <v>0</v>
      </c>
      <c r="P233" s="994">
        <f t="shared" ref="P233" ca="1" si="210">SUM(P234:P236)</f>
        <v>0</v>
      </c>
      <c r="Q233" s="994">
        <f t="shared" ref="Q233" ca="1" si="211">SUM(Q234:Q236)</f>
        <v>0</v>
      </c>
      <c r="R233" s="994">
        <f t="shared" ref="R233" ca="1" si="212">SUM(R234:R236)</f>
        <v>0</v>
      </c>
      <c r="S233" s="994">
        <f t="shared" ref="S233" ca="1" si="213">SUM(S234:S236)</f>
        <v>0</v>
      </c>
      <c r="T233" s="994">
        <f t="shared" ref="T233" ca="1" si="214">SUM(T234:T236)</f>
        <v>0</v>
      </c>
    </row>
    <row r="234" spans="2:20" ht="15.75" hidden="1" outlineLevel="1">
      <c r="B234" s="1536"/>
      <c r="C234" s="1539"/>
      <c r="D234" s="178"/>
      <c r="E234" s="178"/>
      <c r="F234" s="178">
        <f t="shared" ref="F234" ca="1" si="215">IF(I234=0,2,F233+1)</f>
        <v>151</v>
      </c>
      <c r="G234" s="178" t="str" cm="1">
        <f t="array" aca="1" ref="G234" ca="1">INDEX( 'Eléments de constr. inté. et ex'!C:C, $F233)</f>
        <v>Bitumenanstrich / Emulsion de bitume [m2]</v>
      </c>
      <c r="H234" s="178" t="str" cm="1">
        <f t="array" aca="1" ref="H234" ca="1">INDEX( 'Eléments de constr. inté. et ex'!D:D, $F233)</f>
        <v>Émulsion de bitume, 1 couche</v>
      </c>
      <c r="I234" s="178" t="str" cm="1">
        <f t="array" aca="1" ref="I234" ca="1">INDEX( 'Eléments de constr. inté. et ex'!F:F, $F233)</f>
        <v>14.003</v>
      </c>
      <c r="J234" s="178" t="str">
        <f ca="1">_xlfn.XLOOKUP($I234,'Baumaterialien Matériaux'!A:A,'Baumaterialien Matériaux'!G:G,0,0)</f>
        <v>m2</v>
      </c>
      <c r="K234" s="286">
        <f ca="1">M234*K$233</f>
        <v>0</v>
      </c>
      <c r="L234" s="178" cm="1">
        <f t="array" aca="1" ref="L234" ca="1">INDEX( 'Eléments de constr. inté. et ex'!I:I, $F233)</f>
        <v>60</v>
      </c>
      <c r="M234" s="178" cm="1">
        <f t="array" aca="1" ref="M234" ca="1">INDEX( 'Eléments de constr. inté. et ex'!G:G, $F233)</f>
        <v>2</v>
      </c>
      <c r="N234" s="999" cm="1">
        <f t="array" aca="1" ref="N234" ca="1">IFERROR(INDEX('Eléments de constr. inté. et ex'!L:L, $F233)*$K234/$M234,0)/$I$1</f>
        <v>0</v>
      </c>
      <c r="O234" s="996">
        <f t="shared" ref="O234:P237" ca="1" si="216">IF($L234=O$3,$N234+$R234,0)</f>
        <v>0</v>
      </c>
      <c r="P234" s="996">
        <f t="shared" ca="1" si="216"/>
        <v>0</v>
      </c>
      <c r="Q234" s="275" cm="1">
        <f t="array" aca="1" ref="Q234" ca="1">_xlfn.SWITCH(L234,Q$3,N234+R234,O$3,O234,0)</f>
        <v>0</v>
      </c>
      <c r="R234" s="999" cm="1">
        <f t="array" aca="1" ref="R234" ca="1">IFERROR(INDEX('Eléments de constr. inté. et ex'!M:M, $F233)*$K234/$M234,0)/$I$1</f>
        <v>0</v>
      </c>
      <c r="S234" s="997">
        <f ca="1">SUM(N234:R234)</f>
        <v>0</v>
      </c>
      <c r="T234" s="996" cm="1">
        <f t="array" aca="1" ref="T234" ca="1">IFERROR(INDEX('Eléments de constr. inté. et ex'!N:N, $F233)*$K234/$M234,0)/$I$1</f>
        <v>0</v>
      </c>
    </row>
    <row r="235" spans="2:20" ht="15.75" hidden="1" outlineLevel="1">
      <c r="B235" s="1536"/>
      <c r="C235" s="1539"/>
      <c r="D235" s="178"/>
      <c r="E235" s="178"/>
      <c r="F235" s="178">
        <f t="shared" ref="F235" ca="1" si="217">IF(I235=0,2,F234+1)</f>
        <v>152</v>
      </c>
      <c r="G235" s="178" t="str" cm="1">
        <f t="array" aca="1" ref="G235" ca="1">INDEX( 'Eléments de constr. inté. et ex'!C:C, $F234)</f>
        <v>Noppenfolie / Feuille PE [kg]</v>
      </c>
      <c r="H235" s="178" t="str" cm="1">
        <f t="array" aca="1" ref="H235" ca="1">INDEX( 'Eléments de constr. inté. et ex'!D:D, $F234)</f>
        <v>Polyéthylène (HDPE)</v>
      </c>
      <c r="I235" s="178" t="str" cm="1">
        <f t="array" aca="1" ref="I235" ca="1">INDEX( 'Eléments de constr. inté. et ex'!F:F, $F234)</f>
        <v>13.002</v>
      </c>
      <c r="J235" s="178" t="str">
        <f ca="1">_xlfn.XLOOKUP($I235,'Baumaterialien Matériaux'!A:A,'Baumaterialien Matériaux'!G:G,0,0)</f>
        <v>kg</v>
      </c>
      <c r="K235" s="286">
        <f ca="1">M235*K$233</f>
        <v>0</v>
      </c>
      <c r="L235" s="178" cm="1">
        <f t="array" aca="1" ref="L235" ca="1">INDEX( 'Eléments de constr. inté. et ex'!I:I, $F234)</f>
        <v>60</v>
      </c>
      <c r="M235" s="178" cm="1">
        <f t="array" aca="1" ref="M235" ca="1">INDEX( 'Eléments de constr. inté. et ex'!G:G, $F234)</f>
        <v>2.5</v>
      </c>
      <c r="N235" s="999" cm="1">
        <f t="array" aca="1" ref="N235" ca="1">IFERROR(INDEX('Eléments de constr. inté. et ex'!L:L, $F234)*$K235/$M235,0)/$I$1</f>
        <v>0</v>
      </c>
      <c r="O235" s="996">
        <f t="shared" ca="1" si="216"/>
        <v>0</v>
      </c>
      <c r="P235" s="996">
        <f t="shared" ca="1" si="216"/>
        <v>0</v>
      </c>
      <c r="Q235" s="275" cm="1">
        <f t="array" aca="1" ref="Q235" ca="1">_xlfn.SWITCH(L235,Q$3,N235+R235,O$3,O235,0)</f>
        <v>0</v>
      </c>
      <c r="R235" s="999" cm="1">
        <f t="array" aca="1" ref="R235" ca="1">IFERROR(INDEX('Eléments de constr. inté. et ex'!M:M, $F234)*$K235/$M235,0)/$I$1</f>
        <v>0</v>
      </c>
      <c r="S235" s="997">
        <f ca="1">SUM(N235:R235)</f>
        <v>0</v>
      </c>
      <c r="T235" s="996" cm="1">
        <f t="array" aca="1" ref="T235" ca="1">IFERROR(INDEX('Eléments de constr. inté. et ex'!N:N, $F234)*$K235/$M235,0)/$I$1</f>
        <v>0</v>
      </c>
    </row>
    <row r="236" spans="2:20" ht="15.75" hidden="1" outlineLevel="1">
      <c r="B236" s="1536"/>
      <c r="C236" s="1539"/>
      <c r="D236" s="178"/>
      <c r="E236" s="178"/>
      <c r="F236" s="178">
        <f t="shared" ref="F236" ca="1" si="218">IF(I236=0,2,F235+1)</f>
        <v>153</v>
      </c>
      <c r="G236" s="178" t="str" cm="1">
        <f t="array" aca="1" ref="G236" ca="1">INDEX( 'Eléments de constr. inté. et ex'!C:C, $F235)</f>
        <v>XPS, 33 kg/m3, lamdaD 0.033 W/mK, 20 cm [kg]</v>
      </c>
      <c r="H236" s="178" t="str" cm="1">
        <f t="array" aca="1" ref="H236" ca="1">INDEX( 'Eléments de constr. inté. et ex'!D:D, $F235)</f>
        <v>Polystyrène extrudé (XPS)</v>
      </c>
      <c r="I236" s="178" t="str" cm="1">
        <f t="array" aca="1" ref="I236" ca="1">INDEX( 'Eléments de constr. inté. et ex'!F:F, $F235)</f>
        <v>10.005</v>
      </c>
      <c r="J236" s="178" t="str">
        <f ca="1">_xlfn.XLOOKUP($I236,'Baumaterialien Matériaux'!A:A,'Baumaterialien Matériaux'!G:G,0,0)</f>
        <v>kg</v>
      </c>
      <c r="K236" s="286">
        <f ca="1">M236*K$233</f>
        <v>0</v>
      </c>
      <c r="L236" s="178" cm="1">
        <f t="array" aca="1" ref="L236" ca="1">INDEX( 'Eléments de constr. inté. et ex'!I:I, $F235)</f>
        <v>60</v>
      </c>
      <c r="M236" s="178" cm="1">
        <f t="array" aca="1" ref="M236" ca="1">INDEX( 'Eléments de constr. inté. et ex'!G:G, $F235)</f>
        <v>6.6000000000000005</v>
      </c>
      <c r="N236" s="999" cm="1">
        <f t="array" aca="1" ref="N236" ca="1">IFERROR(INDEX('Eléments de constr. inté. et ex'!L:L, $F235)*$K236/$M236,0)/$I$1</f>
        <v>0</v>
      </c>
      <c r="O236" s="996">
        <f t="shared" ca="1" si="216"/>
        <v>0</v>
      </c>
      <c r="P236" s="996">
        <f t="shared" ca="1" si="216"/>
        <v>0</v>
      </c>
      <c r="Q236" s="275" cm="1">
        <f t="array" aca="1" ref="Q236" ca="1">_xlfn.SWITCH(L236,Q$3,N236+R236,O$3,O236,0)</f>
        <v>0</v>
      </c>
      <c r="R236" s="999" cm="1">
        <f t="array" aca="1" ref="R236" ca="1">IFERROR(INDEX('Eléments de constr. inté. et ex'!M:M, $F235)*$K236/$M236,0)/$I$1</f>
        <v>0</v>
      </c>
      <c r="S236" s="997">
        <f ca="1">SUM(N236:R236)</f>
        <v>0</v>
      </c>
      <c r="T236" s="996" cm="1">
        <f t="array" aca="1" ref="T236" ca="1">IFERROR(INDEX('Eléments de constr. inté. et ex'!N:N, $F235)*$K236/$M236,0)/$I$1</f>
        <v>0</v>
      </c>
    </row>
    <row r="237" spans="2:20" ht="15.75" hidden="1" outlineLevel="1">
      <c r="B237" s="1536"/>
      <c r="C237" s="1540"/>
      <c r="D237" s="178"/>
      <c r="E237" s="178"/>
      <c r="F237" s="178">
        <f t="shared" ref="F237" ca="1" si="219">IF(I237=0,2,F236+1)</f>
        <v>2</v>
      </c>
      <c r="G237" s="178" cm="1">
        <f t="array" aca="1" ref="G237" ca="1">INDEX( 'Eléments de constr. inté. et ex'!C:C, $F236)</f>
        <v>0</v>
      </c>
      <c r="H237" s="178" cm="1">
        <f t="array" aca="1" ref="H237" ca="1">INDEX( 'Eléments de constr. inté. et ex'!D:D, $F236)</f>
        <v>0</v>
      </c>
      <c r="I237" s="178" cm="1">
        <f t="array" aca="1" ref="I237" ca="1">INDEX( 'Eléments de constr. inté. et ex'!F:F, $F236)</f>
        <v>0</v>
      </c>
      <c r="J237" s="178">
        <f ca="1">_xlfn.XLOOKUP($I237,'Baumaterialien Matériaux'!A:A,'Baumaterialien Matériaux'!G:G,0,0)</f>
        <v>0</v>
      </c>
      <c r="K237" s="286">
        <f ca="1">M237*K$233</f>
        <v>0</v>
      </c>
      <c r="L237" s="178" cm="1">
        <f t="array" aca="1" ref="L237" ca="1">INDEX( 'Eléments de constr. inté. et ex'!I:I, $F236)</f>
        <v>0</v>
      </c>
      <c r="M237" s="178" cm="1">
        <f t="array" aca="1" ref="M237" ca="1">INDEX( 'Eléments de constr. inté. et ex'!G:G, $F236)</f>
        <v>0</v>
      </c>
      <c r="N237" s="999" cm="1">
        <f t="array" aca="1" ref="N237" ca="1">IFERROR(INDEX('Eléments de constr. inté. et ex'!L:L, $F236)*$K237/$M237,0)/$I$1</f>
        <v>0</v>
      </c>
      <c r="O237" s="996">
        <f t="shared" ca="1" si="216"/>
        <v>0</v>
      </c>
      <c r="P237" s="996">
        <f t="shared" ca="1" si="216"/>
        <v>0</v>
      </c>
      <c r="Q237" s="275" cm="1">
        <f t="array" aca="1" ref="Q237" ca="1">_xlfn.SWITCH(L237,Q$3,N237+R237,O$3,O237,0)</f>
        <v>0</v>
      </c>
      <c r="R237" s="999" cm="1">
        <f t="array" aca="1" ref="R237" ca="1">IFERROR(INDEX('Eléments de constr. inté. et ex'!M:M, $F236)*$K237/$M237,0)/$I$1</f>
        <v>0</v>
      </c>
      <c r="S237" s="997">
        <f ca="1">SUM(N237:R237)</f>
        <v>0</v>
      </c>
      <c r="T237" s="996" cm="1">
        <f t="array" aca="1" ref="T237" ca="1">IFERROR(INDEX('Eléments de constr. inté. et ex'!N:N, $F236)*$K237/$M237,0)/$I$1</f>
        <v>0</v>
      </c>
    </row>
    <row r="238" spans="2:20" ht="15.75" collapsed="1">
      <c r="B238" s="1536"/>
      <c r="C238" s="1538" t="str">
        <f>'Outil détaillé'!C54</f>
        <v>G03</v>
      </c>
      <c r="D238" s="177" t="str">
        <f>'Outil détaillé'!D54</f>
        <v>Revêtement intérieurs parois</v>
      </c>
      <c r="E238" s="177"/>
      <c r="F238" s="177">
        <f>MATCH(D238, 'Eléments de constr. inté. et ex'!B:B,0)</f>
        <v>155</v>
      </c>
      <c r="G238" s="177"/>
      <c r="H238" s="177"/>
      <c r="I238" s="177"/>
      <c r="J238" s="177"/>
      <c r="K238" s="289"/>
      <c r="L238" s="288"/>
      <c r="M238" s="288"/>
      <c r="N238" s="993">
        <f t="shared" ref="N238" ca="1" si="220">N239+N245</f>
        <v>20.540304020725387</v>
      </c>
      <c r="O238" s="993">
        <f t="shared" ref="O238:T238" ca="1" si="221">O239+O245</f>
        <v>0</v>
      </c>
      <c r="P238" s="993">
        <f t="shared" ca="1" si="221"/>
        <v>21.738124619170982</v>
      </c>
      <c r="Q238" s="993">
        <f t="shared" ca="1" si="221"/>
        <v>0</v>
      </c>
      <c r="R238" s="993">
        <f t="shared" ca="1" si="221"/>
        <v>1.1978205984455959</v>
      </c>
      <c r="S238" s="993">
        <f t="shared" ca="1" si="221"/>
        <v>43.476249238341964</v>
      </c>
      <c r="T238" s="1053">
        <f t="shared" ca="1" si="221"/>
        <v>0</v>
      </c>
    </row>
    <row r="239" spans="2:20" ht="15.75">
      <c r="B239" s="1536"/>
      <c r="C239" s="1539"/>
      <c r="D239" s="178" t="str">
        <f>'Outil détaillé'!D55</f>
        <v>Parois de l'enveloppe</v>
      </c>
      <c r="E239" s="179" t="str">
        <f>'Outil détaillé'!E55</f>
        <v>Enduit en plâtre et en ciment</v>
      </c>
      <c r="F239" s="928">
        <f ca="1">MATCH(E239, INDIRECT("'Eléments de constr. inté. et ex'!A"&amp;F238+1&amp;":A500"),0)+F238</f>
        <v>156</v>
      </c>
      <c r="G239" s="179"/>
      <c r="H239" s="179"/>
      <c r="I239" s="179"/>
      <c r="J239" s="595" t="s">
        <v>97</v>
      </c>
      <c r="K239" s="294">
        <f>'Outil détaillé'!J55</f>
        <v>827.64833333333331</v>
      </c>
      <c r="L239" s="295"/>
      <c r="M239" s="295"/>
      <c r="N239" s="994">
        <f t="shared" ref="N239" ca="1" si="222">SUM(N240:N244)</f>
        <v>9.6847719999999988</v>
      </c>
      <c r="O239" s="994">
        <f t="shared" ref="O239:T239" ca="1" si="223">SUM(O240:O244)</f>
        <v>0</v>
      </c>
      <c r="P239" s="994">
        <f t="shared" ca="1" si="223"/>
        <v>10.249545499999998</v>
      </c>
      <c r="Q239" s="994">
        <f t="shared" ca="1" si="223"/>
        <v>0</v>
      </c>
      <c r="R239" s="994">
        <f t="shared" ca="1" si="223"/>
        <v>0.56477350000000004</v>
      </c>
      <c r="S239" s="994">
        <f t="shared" ca="1" si="223"/>
        <v>20.499090999999996</v>
      </c>
      <c r="T239" s="1054">
        <f t="shared" ca="1" si="223"/>
        <v>0</v>
      </c>
    </row>
    <row r="240" spans="2:20" ht="15.75" hidden="1" outlineLevel="1">
      <c r="B240" s="1536"/>
      <c r="C240" s="1539"/>
      <c r="D240" s="178"/>
      <c r="E240" s="178"/>
      <c r="F240" s="178">
        <f t="shared" ref="F240" ca="1" si="224">IF(I240=0,2,F239+1)</f>
        <v>157</v>
      </c>
      <c r="G240" s="178" t="str" cm="1">
        <f t="array" aca="1" ref="G240" ca="1">INDEX( 'Eléments de constr. inté. et ex'!C:C, $F239)</f>
        <v>Kalk-Zementgrundputz [kg]</v>
      </c>
      <c r="H240" s="178" t="str" cm="1">
        <f t="array" aca="1" ref="H240" ca="1">INDEX( 'Eléments de constr. inté. et ex'!D:D, $F239)</f>
        <v>Enduit en plâtre et en ciment</v>
      </c>
      <c r="I240" s="178" t="str" cm="1">
        <f t="array" aca="1" ref="I240" ca="1">INDEX( 'Eléments de constr. inté. et ex'!F:F, $F239)</f>
        <v>04.013</v>
      </c>
      <c r="J240" s="178" t="str">
        <f ca="1">_xlfn.XLOOKUP($I240,'Baumaterialien Matériaux'!A:A,'Baumaterialien Matériaux'!G:G,0,0)</f>
        <v>kg</v>
      </c>
      <c r="K240" s="286">
        <f ca="1">M240*$K$239</f>
        <v>29795.34</v>
      </c>
      <c r="L240" s="178" cm="1">
        <f t="array" aca="1" ref="L240" ca="1">INDEX( 'Eléments de constr. inté. et ex'!I:I, $F239)</f>
        <v>30</v>
      </c>
      <c r="M240" s="178" cm="1">
        <f t="array" aca="1" ref="M240" ca="1">INDEX( 'Eléments de constr. inté. et ex'!G:G, $F239)</f>
        <v>36</v>
      </c>
      <c r="N240" s="999" cm="1">
        <f t="array" aca="1" ref="N240" ca="1">IFERROR(INDEX('Eléments de constr. inté. et ex'!L:L, $F239)*$K240/$M240,0)/$I$1</f>
        <v>7.7498759999999995</v>
      </c>
      <c r="O240" s="996">
        <f t="shared" ref="O240:P244" ca="1" si="225">IF($L240=O$3,$N240+$R240,0)</f>
        <v>0</v>
      </c>
      <c r="P240" s="996">
        <f t="shared" ca="1" si="225"/>
        <v>8.1420011999999993</v>
      </c>
      <c r="Q240" s="275" cm="1">
        <f t="array" aca="1" ref="Q240" ca="1">_xlfn.SWITCH(L240,Q$3,N240+R240,O$3,O240,0)</f>
        <v>0</v>
      </c>
      <c r="R240" s="999" cm="1">
        <f t="array" aca="1" ref="R240" ca="1">IFERROR(INDEX('Eléments de constr. inté. et ex'!M:M, $F239)*$K240/$M240,0)/$I$1</f>
        <v>0.39212520000000001</v>
      </c>
      <c r="S240" s="997">
        <f ca="1">SUM(N240:R240)</f>
        <v>16.284002399999999</v>
      </c>
      <c r="T240" s="996" cm="1">
        <f t="array" aca="1" ref="T240" ca="1">IFERROR(INDEX('Eléments de constr. inté. et ex'!N:N, $F239)*$K240/$M240,0)/$I$1</f>
        <v>0</v>
      </c>
    </row>
    <row r="241" spans="2:20" ht="15.75" hidden="1" customHeight="1" outlineLevel="1">
      <c r="B241" s="1536"/>
      <c r="C241" s="1539"/>
      <c r="D241" s="178"/>
      <c r="E241" s="178"/>
      <c r="F241" s="178">
        <f t="shared" ref="F241:F244" ca="1" si="226">IF(I241=0,2,F240+1)</f>
        <v>158</v>
      </c>
      <c r="G241" s="178" t="str" cm="1">
        <f t="array" aca="1" ref="G241" ca="1">INDEX( 'Eléments de constr. inté. et ex'!C:C, $F240)</f>
        <v>Deckputz (Weissputz) [kg]</v>
      </c>
      <c r="H241" s="178" t="str" cm="1">
        <f t="array" aca="1" ref="H241" ca="1">INDEX( 'Eléments de constr. inté. et ex'!D:D, $F240)</f>
        <v>Enduit minéral</v>
      </c>
      <c r="I241" s="178" t="str" cm="1">
        <f t="array" aca="1" ref="I241" ca="1">INDEX( 'Eléments de constr. inté. et ex'!F:F, $F240)</f>
        <v>04.001</v>
      </c>
      <c r="J241" s="178" t="str">
        <f ca="1">_xlfn.XLOOKUP($I241,'Baumaterialien Matériaux'!A:A,'Baumaterialien Matériaux'!G:G,0,0)</f>
        <v>kg</v>
      </c>
      <c r="K241" s="286">
        <f t="shared" ref="K241:K244" ca="1" si="227">M241*$K$239</f>
        <v>5793.538333333333</v>
      </c>
      <c r="L241" s="178" cm="1">
        <f t="array" aca="1" ref="L241" ca="1">INDEX( 'Eléments de constr. inté. et ex'!I:I, $F240)</f>
        <v>30</v>
      </c>
      <c r="M241" s="178" cm="1">
        <f t="array" aca="1" ref="M241" ca="1">INDEX( 'Eléments de constr. inté. et ex'!G:G, $F240)</f>
        <v>7</v>
      </c>
      <c r="N241" s="999" cm="1">
        <f t="array" aca="1" ref="N241" ca="1">IFERROR(INDEX('Eléments de constr. inté. et ex'!L:L, $F240)*$K241/$M241,0)/$I$1</f>
        <v>0.82850599999999996</v>
      </c>
      <c r="O241" s="996">
        <f t="shared" ca="1" si="225"/>
        <v>0</v>
      </c>
      <c r="P241" s="996">
        <f t="shared" ca="1" si="225"/>
        <v>0.90475256666666659</v>
      </c>
      <c r="Q241" s="275" cm="1">
        <f t="array" aca="1" ref="Q241" ca="1">_xlfn.SWITCH(L241,Q$3,N241+R241,O$3,O241,0)</f>
        <v>0</v>
      </c>
      <c r="R241" s="999" cm="1">
        <f t="array" aca="1" ref="R241" ca="1">IFERROR(INDEX('Eléments de constr. inté. et ex'!M:M, $F240)*$K241/$M241,0)/$I$1</f>
        <v>7.6246566666666654E-2</v>
      </c>
      <c r="S241" s="997">
        <f ca="1">SUM(N241:R241)</f>
        <v>1.8095051333333334</v>
      </c>
      <c r="T241" s="996" cm="1">
        <f t="array" aca="1" ref="T241" ca="1">IFERROR(INDEX('Eléments de constr. inté. et ex'!N:N, $F240)*$K241/$M241,0)/$I$1</f>
        <v>0</v>
      </c>
    </row>
    <row r="242" spans="2:20" ht="15.75" hidden="1" outlineLevel="1">
      <c r="B242" s="1536"/>
      <c r="C242" s="1539"/>
      <c r="D242" s="178"/>
      <c r="E242" s="178"/>
      <c r="F242" s="178">
        <f t="shared" ca="1" si="226"/>
        <v>159</v>
      </c>
      <c r="G242" s="178" t="str" cm="1">
        <f t="array" aca="1" ref="G242" ca="1">INDEX( 'Eléments de constr. inté. et ex'!C:C, $F241)</f>
        <v>Wanddispersion [m2]</v>
      </c>
      <c r="H242" s="178" t="str" cm="1">
        <f t="array" aca="1" ref="H242" ca="1">INDEX( 'Eléments de constr. inté. et ex'!D:D, $F241)</f>
        <v>Enduit, diluable à l'eau, 2 couches</v>
      </c>
      <c r="I242" s="178" t="str" cm="1">
        <f t="array" aca="1" ref="I242" ca="1">INDEX( 'Eléments de constr. inté. et ex'!F:F, $F241)</f>
        <v>14.001</v>
      </c>
      <c r="J242" s="178" t="str">
        <f ca="1">_xlfn.XLOOKUP($I242,'Baumaterialien Matériaux'!A:A,'Baumaterialien Matériaux'!G:G,0,0)</f>
        <v>m2</v>
      </c>
      <c r="K242" s="286">
        <f t="shared" ca="1" si="227"/>
        <v>1655.2966666666666</v>
      </c>
      <c r="L242" s="178" cm="1">
        <f t="array" aca="1" ref="L242" ca="1">INDEX( 'Eléments de constr. inté. et ex'!I:I, $F241)</f>
        <v>30</v>
      </c>
      <c r="M242" s="178" cm="1">
        <f t="array" aca="1" ref="M242" ca="1">INDEX( 'Eléments de constr. inté. et ex'!G:G, $F241)</f>
        <v>2</v>
      </c>
      <c r="N242" s="999" cm="1">
        <f t="array" aca="1" ref="N242" ca="1">IFERROR(INDEX('Eléments de constr. inté. et ex'!L:L, $F241)*$K242/$M242,0)/$I$1</f>
        <v>1.10639</v>
      </c>
      <c r="O242" s="996">
        <f t="shared" ca="1" si="225"/>
        <v>0</v>
      </c>
      <c r="P242" s="996">
        <f t="shared" ca="1" si="225"/>
        <v>1.2027917333333333</v>
      </c>
      <c r="Q242" s="275" cm="1">
        <f t="array" aca="1" ref="Q242" ca="1">_xlfn.SWITCH(L242,Q$3,N242+R242,O$3,O242,0)</f>
        <v>0</v>
      </c>
      <c r="R242" s="999" cm="1">
        <f t="array" aca="1" ref="R242" ca="1">IFERROR(INDEX('Eléments de constr. inté. et ex'!M:M, $F241)*$K242/$M242,0)/$I$1</f>
        <v>9.6401733333333323E-2</v>
      </c>
      <c r="S242" s="997">
        <f ca="1">SUM(N242:R242)</f>
        <v>2.4055834666666667</v>
      </c>
      <c r="T242" s="996" cm="1">
        <f t="array" aca="1" ref="T242" ca="1">IFERROR(INDEX('Eléments de constr. inté. et ex'!N:N, $F241)*$K242/$M242,0)/$I$1</f>
        <v>0</v>
      </c>
    </row>
    <row r="243" spans="2:20" ht="15.75" hidden="1" outlineLevel="1">
      <c r="B243" s="1536"/>
      <c r="C243" s="1539"/>
      <c r="D243" s="178"/>
      <c r="E243" s="178"/>
      <c r="F243" s="178">
        <f t="shared" ca="1" si="226"/>
        <v>2</v>
      </c>
      <c r="G243" s="178" cm="1">
        <f t="array" aca="1" ref="G243" ca="1">INDEX( 'Eléments de constr. inté. et ex'!C:C, $F242)</f>
        <v>0</v>
      </c>
      <c r="H243" s="178" cm="1">
        <f t="array" aca="1" ref="H243" ca="1">INDEX( 'Eléments de constr. inté. et ex'!D:D, $F242)</f>
        <v>0</v>
      </c>
      <c r="I243" s="178" cm="1">
        <f t="array" aca="1" ref="I243" ca="1">INDEX( 'Eléments de constr. inté. et ex'!F:F, $F242)</f>
        <v>0</v>
      </c>
      <c r="J243" s="178">
        <f ca="1">_xlfn.XLOOKUP($I243,'Baumaterialien Matériaux'!A:A,'Baumaterialien Matériaux'!G:G,0,0)</f>
        <v>0</v>
      </c>
      <c r="K243" s="286">
        <f t="shared" ca="1" si="227"/>
        <v>0</v>
      </c>
      <c r="L243" s="178" cm="1">
        <f t="array" aca="1" ref="L243" ca="1">INDEX( 'Eléments de constr. inté. et ex'!I:I, $F242)</f>
        <v>30</v>
      </c>
      <c r="M243" s="178" cm="1">
        <f t="array" aca="1" ref="M243" ca="1">INDEX( 'Eléments de constr. inté. et ex'!G:G, $F242)</f>
        <v>0</v>
      </c>
      <c r="N243" s="999" cm="1">
        <f t="array" aca="1" ref="N243" ca="1">IFERROR(INDEX('Eléments de constr. inté. et ex'!L:L, $F242)*$K243/$M243,0)/$I$1</f>
        <v>0</v>
      </c>
      <c r="O243" s="996">
        <f t="shared" ca="1" si="225"/>
        <v>0</v>
      </c>
      <c r="P243" s="996">
        <f t="shared" ca="1" si="225"/>
        <v>0</v>
      </c>
      <c r="Q243" s="275" cm="1">
        <f t="array" aca="1" ref="Q243" ca="1">_xlfn.SWITCH(L243,Q$3,N243+R243,O$3,O243,0)</f>
        <v>0</v>
      </c>
      <c r="R243" s="999" cm="1">
        <f t="array" aca="1" ref="R243" ca="1">IFERROR(INDEX('Eléments de constr. inté. et ex'!M:M, $F242)*$K243/$M243,0)/$I$1</f>
        <v>0</v>
      </c>
      <c r="S243" s="997">
        <f ca="1">SUM(N243:R243)</f>
        <v>0</v>
      </c>
      <c r="T243" s="996" cm="1">
        <f t="array" aca="1" ref="T243" ca="1">IFERROR(INDEX('Eléments de constr. inté. et ex'!N:N, $F242)*$K243/$M243,0)/$I$1</f>
        <v>0</v>
      </c>
    </row>
    <row r="244" spans="2:20" ht="15.75" hidden="1" outlineLevel="1">
      <c r="B244" s="1536"/>
      <c r="C244" s="1539"/>
      <c r="D244" s="178"/>
      <c r="E244" s="178"/>
      <c r="F244" s="178">
        <f t="shared" ca="1" si="226"/>
        <v>2</v>
      </c>
      <c r="G244" s="178" cm="1">
        <f t="array" aca="1" ref="G244" ca="1">INDEX( 'Eléments de constr. inté. et ex'!C:C, $F243)</f>
        <v>0</v>
      </c>
      <c r="H244" s="178" cm="1">
        <f t="array" aca="1" ref="H244" ca="1">INDEX( 'Eléments de constr. inté. et ex'!D:D, $F243)</f>
        <v>0</v>
      </c>
      <c r="I244" s="178" cm="1">
        <f t="array" aca="1" ref="I244" ca="1">INDEX( 'Eléments de constr. inté. et ex'!F:F, $F243)</f>
        <v>0</v>
      </c>
      <c r="J244" s="178">
        <f ca="1">_xlfn.XLOOKUP($I244,'Baumaterialien Matériaux'!A:A,'Baumaterialien Matériaux'!G:G,0,0)</f>
        <v>0</v>
      </c>
      <c r="K244" s="286">
        <f t="shared" ca="1" si="227"/>
        <v>0</v>
      </c>
      <c r="L244" s="178" cm="1">
        <f t="array" aca="1" ref="L244" ca="1">INDEX( 'Eléments de constr. inté. et ex'!I:I, $F243)</f>
        <v>0</v>
      </c>
      <c r="M244" s="178" cm="1">
        <f t="array" aca="1" ref="M244" ca="1">INDEX( 'Eléments de constr. inté. et ex'!G:G, $F243)</f>
        <v>0</v>
      </c>
      <c r="N244" s="999" cm="1">
        <f t="array" aca="1" ref="N244" ca="1">IFERROR(INDEX('Eléments de constr. inté. et ex'!L:L, $F243)*$K244/$M244,0)/$I$1</f>
        <v>0</v>
      </c>
      <c r="O244" s="996">
        <f t="shared" ca="1" si="225"/>
        <v>0</v>
      </c>
      <c r="P244" s="996">
        <f t="shared" ca="1" si="225"/>
        <v>0</v>
      </c>
      <c r="Q244" s="275" cm="1">
        <f t="array" aca="1" ref="Q244" ca="1">_xlfn.SWITCH(L244,Q$3,N244+R244,O$3,O244,0)</f>
        <v>0</v>
      </c>
      <c r="R244" s="999" cm="1">
        <f t="array" aca="1" ref="R244" ca="1">IFERROR(INDEX('Eléments de constr. inté. et ex'!M:M, $F243)*$K244/$M244,0)/$I$1</f>
        <v>0</v>
      </c>
      <c r="S244" s="997">
        <f ca="1">SUM(N244:R244)</f>
        <v>0</v>
      </c>
      <c r="T244" s="996" cm="1">
        <f t="array" aca="1" ref="T244" ca="1">IFERROR(INDEX('Eléments de constr. inté. et ex'!N:N, $F243)*$K244/$M244,0)/$I$1</f>
        <v>0</v>
      </c>
    </row>
    <row r="245" spans="2:20" ht="15.75" collapsed="1">
      <c r="B245" s="1536"/>
      <c r="C245" s="1539"/>
      <c r="D245" s="178" t="str">
        <f>'Outil détaillé'!D56</f>
        <v>Parois internes</v>
      </c>
      <c r="E245" s="179" t="str">
        <f>'Outil détaillé'!E56</f>
        <v>Enduit en plâtre et en ciment</v>
      </c>
      <c r="F245" s="928">
        <f ca="1">MATCH(E245, INDIRECT("'Eléments de constr. inté. et ex'!A"&amp;F238+1&amp;":A500"),0)+F238</f>
        <v>156</v>
      </c>
      <c r="G245" s="179"/>
      <c r="H245" s="179"/>
      <c r="I245" s="179"/>
      <c r="J245" s="595" t="s">
        <v>97</v>
      </c>
      <c r="K245" s="294">
        <f>'Outil détaillé'!J56</f>
        <v>927.7</v>
      </c>
      <c r="L245" s="295"/>
      <c r="M245" s="295"/>
      <c r="N245" s="994">
        <f t="shared" ref="N245" ca="1" si="228">SUM(N246:N250)</f>
        <v>10.855532020725388</v>
      </c>
      <c r="O245" s="994">
        <f t="shared" ref="O245:T245" ca="1" si="229">SUM(O246:O250)</f>
        <v>0</v>
      </c>
      <c r="P245" s="994">
        <f t="shared" ca="1" si="229"/>
        <v>11.488579119170986</v>
      </c>
      <c r="Q245" s="994">
        <f t="shared" ca="1" si="229"/>
        <v>0</v>
      </c>
      <c r="R245" s="994">
        <f t="shared" ca="1" si="229"/>
        <v>0.63304709844559592</v>
      </c>
      <c r="S245" s="994">
        <f t="shared" ca="1" si="229"/>
        <v>22.977158238341971</v>
      </c>
      <c r="T245" s="1054">
        <f t="shared" ca="1" si="229"/>
        <v>0</v>
      </c>
    </row>
    <row r="246" spans="2:20" ht="15.75" hidden="1" outlineLevel="1">
      <c r="B246" s="1536"/>
      <c r="C246" s="1539"/>
      <c r="D246" s="178"/>
      <c r="E246" s="178"/>
      <c r="F246" s="178">
        <f t="shared" ref="F246:F250" ca="1" si="230">IF(I246=0,2,F245+1)</f>
        <v>157</v>
      </c>
      <c r="G246" s="178" t="str" cm="1">
        <f t="array" aca="1" ref="G246" ca="1">INDEX( 'Eléments de constr. inté. et ex'!C:C, $F245)</f>
        <v>Kalk-Zementgrundputz [kg]</v>
      </c>
      <c r="H246" s="178" t="str" cm="1">
        <f t="array" aca="1" ref="H246" ca="1">INDEX( 'Eléments de constr. inté. et ex'!D:D, $F245)</f>
        <v>Enduit en plâtre et en ciment</v>
      </c>
      <c r="I246" s="178" t="str" cm="1">
        <f t="array" aca="1" ref="I246" ca="1">INDEX( 'Eléments de constr. inté. et ex'!F:F, $F245)</f>
        <v>04.013</v>
      </c>
      <c r="J246" s="178" t="str">
        <f ca="1">_xlfn.XLOOKUP($I246,'Baumaterialien Matériaux'!A:A,'Baumaterialien Matériaux'!G:G,0,0)</f>
        <v>kg</v>
      </c>
      <c r="K246" s="286">
        <f ca="1">M246*$K$245</f>
        <v>33397.200000000004</v>
      </c>
      <c r="L246" s="178" cm="1">
        <f t="array" aca="1" ref="L246" ca="1">INDEX( 'Eléments de constr. inté. et ex'!I:I, $F245)</f>
        <v>30</v>
      </c>
      <c r="M246" s="178" cm="1">
        <f t="array" aca="1" ref="M246" ca="1">INDEX( 'Eléments de constr. inté. et ex'!G:G, $F245)</f>
        <v>36</v>
      </c>
      <c r="N246" s="999" cm="1">
        <f t="array" aca="1" ref="N246" ca="1">IFERROR(INDEX('Eléments de constr. inté. et ex'!L:L, $F245)*$K246/$M246,0)/$I$1</f>
        <v>8.6867328497409328</v>
      </c>
      <c r="O246" s="996">
        <f t="shared" ref="O246:P250" ca="1" si="231">IF($L246=O$3,$N246+$R246,0)</f>
        <v>0</v>
      </c>
      <c r="P246" s="996">
        <f t="shared" ca="1" si="231"/>
        <v>9.126260766839378</v>
      </c>
      <c r="Q246" s="275" cm="1">
        <f t="array" aca="1" ref="Q246" ca="1">_xlfn.SWITCH(L246,Q$3,N246+R246,O$3,O246,0)</f>
        <v>0</v>
      </c>
      <c r="R246" s="999" cm="1">
        <f t="array" aca="1" ref="R246" ca="1">IFERROR(INDEX('Eléments de constr. inté. et ex'!M:M, $F245)*$K246/$M246,0)/$I$1</f>
        <v>0.43952791709844563</v>
      </c>
      <c r="S246" s="997">
        <f ca="1">SUM(N246:R246)</f>
        <v>18.252521533678756</v>
      </c>
      <c r="T246" s="996" cm="1">
        <f t="array" aca="1" ref="T246" ca="1">IFERROR(INDEX('Eléments de constr. inté. et ex'!N:N, $F245)*$K246/$M246,0)/$I$1</f>
        <v>0</v>
      </c>
    </row>
    <row r="247" spans="2:20" ht="15.75" hidden="1" outlineLevel="1">
      <c r="B247" s="1536"/>
      <c r="C247" s="1539"/>
      <c r="D247" s="178"/>
      <c r="E247" s="178"/>
      <c r="F247" s="178">
        <f t="shared" ca="1" si="230"/>
        <v>158</v>
      </c>
      <c r="G247" s="178" t="str" cm="1">
        <f t="array" aca="1" ref="G247" ca="1">INDEX( 'Eléments de constr. inté. et ex'!C:C, $F246)</f>
        <v>Deckputz (Weissputz) [kg]</v>
      </c>
      <c r="H247" s="178" t="str" cm="1">
        <f t="array" aca="1" ref="H247" ca="1">INDEX( 'Eléments de constr. inté. et ex'!D:D, $F246)</f>
        <v>Enduit minéral</v>
      </c>
      <c r="I247" s="178" t="str" cm="1">
        <f t="array" aca="1" ref="I247" ca="1">INDEX( 'Eléments de constr. inté. et ex'!F:F, $F246)</f>
        <v>04.001</v>
      </c>
      <c r="J247" s="178" t="str">
        <f ca="1">_xlfn.XLOOKUP($I247,'Baumaterialien Matériaux'!A:A,'Baumaterialien Matériaux'!G:G,0,0)</f>
        <v>kg</v>
      </c>
      <c r="K247" s="286">
        <f t="shared" ref="K247:K250" ca="1" si="232">M247*$K$245</f>
        <v>6493.9000000000005</v>
      </c>
      <c r="L247" s="178" cm="1">
        <f t="array" aca="1" ref="L247" ca="1">INDEX( 'Eléments de constr. inté. et ex'!I:I, $F246)</f>
        <v>30</v>
      </c>
      <c r="M247" s="178" cm="1">
        <f t="array" aca="1" ref="M247" ca="1">INDEX( 'Eléments de constr. inté. et ex'!G:G, $F246)</f>
        <v>7</v>
      </c>
      <c r="N247" s="999" cm="1">
        <f t="array" aca="1" ref="N247" ca="1">IFERROR(INDEX('Eléments de constr. inté. et ex'!L:L, $F246)*$K247/$M247,0)/$I$1</f>
        <v>0.92866134715025916</v>
      </c>
      <c r="O247" s="996">
        <f t="shared" ca="1" si="231"/>
        <v>0</v>
      </c>
      <c r="P247" s="996">
        <f t="shared" ca="1" si="231"/>
        <v>1.0141251088082903</v>
      </c>
      <c r="Q247" s="275" cm="1">
        <f t="array" aca="1" ref="Q247" ca="1">_xlfn.SWITCH(L247,Q$3,N247+R247,O$3,O247,0)</f>
        <v>0</v>
      </c>
      <c r="R247" s="999" cm="1">
        <f t="array" aca="1" ref="R247" ca="1">IFERROR(INDEX('Eléments de constr. inté. et ex'!M:M, $F246)*$K247/$M247,0)/$I$1</f>
        <v>8.5463761658031101E-2</v>
      </c>
      <c r="S247" s="997">
        <f ca="1">SUM(N247:R247)</f>
        <v>2.0282502176165806</v>
      </c>
      <c r="T247" s="996" cm="1">
        <f t="array" aca="1" ref="T247" ca="1">IFERROR(INDEX('Eléments de constr. inté. et ex'!N:N, $F246)*$K247/$M247,0)/$I$1</f>
        <v>0</v>
      </c>
    </row>
    <row r="248" spans="2:20" ht="15.75" hidden="1" outlineLevel="1">
      <c r="B248" s="1536"/>
      <c r="C248" s="1539"/>
      <c r="D248" s="178"/>
      <c r="E248" s="178"/>
      <c r="F248" s="178">
        <f t="shared" ca="1" si="230"/>
        <v>159</v>
      </c>
      <c r="G248" s="178" t="str" cm="1">
        <f t="array" aca="1" ref="G248" ca="1">INDEX( 'Eléments de constr. inté. et ex'!C:C, $F247)</f>
        <v>Wanddispersion [m2]</v>
      </c>
      <c r="H248" s="178" t="str" cm="1">
        <f t="array" aca="1" ref="H248" ca="1">INDEX( 'Eléments de constr. inté. et ex'!D:D, $F247)</f>
        <v>Enduit, diluable à l'eau, 2 couches</v>
      </c>
      <c r="I248" s="178" t="str" cm="1">
        <f t="array" aca="1" ref="I248" ca="1">INDEX( 'Eléments de constr. inté. et ex'!F:F, $F247)</f>
        <v>14.001</v>
      </c>
      <c r="J248" s="178" t="str">
        <f ca="1">_xlfn.XLOOKUP($I248,'Baumaterialien Matériaux'!A:A,'Baumaterialien Matériaux'!G:G,0,0)</f>
        <v>m2</v>
      </c>
      <c r="K248" s="286">
        <f t="shared" ca="1" si="232"/>
        <v>1855.4</v>
      </c>
      <c r="L248" s="178" cm="1">
        <f t="array" aca="1" ref="L248" ca="1">INDEX( 'Eléments de constr. inté. et ex'!I:I, $F247)</f>
        <v>30</v>
      </c>
      <c r="M248" s="178" cm="1">
        <f t="array" aca="1" ref="M248" ca="1">INDEX( 'Eléments de constr. inté. et ex'!G:G, $F247)</f>
        <v>2</v>
      </c>
      <c r="N248" s="999" cm="1">
        <f t="array" aca="1" ref="N248" ca="1">IFERROR(INDEX('Eléments de constr. inté. et ex'!L:L, $F247)*$K248/$M248,0)/$I$1</f>
        <v>1.2401378238341971</v>
      </c>
      <c r="O248" s="996">
        <f t="shared" ca="1" si="231"/>
        <v>0</v>
      </c>
      <c r="P248" s="996">
        <f t="shared" ca="1" si="231"/>
        <v>1.3481932435233164</v>
      </c>
      <c r="Q248" s="275" cm="1">
        <f t="array" aca="1" ref="Q248" ca="1">_xlfn.SWITCH(L248,Q$3,N248+R248,O$3,O248,0)</f>
        <v>0</v>
      </c>
      <c r="R248" s="999" cm="1">
        <f t="array" aca="1" ref="R248" ca="1">IFERROR(INDEX('Eléments de constr. inté. et ex'!M:M, $F247)*$K248/$M248,0)/$I$1</f>
        <v>0.10805541968911918</v>
      </c>
      <c r="S248" s="997">
        <f ca="1">SUM(N248:R248)</f>
        <v>2.6963864870466328</v>
      </c>
      <c r="T248" s="996" cm="1">
        <f t="array" aca="1" ref="T248" ca="1">IFERROR(INDEX('Eléments de constr. inté. et ex'!N:N, $F247)*$K248/$M248,0)/$I$1</f>
        <v>0</v>
      </c>
    </row>
    <row r="249" spans="2:20" ht="15.75" hidden="1" outlineLevel="1">
      <c r="B249" s="1536"/>
      <c r="C249" s="1539"/>
      <c r="D249" s="178"/>
      <c r="E249" s="178"/>
      <c r="F249" s="178">
        <f t="shared" ca="1" si="230"/>
        <v>2</v>
      </c>
      <c r="G249" s="178" cm="1">
        <f t="array" aca="1" ref="G249" ca="1">INDEX( 'Eléments de constr. inté. et ex'!C:C, $F248)</f>
        <v>0</v>
      </c>
      <c r="H249" s="178" cm="1">
        <f t="array" aca="1" ref="H249" ca="1">INDEX( 'Eléments de constr. inté. et ex'!D:D, $F248)</f>
        <v>0</v>
      </c>
      <c r="I249" s="178" cm="1">
        <f t="array" aca="1" ref="I249" ca="1">INDEX( 'Eléments de constr. inté. et ex'!F:F, $F248)</f>
        <v>0</v>
      </c>
      <c r="J249" s="178">
        <f ca="1">_xlfn.XLOOKUP($I249,'Baumaterialien Matériaux'!A:A,'Baumaterialien Matériaux'!G:G,0,0)</f>
        <v>0</v>
      </c>
      <c r="K249" s="286">
        <f ca="1">M249*$K$245</f>
        <v>0</v>
      </c>
      <c r="L249" s="178" cm="1">
        <f t="array" aca="1" ref="L249" ca="1">INDEX( 'Eléments de constr. inté. et ex'!I:I, $F248)</f>
        <v>30</v>
      </c>
      <c r="M249" s="178" cm="1">
        <f t="array" aca="1" ref="M249" ca="1">INDEX( 'Eléments de constr. inté. et ex'!G:G, $F248)</f>
        <v>0</v>
      </c>
      <c r="N249" s="999" cm="1">
        <f t="array" aca="1" ref="N249" ca="1">IFERROR(INDEX('Eléments de constr. inté. et ex'!L:L, $F248)*$K249/$M249,0)/$I$1</f>
        <v>0</v>
      </c>
      <c r="O249" s="996">
        <f t="shared" ca="1" si="231"/>
        <v>0</v>
      </c>
      <c r="P249" s="996">
        <f t="shared" ca="1" si="231"/>
        <v>0</v>
      </c>
      <c r="Q249" s="275" cm="1">
        <f t="array" aca="1" ref="Q249" ca="1">_xlfn.SWITCH(L249,Q$3,N249+R249,O$3,O249,0)</f>
        <v>0</v>
      </c>
      <c r="R249" s="999" cm="1">
        <f t="array" aca="1" ref="R249" ca="1">IFERROR(INDEX('Eléments de constr. inté. et ex'!M:M, $F248)*$K249/$M249,0)/$I$1</f>
        <v>0</v>
      </c>
      <c r="S249" s="997">
        <f ca="1">SUM(N249:R249)</f>
        <v>0</v>
      </c>
      <c r="T249" s="996" cm="1">
        <f t="array" aca="1" ref="T249" ca="1">IFERROR(INDEX('Eléments de constr. inté. et ex'!N:N, $F248)*$K249/$M249,0)/$I$1</f>
        <v>0</v>
      </c>
    </row>
    <row r="250" spans="2:20" ht="15.75" hidden="1" outlineLevel="1">
      <c r="B250" s="1536"/>
      <c r="C250" s="1540"/>
      <c r="D250" s="178"/>
      <c r="E250" s="178"/>
      <c r="F250" s="178">
        <f t="shared" ca="1" si="230"/>
        <v>2</v>
      </c>
      <c r="G250" s="178" cm="1">
        <f t="array" aca="1" ref="G250" ca="1">INDEX( 'Eléments de constr. inté. et ex'!C:C, $F249)</f>
        <v>0</v>
      </c>
      <c r="H250" s="178" cm="1">
        <f t="array" aca="1" ref="H250" ca="1">INDEX( 'Eléments de constr. inté. et ex'!D:D, $F249)</f>
        <v>0</v>
      </c>
      <c r="I250" s="178" cm="1">
        <f t="array" aca="1" ref="I250" ca="1">INDEX( 'Eléments de constr. inté. et ex'!F:F, $F249)</f>
        <v>0</v>
      </c>
      <c r="J250" s="178">
        <f ca="1">_xlfn.XLOOKUP($I250,'Baumaterialien Matériaux'!A:A,'Baumaterialien Matériaux'!G:G,0,0)</f>
        <v>0</v>
      </c>
      <c r="K250" s="286">
        <f t="shared" ca="1" si="232"/>
        <v>0</v>
      </c>
      <c r="L250" s="178" cm="1">
        <f t="array" aca="1" ref="L250" ca="1">INDEX( 'Eléments de constr. inté. et ex'!I:I, $F249)</f>
        <v>0</v>
      </c>
      <c r="M250" s="178" cm="1">
        <f t="array" aca="1" ref="M250" ca="1">INDEX( 'Eléments de constr. inté. et ex'!G:G, $F249)</f>
        <v>0</v>
      </c>
      <c r="N250" s="999" cm="1">
        <f t="array" aca="1" ref="N250" ca="1">IFERROR(INDEX('Eléments de constr. inté. et ex'!L:L, $F249)*$K250/$M250,0)/$I$1</f>
        <v>0</v>
      </c>
      <c r="O250" s="996">
        <f t="shared" ca="1" si="231"/>
        <v>0</v>
      </c>
      <c r="P250" s="996">
        <f t="shared" ca="1" si="231"/>
        <v>0</v>
      </c>
      <c r="Q250" s="275" cm="1">
        <f t="array" aca="1" ref="Q250" ca="1">_xlfn.SWITCH(L250,Q$3,N250+R250,O$3,O250,0)</f>
        <v>0</v>
      </c>
      <c r="R250" s="999" cm="1">
        <f t="array" aca="1" ref="R250" ca="1">IFERROR(INDEX('Eléments de constr. inté. et ex'!M:M, $F249)*$K250/$M250,0)/$I$1</f>
        <v>0</v>
      </c>
      <c r="S250" s="997">
        <f ca="1">SUM(N250:R250)</f>
        <v>0</v>
      </c>
      <c r="T250" s="996" cm="1">
        <f t="array" aca="1" ref="T250" ca="1">IFERROR(INDEX('Eléments de constr. inté. et ex'!N:N, $F249)*$K250/$M250,0)/$I$1</f>
        <v>0</v>
      </c>
    </row>
    <row r="251" spans="2:20" ht="15.75" collapsed="1">
      <c r="B251" s="1536"/>
      <c r="C251" s="1538" t="str">
        <f>'Outil détaillé'!C57</f>
        <v>G04</v>
      </c>
      <c r="D251" s="177" t="str">
        <f>'Outil détaillé'!D57</f>
        <v>Revetements plafonds</v>
      </c>
      <c r="E251" s="177"/>
      <c r="F251" s="177">
        <f>MATCH(D251, 'Eléments de constr. inté. et ex'!B:B,0)</f>
        <v>165</v>
      </c>
      <c r="G251" s="177"/>
      <c r="H251" s="177"/>
      <c r="I251" s="177"/>
      <c r="J251" s="177"/>
      <c r="K251" s="289"/>
      <c r="L251" s="288"/>
      <c r="M251" s="288"/>
      <c r="N251" s="993">
        <f t="shared" ref="N251" ca="1" si="233">N252+N257</f>
        <v>4.6392510000000007</v>
      </c>
      <c r="O251" s="993">
        <f t="shared" ref="O251:T251" ca="1" si="234">O252+O257</f>
        <v>0</v>
      </c>
      <c r="P251" s="993">
        <f t="shared" ca="1" si="234"/>
        <v>5.0409185000000001</v>
      </c>
      <c r="Q251" s="993">
        <f t="shared" ca="1" si="234"/>
        <v>0</v>
      </c>
      <c r="R251" s="993">
        <f t="shared" ca="1" si="234"/>
        <v>0.40166750000000001</v>
      </c>
      <c r="S251" s="993">
        <f t="shared" ca="1" si="234"/>
        <v>10.081837</v>
      </c>
      <c r="T251" s="1053">
        <f t="shared" ca="1" si="234"/>
        <v>3.6390566666666659</v>
      </c>
    </row>
    <row r="252" spans="2:20" ht="15.75">
      <c r="B252" s="1536"/>
      <c r="C252" s="1539"/>
      <c r="D252" s="181" t="str">
        <f>'Outil détaillé'!D58</f>
        <v>Plafonds dernier étage</v>
      </c>
      <c r="E252" s="179" t="str">
        <f>'Outil détaillé'!E58</f>
        <v>Enduit en plâtre et chaux, avec sous construction</v>
      </c>
      <c r="F252" s="928">
        <f ca="1">MATCH(E252, INDIRECT("'Eléments de constr. inté. et ex'!A"&amp;F251+1&amp;":A500"),0)+F251</f>
        <v>171</v>
      </c>
      <c r="G252" s="179"/>
      <c r="H252" s="179"/>
      <c r="I252" s="179"/>
      <c r="J252" s="179" t="s">
        <v>97</v>
      </c>
      <c r="K252" s="294">
        <f>'Outil détaillé'!J58</f>
        <v>321.66666666666669</v>
      </c>
      <c r="L252" s="295"/>
      <c r="M252" s="295"/>
      <c r="N252" s="994">
        <f t="shared" ref="N252" ca="1" si="235">SUM(N253:N256)</f>
        <v>1.5464170000000002</v>
      </c>
      <c r="O252" s="994">
        <f t="shared" ref="O252:T252" ca="1" si="236">SUM(O253:O256)</f>
        <v>0</v>
      </c>
      <c r="P252" s="994">
        <f t="shared" ca="1" si="236"/>
        <v>1.6803061666666668</v>
      </c>
      <c r="Q252" s="994">
        <f t="shared" ca="1" si="236"/>
        <v>0</v>
      </c>
      <c r="R252" s="994">
        <f t="shared" ca="1" si="236"/>
        <v>0.13388916666666667</v>
      </c>
      <c r="S252" s="994">
        <f t="shared" ca="1" si="236"/>
        <v>3.3606123333333331</v>
      </c>
      <c r="T252" s="1054">
        <f t="shared" ca="1" si="236"/>
        <v>1.2130188888888886</v>
      </c>
    </row>
    <row r="253" spans="2:20" ht="15.75" hidden="1" outlineLevel="1">
      <c r="B253" s="1536"/>
      <c r="C253" s="1539"/>
      <c r="D253" s="178"/>
      <c r="E253" s="178"/>
      <c r="F253" s="178">
        <f t="shared" ref="F253" ca="1" si="237">IF(I253=0,2,F252+1)</f>
        <v>172</v>
      </c>
      <c r="G253" s="178" t="str" cm="1">
        <f t="array" aca="1" ref="G253" ca="1">INDEX( 'Eléments de constr. inté. et ex'!C:C, $F252)</f>
        <v>Nadelschnittholz [kg]</v>
      </c>
      <c r="H253" s="178" t="str" cm="1">
        <f t="array" aca="1" ref="H253" ca="1">INDEX( 'Eléments de constr. inté. et ex'!D:D, $F252)</f>
        <v>Bois massif épicéa / sapin / mélèze, séché à l'air, brut</v>
      </c>
      <c r="I253" s="178" t="str" cm="1">
        <f t="array" aca="1" ref="I253" ca="1">INDEX( 'Eléments de constr. inté. et ex'!F:F, $F252)</f>
        <v>07.009</v>
      </c>
      <c r="J253" s="178" t="str">
        <f ca="1">_xlfn.XLOOKUP($I253,'Baumaterialien Matériaux'!A:A,'Baumaterialien Matériaux'!G:G,0,0)</f>
        <v>kg</v>
      </c>
      <c r="K253" s="286">
        <f ca="1">M253*$K$252</f>
        <v>624.0333333333333</v>
      </c>
      <c r="L253" s="178" cm="1">
        <f t="array" aca="1" ref="L253" ca="1">INDEX( 'Eléments de constr. inté. et ex'!I:I, $F252)</f>
        <v>30</v>
      </c>
      <c r="M253" s="178" cm="1">
        <f t="array" aca="1" ref="M253" ca="1">INDEX( 'Eléments de constr. inté. et ex'!G:G, $F252)</f>
        <v>1.94</v>
      </c>
      <c r="N253" s="999" cm="1">
        <f t="array" aca="1" ref="N253" ca="1">IFERROR(INDEX('Eléments de constr. inté. et ex'!L:L, $F252)*$K253/$M253,0)/$I$1</f>
        <v>5.8458666666666659E-2</v>
      </c>
      <c r="O253" s="996">
        <f t="shared" ref="O253:P256" ca="1" si="238">IF($L253=O$3,$N253+$R253,0)</f>
        <v>0</v>
      </c>
      <c r="P253" s="996">
        <f t="shared" ca="1" si="238"/>
        <v>8.3678666666666651E-2</v>
      </c>
      <c r="Q253" s="275" cm="1">
        <f t="array" aca="1" ref="Q253" ca="1">_xlfn.SWITCH(L253,Q$3,N253+R253,O$3,O253,0)</f>
        <v>0</v>
      </c>
      <c r="R253" s="999" cm="1">
        <f t="array" aca="1" ref="R253" ca="1">IFERROR(INDEX('Eléments de constr. inté. et ex'!M:M, $F252)*$K253/$M253,0)/$I$1</f>
        <v>2.5219999999999999E-2</v>
      </c>
      <c r="S253" s="997">
        <f ca="1">SUM(N253:R253)</f>
        <v>0.1673573333333333</v>
      </c>
      <c r="T253" s="996" cm="1">
        <f t="array" aca="1" ref="T253" ca="1">IFERROR(INDEX('Eléments de constr. inté. et ex'!N:N, $F252)*$K253/$M253,0)/$I$1</f>
        <v>0.97926888888888874</v>
      </c>
    </row>
    <row r="254" spans="2:20" ht="15.75" hidden="1" outlineLevel="1">
      <c r="B254" s="1536"/>
      <c r="C254" s="1539"/>
      <c r="D254" s="178"/>
      <c r="E254" s="178"/>
      <c r="F254" s="178">
        <f t="shared" ref="F254:F255" ca="1" si="239">IF(I254=0,2,F253+1)</f>
        <v>173</v>
      </c>
      <c r="G254" s="178" t="str" cm="1">
        <f t="array" aca="1" ref="G254" ca="1">INDEX( 'Eléments de constr. inté. et ex'!C:C, $F253)</f>
        <v>Gipskartonplatte [kg]</v>
      </c>
      <c r="H254" s="178" t="str" cm="1">
        <f t="array" aca="1" ref="H254" ca="1">INDEX( 'Eléments de constr. inté. et ex'!D:D, $F253)</f>
        <v>Plaque de plâtre cartonnée</v>
      </c>
      <c r="I254" s="178" t="str" cm="1">
        <f t="array" aca="1" ref="I254" ca="1">INDEX( 'Eléments de constr. inté. et ex'!F:F, $F253)</f>
        <v>03.008</v>
      </c>
      <c r="J254" s="178" t="str">
        <f ca="1">_xlfn.XLOOKUP($I254,'Baumaterialien Matériaux'!A:A,'Baumaterialien Matériaux'!G:G,0,0)</f>
        <v>kg</v>
      </c>
      <c r="K254" s="286">
        <f t="shared" ref="K254:K256" ca="1" si="240">M254*$K$252</f>
        <v>3417.7083333333335</v>
      </c>
      <c r="L254" s="178" cm="1">
        <f t="array" aca="1" ref="L254" ca="1">INDEX( 'Eléments de constr. inté. et ex'!I:I, $F253)</f>
        <v>30</v>
      </c>
      <c r="M254" s="178" cm="1">
        <f t="array" aca="1" ref="M254" ca="1">INDEX( 'Eléments de constr. inté. et ex'!G:G, $F253)</f>
        <v>10.625</v>
      </c>
      <c r="N254" s="999" cm="1">
        <f t="array" aca="1" ref="N254" ca="1">IFERROR(INDEX('Eléments de constr. inté. et ex'!L:L, $F253)*$K254/$M254,0)/$I$1</f>
        <v>1.0022916666666666</v>
      </c>
      <c r="O254" s="996">
        <f t="shared" ca="1" si="238"/>
        <v>0</v>
      </c>
      <c r="P254" s="996">
        <f t="shared" ca="1" si="238"/>
        <v>1.0685208333333334</v>
      </c>
      <c r="Q254" s="275" cm="1">
        <f t="array" aca="1" ref="Q254" ca="1">_xlfn.SWITCH(L254,Q$3,N254+R254,O$3,O254,0)</f>
        <v>0</v>
      </c>
      <c r="R254" s="999" cm="1">
        <f t="array" aca="1" ref="R254" ca="1">IFERROR(INDEX('Eléments de constr. inté. et ex'!M:M, $F253)*$K254/$M254,0)/$I$1</f>
        <v>6.6229166666666672E-2</v>
      </c>
      <c r="S254" s="997">
        <f ca="1">SUM(N254:R254)</f>
        <v>2.1370416666666663</v>
      </c>
      <c r="T254" s="996" cm="1">
        <f t="array" aca="1" ref="T254" ca="1">IFERROR(INDEX('Eléments de constr. inté. et ex'!N:N, $F253)*$K254/$M254,0)/$I$1</f>
        <v>0.23374999999999999</v>
      </c>
    </row>
    <row r="255" spans="2:20" ht="15.75" hidden="1" outlineLevel="1">
      <c r="B255" s="1536"/>
      <c r="C255" s="1539"/>
      <c r="D255" s="178"/>
      <c r="E255" s="178"/>
      <c r="F255" s="178">
        <f t="shared" ca="1" si="239"/>
        <v>174</v>
      </c>
      <c r="G255" s="178" t="str" cm="1">
        <f t="array" aca="1" ref="G255" ca="1">INDEX( 'Eléments de constr. inté. et ex'!C:C, $F254)</f>
        <v>Spachtel [kg]</v>
      </c>
      <c r="H255" s="178" t="str" cm="1">
        <f t="array" aca="1" ref="H255" ca="1">INDEX( 'Eléments de constr. inté. et ex'!D:D, $F254)</f>
        <v>Enduit en plâtre et chaux</v>
      </c>
      <c r="I255" s="178" t="str" cm="1">
        <f t="array" aca="1" ref="I255" ca="1">INDEX( 'Eléments de constr. inté. et ex'!F:F, $F254)</f>
        <v>04.017</v>
      </c>
      <c r="J255" s="178" t="str">
        <f ca="1">_xlfn.XLOOKUP($I255,'Baumaterialien Matériaux'!A:A,'Baumaterialien Matériaux'!G:G,0,0)</f>
        <v>kg</v>
      </c>
      <c r="K255" s="286">
        <f t="shared" ca="1" si="240"/>
        <v>1801.3333333333337</v>
      </c>
      <c r="L255" s="178" cm="1">
        <f t="array" aca="1" ref="L255" ca="1">INDEX( 'Eléments de constr. inté. et ex'!I:I, $F254)</f>
        <v>30</v>
      </c>
      <c r="M255" s="178" cm="1">
        <f t="array" aca="1" ref="M255" ca="1">INDEX( 'Eléments de constr. inté. et ex'!G:G, $F254)</f>
        <v>5.6000000000000005</v>
      </c>
      <c r="N255" s="999" cm="1">
        <f t="array" aca="1" ref="N255" ca="1">IFERROR(INDEX('Eléments de constr. inté. et ex'!L:L, $F254)*$K255/$M255,0)/$I$1</f>
        <v>0.27066666666666672</v>
      </c>
      <c r="O255" s="996">
        <f t="shared" ca="1" si="238"/>
        <v>0</v>
      </c>
      <c r="P255" s="996">
        <f t="shared" ca="1" si="238"/>
        <v>0.29437333333333338</v>
      </c>
      <c r="Q255" s="275" cm="1">
        <f t="array" aca="1" ref="Q255" ca="1">_xlfn.SWITCH(L255,Q$3,N255+R255,O$3,O255,0)</f>
        <v>0</v>
      </c>
      <c r="R255" s="999" cm="1">
        <f t="array" aca="1" ref="R255" ca="1">IFERROR(INDEX('Eléments de constr. inté. et ex'!M:M, $F254)*$K255/$M255,0)/$I$1</f>
        <v>2.3706666666666671E-2</v>
      </c>
      <c r="S255" s="997">
        <f ca="1">SUM(N255:R255)</f>
        <v>0.58874666666666675</v>
      </c>
      <c r="T255" s="996" cm="1">
        <f t="array" aca="1" ref="T255" ca="1">IFERROR(INDEX('Eléments de constr. inté. et ex'!N:N, $F254)*$K255/$M255,0)/$I$1</f>
        <v>0</v>
      </c>
    </row>
    <row r="256" spans="2:20" ht="15.75" hidden="1" outlineLevel="1">
      <c r="B256" s="1536"/>
      <c r="C256" s="1539"/>
      <c r="D256" s="178"/>
      <c r="E256" s="178"/>
      <c r="F256" s="178">
        <f t="shared" ref="F256" ca="1" si="241">IF(I256=0,2,F255+1)</f>
        <v>175</v>
      </c>
      <c r="G256" s="178" t="str" cm="1">
        <f t="array" aca="1" ref="G256" ca="1">INDEX( 'Eléments de constr. inté. et ex'!C:C, $F255)</f>
        <v>Wanddispersion [m2]</v>
      </c>
      <c r="H256" s="178" t="str" cm="1">
        <f t="array" aca="1" ref="H256" ca="1">INDEX( 'Eléments de constr. inté. et ex'!D:D, $F255)</f>
        <v>Enduit, diluable à l'eau, 2 couches</v>
      </c>
      <c r="I256" s="178" t="str" cm="1">
        <f t="array" aca="1" ref="I256" ca="1">INDEX( 'Eléments de constr. inté. et ex'!F:F, $F255)</f>
        <v>14.001</v>
      </c>
      <c r="J256" s="178" t="str">
        <f ca="1">_xlfn.XLOOKUP($I256,'Baumaterialien Matériaux'!A:A,'Baumaterialien Matériaux'!G:G,0,0)</f>
        <v>m2</v>
      </c>
      <c r="K256" s="286">
        <f t="shared" ca="1" si="240"/>
        <v>321.66666666666669</v>
      </c>
      <c r="L256" s="178" cm="1">
        <f t="array" aca="1" ref="L256" ca="1">INDEX( 'Eléments de constr. inté. et ex'!I:I, $F255)</f>
        <v>30</v>
      </c>
      <c r="M256" s="178" cm="1">
        <f t="array" aca="1" ref="M256" ca="1">INDEX( 'Eléments de constr. inté. et ex'!G:G, $F255)</f>
        <v>1</v>
      </c>
      <c r="N256" s="999" cm="1">
        <f t="array" aca="1" ref="N256" ca="1">IFERROR(INDEX('Eléments de constr. inté. et ex'!L:L, $F255)*$K256/$M256,0)/$I$1</f>
        <v>0.21500000000000002</v>
      </c>
      <c r="O256" s="996">
        <f t="shared" ca="1" si="238"/>
        <v>0</v>
      </c>
      <c r="P256" s="996">
        <f t="shared" ca="1" si="238"/>
        <v>0.23373333333333335</v>
      </c>
      <c r="Q256" s="275" cm="1">
        <f t="array" aca="1" ref="Q256" ca="1">_xlfn.SWITCH(L256,Q$3,N256+R256,O$3,O256,0)</f>
        <v>0</v>
      </c>
      <c r="R256" s="999" cm="1">
        <f t="array" aca="1" ref="R256" ca="1">IFERROR(INDEX('Eléments de constr. inté. et ex'!M:M, $F255)*$K256/$M256,0)/$I$1</f>
        <v>1.8733333333333334E-2</v>
      </c>
      <c r="S256" s="997">
        <f ca="1">SUM(N256:R256)</f>
        <v>0.4674666666666667</v>
      </c>
      <c r="T256" s="996" cm="1">
        <f t="array" aca="1" ref="T256" ca="1">IFERROR(INDEX('Eléments de constr. inté. et ex'!N:N, $F255)*$K256/$M256,0)/$I$1</f>
        <v>0</v>
      </c>
    </row>
    <row r="257" spans="2:20" ht="16.5" collapsed="1" thickBot="1">
      <c r="B257" s="1536"/>
      <c r="C257" s="1539"/>
      <c r="D257" s="181" t="str">
        <f>'Outil détaillé'!D59</f>
        <v>Plafonds inter-étage</v>
      </c>
      <c r="E257" s="179" t="str">
        <f>'Outil détaillé'!E59</f>
        <v>Enduit en plâtre et chaux, avec sous construction</v>
      </c>
      <c r="F257" s="928">
        <f ca="1">MATCH(E257, INDIRECT("'Eléments de constr. inté. et ex'!A"&amp;F251+1&amp;":A500"),0)+F251</f>
        <v>171</v>
      </c>
      <c r="G257" s="179"/>
      <c r="H257" s="179"/>
      <c r="I257" s="179"/>
      <c r="J257" s="179" t="s">
        <v>97</v>
      </c>
      <c r="K257" s="294">
        <f>'Outil détaillé'!J59</f>
        <v>643.33333333333337</v>
      </c>
      <c r="L257" s="295"/>
      <c r="M257" s="295"/>
      <c r="N257" s="994">
        <f t="shared" ref="N257" ca="1" si="242">SUM(N258:N261)</f>
        <v>3.0928340000000003</v>
      </c>
      <c r="O257" s="994">
        <f t="shared" ref="O257:T257" ca="1" si="243">SUM(O258:O261)</f>
        <v>0</v>
      </c>
      <c r="P257" s="994">
        <f t="shared" ca="1" si="243"/>
        <v>3.3606123333333335</v>
      </c>
      <c r="Q257" s="994">
        <f t="shared" ca="1" si="243"/>
        <v>0</v>
      </c>
      <c r="R257" s="994">
        <f t="shared" ca="1" si="243"/>
        <v>0.26777833333333334</v>
      </c>
      <c r="S257" s="994">
        <f t="shared" ca="1" si="243"/>
        <v>6.7212246666666662</v>
      </c>
      <c r="T257" s="1054">
        <f t="shared" ca="1" si="243"/>
        <v>2.4260377777777773</v>
      </c>
    </row>
    <row r="258" spans="2:20" ht="16.5" hidden="1" outlineLevel="1" thickBot="1">
      <c r="B258" s="1536"/>
      <c r="C258" s="1539"/>
      <c r="D258" s="178"/>
      <c r="E258" s="178"/>
      <c r="F258" s="178">
        <f t="shared" ref="F258:F261" ca="1" si="244">IF(I258=0,2,F257+1)</f>
        <v>172</v>
      </c>
      <c r="G258" s="178" t="str" cm="1">
        <f t="array" aca="1" ref="G258" ca="1">INDEX( 'Eléments de constr. inté. et ex'!C:C, $F257)</f>
        <v>Nadelschnittholz [kg]</v>
      </c>
      <c r="H258" s="178" t="str" cm="1">
        <f t="array" aca="1" ref="H258" ca="1">INDEX( 'Eléments de constr. inté. et ex'!D:D, $F257)</f>
        <v>Bois massif épicéa / sapin / mélèze, séché à l'air, brut</v>
      </c>
      <c r="I258" s="178" t="str" cm="1">
        <f t="array" aca="1" ref="I258" ca="1">INDEX( 'Eléments de constr. inté. et ex'!F:F, $F257)</f>
        <v>07.009</v>
      </c>
      <c r="J258" s="178" t="str">
        <f ca="1">_xlfn.XLOOKUP($I258,'Baumaterialien Matériaux'!A:A,'Baumaterialien Matériaux'!G:G,0,0)</f>
        <v>kg</v>
      </c>
      <c r="K258" s="286">
        <f ca="1">M258*$K$257</f>
        <v>1248.0666666666666</v>
      </c>
      <c r="L258" s="178" cm="1">
        <f t="array" aca="1" ref="L258" ca="1">INDEX( 'Eléments de constr. inté. et ex'!I:I, $F257)</f>
        <v>30</v>
      </c>
      <c r="M258" s="178" cm="1">
        <f t="array" aca="1" ref="M258" ca="1">INDEX( 'Eléments de constr. inté. et ex'!G:G, $F257)</f>
        <v>1.94</v>
      </c>
      <c r="N258" s="999" cm="1">
        <f t="array" aca="1" ref="N258" ca="1">IFERROR(INDEX('Eléments de constr. inté. et ex'!L:L, $F257)*$K258/$M258,0)/$I$1</f>
        <v>0.11691733333333332</v>
      </c>
      <c r="O258" s="996">
        <f t="shared" ref="O258:P261" ca="1" si="245">IF($L258=O$3,$N258+$R258,0)</f>
        <v>0</v>
      </c>
      <c r="P258" s="996">
        <f t="shared" ca="1" si="245"/>
        <v>0.1673573333333333</v>
      </c>
      <c r="Q258" s="275" cm="1">
        <f t="array" aca="1" ref="Q258" ca="1">_xlfn.SWITCH(L258,Q$3,N258+R258,O$3,O258,0)</f>
        <v>0</v>
      </c>
      <c r="R258" s="999" cm="1">
        <f t="array" aca="1" ref="R258" ca="1">IFERROR(INDEX('Eléments de constr. inté. et ex'!M:M, $F257)*$K258/$M258,0)/$I$1</f>
        <v>5.0439999999999999E-2</v>
      </c>
      <c r="S258" s="997">
        <f ca="1">SUM(N258:R258)</f>
        <v>0.3347146666666666</v>
      </c>
      <c r="T258" s="996" cm="1">
        <f t="array" aca="1" ref="T258" ca="1">IFERROR(INDEX('Eléments de constr. inté. et ex'!N:N, $F257)*$K258/$M258,0)/$I$1</f>
        <v>1.9585377777777775</v>
      </c>
    </row>
    <row r="259" spans="2:20" ht="16.5" hidden="1" outlineLevel="1" thickBot="1">
      <c r="B259" s="1536"/>
      <c r="C259" s="1539"/>
      <c r="D259" s="178"/>
      <c r="E259" s="178"/>
      <c r="F259" s="178">
        <f t="shared" ca="1" si="244"/>
        <v>173</v>
      </c>
      <c r="G259" s="178" t="str" cm="1">
        <f t="array" aca="1" ref="G259" ca="1">INDEX( 'Eléments de constr. inté. et ex'!C:C, $F258)</f>
        <v>Gipskartonplatte [kg]</v>
      </c>
      <c r="H259" s="178" t="str" cm="1">
        <f t="array" aca="1" ref="H259" ca="1">INDEX( 'Eléments de constr. inté. et ex'!D:D, $F258)</f>
        <v>Plaque de plâtre cartonnée</v>
      </c>
      <c r="I259" s="178" t="str" cm="1">
        <f t="array" aca="1" ref="I259" ca="1">INDEX( 'Eléments de constr. inté. et ex'!F:F, $F258)</f>
        <v>03.008</v>
      </c>
      <c r="J259" s="178" t="str">
        <f ca="1">_xlfn.XLOOKUP($I259,'Baumaterialien Matériaux'!A:A,'Baumaterialien Matériaux'!G:G,0,0)</f>
        <v>kg</v>
      </c>
      <c r="K259" s="286">
        <f t="shared" ref="K259:K261" ca="1" si="246">M259*$K$257</f>
        <v>6835.416666666667</v>
      </c>
      <c r="L259" s="178" cm="1">
        <f t="array" aca="1" ref="L259" ca="1">INDEX( 'Eléments de constr. inté. et ex'!I:I, $F258)</f>
        <v>30</v>
      </c>
      <c r="M259" s="178" cm="1">
        <f t="array" aca="1" ref="M259" ca="1">INDEX( 'Eléments de constr. inté. et ex'!G:G, $F258)</f>
        <v>10.625</v>
      </c>
      <c r="N259" s="999" cm="1">
        <f t="array" aca="1" ref="N259" ca="1">IFERROR(INDEX('Eléments de constr. inté. et ex'!L:L, $F258)*$K259/$M259,0)/$I$1</f>
        <v>2.0045833333333332</v>
      </c>
      <c r="O259" s="996">
        <f t="shared" ca="1" si="245"/>
        <v>0</v>
      </c>
      <c r="P259" s="996">
        <f t="shared" ca="1" si="245"/>
        <v>2.1370416666666667</v>
      </c>
      <c r="Q259" s="275" cm="1">
        <f t="array" aca="1" ref="Q259" ca="1">_xlfn.SWITCH(L259,Q$3,N259+R259,O$3,O259,0)</f>
        <v>0</v>
      </c>
      <c r="R259" s="999" cm="1">
        <f t="array" aca="1" ref="R259" ca="1">IFERROR(INDEX('Eléments de constr. inté. et ex'!M:M, $F258)*$K259/$M259,0)/$I$1</f>
        <v>0.13245833333333334</v>
      </c>
      <c r="S259" s="997">
        <f ca="1">SUM(N259:R259)</f>
        <v>4.2740833333333326</v>
      </c>
      <c r="T259" s="996" cm="1">
        <f t="array" aca="1" ref="T259" ca="1">IFERROR(INDEX('Eléments de constr. inté. et ex'!N:N, $F258)*$K259/$M259,0)/$I$1</f>
        <v>0.46749999999999997</v>
      </c>
    </row>
    <row r="260" spans="2:20" ht="16.5" hidden="1" outlineLevel="1" thickBot="1">
      <c r="B260" s="1536"/>
      <c r="C260" s="1539"/>
      <c r="D260" s="178"/>
      <c r="E260" s="178"/>
      <c r="F260" s="178">
        <f t="shared" ca="1" si="244"/>
        <v>174</v>
      </c>
      <c r="G260" s="178" t="str" cm="1">
        <f t="array" aca="1" ref="G260" ca="1">INDEX( 'Eléments de constr. inté. et ex'!C:C, $F259)</f>
        <v>Spachtel [kg]</v>
      </c>
      <c r="H260" s="178" t="str" cm="1">
        <f t="array" aca="1" ref="H260" ca="1">INDEX( 'Eléments de constr. inté. et ex'!D:D, $F259)</f>
        <v>Enduit en plâtre et chaux</v>
      </c>
      <c r="I260" s="178" t="str" cm="1">
        <f t="array" aca="1" ref="I260" ca="1">INDEX( 'Eléments de constr. inté. et ex'!F:F, $F259)</f>
        <v>04.017</v>
      </c>
      <c r="J260" s="178" t="str">
        <f ca="1">_xlfn.XLOOKUP($I260,'Baumaterialien Matériaux'!A:A,'Baumaterialien Matériaux'!G:G,0,0)</f>
        <v>kg</v>
      </c>
      <c r="K260" s="286">
        <f t="shared" ca="1" si="246"/>
        <v>3602.6666666666674</v>
      </c>
      <c r="L260" s="178" cm="1">
        <f t="array" aca="1" ref="L260" ca="1">INDEX( 'Eléments de constr. inté. et ex'!I:I, $F259)</f>
        <v>30</v>
      </c>
      <c r="M260" s="178" cm="1">
        <f t="array" aca="1" ref="M260" ca="1">INDEX( 'Eléments de constr. inté. et ex'!G:G, $F259)</f>
        <v>5.6000000000000005</v>
      </c>
      <c r="N260" s="999" cm="1">
        <f t="array" aca="1" ref="N260" ca="1">IFERROR(INDEX('Eléments de constr. inté. et ex'!L:L, $F259)*$K260/$M260,0)/$I$1</f>
        <v>0.54133333333333344</v>
      </c>
      <c r="O260" s="996">
        <f t="shared" ca="1" si="245"/>
        <v>0</v>
      </c>
      <c r="P260" s="996">
        <f t="shared" ca="1" si="245"/>
        <v>0.58874666666666675</v>
      </c>
      <c r="Q260" s="275" cm="1">
        <f t="array" aca="1" ref="Q260" ca="1">_xlfn.SWITCH(L260,Q$3,N260+R260,O$3,O260,0)</f>
        <v>0</v>
      </c>
      <c r="R260" s="999" cm="1">
        <f t="array" aca="1" ref="R260" ca="1">IFERROR(INDEX('Eléments de constr. inté. et ex'!M:M, $F259)*$K260/$M260,0)/$I$1</f>
        <v>4.7413333333333342E-2</v>
      </c>
      <c r="S260" s="997">
        <f ca="1">SUM(N260:R260)</f>
        <v>1.1774933333333335</v>
      </c>
      <c r="T260" s="996" cm="1">
        <f t="array" aca="1" ref="T260" ca="1">IFERROR(INDEX('Eléments de constr. inté. et ex'!N:N, $F259)*$K260/$M260,0)/$I$1</f>
        <v>0</v>
      </c>
    </row>
    <row r="261" spans="2:20" ht="16.5" hidden="1" outlineLevel="1" thickBot="1">
      <c r="B261" s="1537"/>
      <c r="C261" s="1547"/>
      <c r="D261" s="732"/>
      <c r="E261" s="732"/>
      <c r="F261" s="732">
        <f t="shared" ca="1" si="244"/>
        <v>175</v>
      </c>
      <c r="G261" s="732" t="str" cm="1">
        <f t="array" aca="1" ref="G261" ca="1">INDEX( 'Eléments de constr. inté. et ex'!C:C, $F260)</f>
        <v>Wanddispersion [m2]</v>
      </c>
      <c r="H261" s="732" t="str" cm="1">
        <f t="array" aca="1" ref="H261" ca="1">INDEX( 'Eléments de constr. inté. et ex'!D:D, $F260)</f>
        <v>Enduit, diluable à l'eau, 2 couches</v>
      </c>
      <c r="I261" s="732" t="str" cm="1">
        <f t="array" aca="1" ref="I261" ca="1">INDEX( 'Eléments de constr. inté. et ex'!F:F, $F260)</f>
        <v>14.001</v>
      </c>
      <c r="J261" s="732" t="str">
        <f ca="1">_xlfn.XLOOKUP($I261,'Baumaterialien Matériaux'!A:A,'Baumaterialien Matériaux'!G:G,0,0)</f>
        <v>m2</v>
      </c>
      <c r="K261" s="1264">
        <f t="shared" ca="1" si="246"/>
        <v>643.33333333333337</v>
      </c>
      <c r="L261" s="732" cm="1">
        <f t="array" aca="1" ref="L261" ca="1">INDEX( 'Eléments de constr. inté. et ex'!I:I, $F260)</f>
        <v>30</v>
      </c>
      <c r="M261" s="732" cm="1">
        <f t="array" aca="1" ref="M261" ca="1">INDEX( 'Eléments de constr. inté. et ex'!G:G, $F260)</f>
        <v>1</v>
      </c>
      <c r="N261" s="1265" cm="1">
        <f t="array" aca="1" ref="N261" ca="1">IFERROR(INDEX('Eléments de constr. inté. et ex'!L:L, $F260)*$K261/$M261,0)/$I$1</f>
        <v>0.43000000000000005</v>
      </c>
      <c r="O261" s="1258">
        <f t="shared" ca="1" si="245"/>
        <v>0</v>
      </c>
      <c r="P261" s="1258">
        <f t="shared" ca="1" si="245"/>
        <v>0.4674666666666667</v>
      </c>
      <c r="Q261" s="331" cm="1">
        <f t="array" aca="1" ref="Q261" ca="1">_xlfn.SWITCH(L261,Q$3,N261+R261,O$3,O261,0)</f>
        <v>0</v>
      </c>
      <c r="R261" s="1265" cm="1">
        <f t="array" aca="1" ref="R261" ca="1">IFERROR(INDEX('Eléments de constr. inté. et ex'!M:M, $F260)*$K261/$M261,0)/$I$1</f>
        <v>3.7466666666666669E-2</v>
      </c>
      <c r="S261" s="1266">
        <f ca="1">SUM(N261:R261)</f>
        <v>0.93493333333333339</v>
      </c>
      <c r="T261" s="1258" cm="1">
        <f t="array" aca="1" ref="T261" ca="1">IFERROR(INDEX('Eléments de constr. inté. et ex'!N:N, $F260)*$K261/$M261,0)/$I$1</f>
        <v>0</v>
      </c>
    </row>
    <row r="262" spans="2:20" ht="15.75" customHeight="1" collapsed="1">
      <c r="B262" s="1541" t="s">
        <v>48</v>
      </c>
      <c r="C262" s="1545" t="str">
        <f>'Outil détaillé'!C60</f>
        <v>D01</v>
      </c>
      <c r="D262" s="726" t="str">
        <f>'Outil détaillé'!D60</f>
        <v>Installations électriques</v>
      </c>
      <c r="E262" s="726"/>
      <c r="F262" s="726"/>
      <c r="G262" s="726"/>
      <c r="H262" s="726"/>
      <c r="I262" s="726"/>
      <c r="J262" s="726"/>
      <c r="K262" s="1261"/>
      <c r="L262" s="1254"/>
      <c r="M262" s="1254"/>
      <c r="N262" s="1255">
        <f t="shared" ref="N262" si="247">SUM(N263:N264)</f>
        <v>42.607720207253891</v>
      </c>
      <c r="O262" s="1255">
        <f t="shared" ref="O262:Q262" si="248">SUM(O263:O264)</f>
        <v>0</v>
      </c>
      <c r="P262" s="1255">
        <f t="shared" si="248"/>
        <v>46.027720207253893</v>
      </c>
      <c r="Q262" s="1255">
        <f t="shared" si="248"/>
        <v>0</v>
      </c>
      <c r="R262" s="1255">
        <f>SUM(R263:R264)</f>
        <v>3.42</v>
      </c>
      <c r="S262" s="1255">
        <f>SUM(S263:S264)</f>
        <v>92.055440414507785</v>
      </c>
      <c r="T262" s="1256"/>
    </row>
    <row r="263" spans="2:20" ht="15.75">
      <c r="B263" s="1542"/>
      <c r="C263" s="1546"/>
      <c r="D263" s="178" t="s">
        <v>583</v>
      </c>
      <c r="E263" s="179" t="str">
        <f>'Outil détaillé'!E61</f>
        <v>Installation électriques habitation</v>
      </c>
      <c r="F263" s="179">
        <f>MATCH(E263, Installations!A:A,0)</f>
        <v>3</v>
      </c>
      <c r="G263" s="760" t="str" cm="1">
        <f t="array" ref="G263">INDEX( Installations!B:B, $F263)</f>
        <v>Elektroanlage Wohnen</v>
      </c>
      <c r="H263" s="760" t="str" cm="1">
        <f t="array" ref="H263">INDEX( Installations!D:D, $F263)</f>
        <v>Installation électrique</v>
      </c>
      <c r="I263" s="760" t="str" cm="1">
        <f t="array" ref="I263">INDEX( Installations!F:F, $F263)</f>
        <v>34.001</v>
      </c>
      <c r="J263" s="760" t="s">
        <v>97</v>
      </c>
      <c r="K263" s="764">
        <f>M263*'Outil détaillé'!J61</f>
        <v>965</v>
      </c>
      <c r="L263" s="760" cm="1">
        <f t="array" ref="L263">INDEX( Installations!I:I, $F263)</f>
        <v>30</v>
      </c>
      <c r="M263" s="760" cm="1">
        <f t="array" ref="M263">INDEX( Installations!G:G, $F263)</f>
        <v>1</v>
      </c>
      <c r="N263" s="1000" cm="1">
        <f t="array" ref="N263">INDEX( Installations!L:L, $F263)/$I$1*$K263</f>
        <v>9.5299999999999994</v>
      </c>
      <c r="O263" s="996">
        <f>IF($L263=O$3,$N263+$R263,0)</f>
        <v>0</v>
      </c>
      <c r="P263" s="996">
        <f>IF($L263=P$3,$N263+$R263,0)</f>
        <v>12.95</v>
      </c>
      <c r="Q263" s="275" cm="1">
        <f t="array" ref="Q263">_xlfn.SWITCH(L263,Q$3,N263+R263,O$3,O263,0)</f>
        <v>0</v>
      </c>
      <c r="R263" s="1000" cm="1">
        <f t="array" ref="R263">INDEX( Installations!M:M, $F263)/$I$1*$K263</f>
        <v>3.42</v>
      </c>
      <c r="S263" s="1000">
        <f>SUM(N263:R263)</f>
        <v>25.9</v>
      </c>
      <c r="T263" s="1056"/>
    </row>
    <row r="264" spans="2:20" ht="15.75">
      <c r="B264" s="1542"/>
      <c r="C264" s="1546"/>
      <c r="D264" s="178" t="s">
        <v>584</v>
      </c>
      <c r="E264" s="179" t="str">
        <f>'Outil détaillé'!E62</f>
        <v>Installation photovoltaique (1 m2 = 0.14 kWp)</v>
      </c>
      <c r="F264" s="179">
        <f>MATCH(D264, Installations!A:A,0)</f>
        <v>5</v>
      </c>
      <c r="G264" s="760" t="str" cm="1">
        <f t="array" ref="G264">INDEX( Installations!B:B, $F264)</f>
        <v>Solarstromanlage Flachdach</v>
      </c>
      <c r="H264" s="760" t="str" cm="1">
        <f t="array" ref="H264">INDEX( Installations!D:D, $F264)</f>
        <v>PV</v>
      </c>
      <c r="I264" s="760" t="str" cm="1">
        <f t="array" ref="I264">INDEX( Installations!F:F, $F264)</f>
        <v>34.026</v>
      </c>
      <c r="J264" s="760" t="s">
        <v>104</v>
      </c>
      <c r="K264" s="764">
        <f>M264*'Outil détaillé'!J62</f>
        <v>28.000000000000004</v>
      </c>
      <c r="L264" s="760" cm="1">
        <f t="array" ref="L264">INDEX( Installations!I:I, $F264)</f>
        <v>30</v>
      </c>
      <c r="M264" s="760" cm="1">
        <f t="array" ref="M264">INDEX( Installations!G:G, $F264)</f>
        <v>1</v>
      </c>
      <c r="N264" s="1000" cm="1">
        <f t="array" ref="N264">INDEX( Installations!L:L, $F264)/$I$1*$K264</f>
        <v>33.07772020725389</v>
      </c>
      <c r="O264" s="996">
        <f>IF($L264=O$3,$N264+$R264,0)</f>
        <v>0</v>
      </c>
      <c r="P264" s="996">
        <f>IF($L264=P$3,$N264+$R264,0)</f>
        <v>33.07772020725389</v>
      </c>
      <c r="Q264" s="275" cm="1">
        <f t="array" ref="Q264">_xlfn.SWITCH(L264,Q$3,N264+R264,O$3,O264,0)</f>
        <v>0</v>
      </c>
      <c r="R264" s="1000" cm="1">
        <f t="array" ref="R264">INDEX( Installations!M:M, $F264)/$I$1*$K264</f>
        <v>0</v>
      </c>
      <c r="S264" s="1000">
        <f>SUM(N264:R264)</f>
        <v>66.15544041450778</v>
      </c>
      <c r="T264" s="1056"/>
    </row>
    <row r="265" spans="2:20" ht="15.75">
      <c r="B265" s="1542"/>
      <c r="C265" s="1546" t="str">
        <f>'Outil détaillé'!C63</f>
        <v>D05</v>
      </c>
      <c r="D265" s="177" t="str">
        <f>'Outil détaillé'!D63</f>
        <v>Installations techniques de chauffage</v>
      </c>
      <c r="E265" s="177"/>
      <c r="F265" s="177"/>
      <c r="G265" s="177"/>
      <c r="H265" s="177"/>
      <c r="I265" s="177"/>
      <c r="J265" s="177"/>
      <c r="K265" s="289"/>
      <c r="L265" s="288"/>
      <c r="M265" s="288"/>
      <c r="N265" s="993">
        <f>SUM(N266:N270)</f>
        <v>11.689740932642486</v>
      </c>
      <c r="O265" s="993">
        <f t="shared" ref="O265:Q265" si="249">SUM(O266:O270)</f>
        <v>2.5787999999999998</v>
      </c>
      <c r="P265" s="993">
        <f t="shared" si="249"/>
        <v>10.265932642487048</v>
      </c>
      <c r="Q265" s="993">
        <f t="shared" si="249"/>
        <v>4.3857948186528493</v>
      </c>
      <c r="R265" s="993">
        <f>SUM(R266:R270)</f>
        <v>2.961986528497409</v>
      </c>
      <c r="S265" s="993">
        <f>SUM(S266:S270)</f>
        <v>31.882254922279792</v>
      </c>
      <c r="T265" s="1053"/>
    </row>
    <row r="266" spans="2:20" ht="15.75">
      <c r="B266" s="1542"/>
      <c r="C266" s="1546"/>
      <c r="D266" s="178" t="s">
        <v>281</v>
      </c>
      <c r="E266" s="179" t="str">
        <f>'Outil détaillé'!E64</f>
        <v>Production de chaleur 30 W/m2</v>
      </c>
      <c r="F266" s="179">
        <f>MATCH(E266, Installations!A:A,0)</f>
        <v>10</v>
      </c>
      <c r="G266" s="760" t="str" cm="1">
        <f t="array" ref="G266">INDEX( Installations!B:B, $F266)</f>
        <v>Wärmeerzeuger 30 W/m2</v>
      </c>
      <c r="H266" s="760" t="str" cm="1">
        <f t="array" ref="H266">INDEX( Installations!D:D, $F266)</f>
        <v>Installation CVC</v>
      </c>
      <c r="I266" s="760" t="str" cm="1">
        <f t="array" ref="I266">INDEX( Installations!F:F, $F266)</f>
        <v>31.002</v>
      </c>
      <c r="J266" s="760" t="s">
        <v>97</v>
      </c>
      <c r="K266" s="764">
        <f>M266*'Outil détaillé'!J64</f>
        <v>965</v>
      </c>
      <c r="L266" s="760" cm="1">
        <f t="array" ref="L266">INDEX( Installations!I:I, $F266)</f>
        <v>20</v>
      </c>
      <c r="M266" s="760" cm="1">
        <f t="array" ref="M266">INDEX( Installations!G:G, $F266)</f>
        <v>1</v>
      </c>
      <c r="N266" s="1000" cm="1">
        <f t="array" ref="N266">INDEX( Installations!L:L, $F266)/$I$1*$K266</f>
        <v>2.5499999999999998</v>
      </c>
      <c r="O266" s="996">
        <f t="shared" ref="O266:P270" si="250">IF($L266=O$3,$N266+$R266,0)</f>
        <v>2.5787999999999998</v>
      </c>
      <c r="P266" s="996">
        <f t="shared" si="250"/>
        <v>0</v>
      </c>
      <c r="Q266" s="275" cm="1">
        <f t="array" ref="Q266">_xlfn.SWITCH(L266,Q$3,N266+R266,O$3,O266,0)</f>
        <v>2.5787999999999998</v>
      </c>
      <c r="R266" s="1000" cm="1">
        <f t="array" ref="R266">INDEX( Installations!M:M, $F266)/$I$1*$K266</f>
        <v>2.8799999999999999E-2</v>
      </c>
      <c r="S266" s="1000">
        <f>SUM(N266:R266)</f>
        <v>7.7363999999999997</v>
      </c>
      <c r="T266" s="1056"/>
    </row>
    <row r="267" spans="2:20" ht="15.75">
      <c r="B267" s="1542"/>
      <c r="C267" s="1546"/>
      <c r="D267" s="178" t="str">
        <f>'Outil détaillé'!$D$65</f>
        <v>Distribution et émission de chaleur  et accumulation</v>
      </c>
      <c r="E267" s="179" t="str">
        <f>'Outil détaillé'!E65</f>
        <v>Distribution et émission de chaleur habitation</v>
      </c>
      <c r="F267" s="179">
        <f>MATCH(E267, Installations!A:A,0)</f>
        <v>15</v>
      </c>
      <c r="G267" s="760" t="str" cm="1">
        <f t="array" ref="G267">INDEX( Installations!B:B, $F267)</f>
        <v>Verteilung Wohnen, Fussbodenheizung</v>
      </c>
      <c r="H267" s="760" t="str" cm="1">
        <f t="array" ref="H267">INDEX( Installations!D:D, $F267)</f>
        <v>Installation CVC</v>
      </c>
      <c r="I267" s="760" t="str" cm="1">
        <f t="array" ref="I267">INDEX( Installations!F:F, $F267)</f>
        <v>31.021</v>
      </c>
      <c r="J267" s="760" t="s">
        <v>97</v>
      </c>
      <c r="K267" s="764">
        <f>M267*'Outil détaillé'!J65</f>
        <v>965</v>
      </c>
      <c r="L267" s="760" cm="1">
        <f t="array" ref="L267">INDEX( Installations!I:I, $F267)</f>
        <v>30</v>
      </c>
      <c r="M267" s="760" cm="1">
        <f t="array" ref="M267">INDEX( Installations!G:G, $F267)</f>
        <v>1</v>
      </c>
      <c r="N267" s="1000" cm="1">
        <f t="array" ref="N267">INDEX( Installations!L:L, $F267)/$I$1*$K267</f>
        <v>2.77</v>
      </c>
      <c r="O267" s="996">
        <f t="shared" si="250"/>
        <v>0</v>
      </c>
      <c r="P267" s="996">
        <f t="shared" si="250"/>
        <v>3.4649999999999999</v>
      </c>
      <c r="Q267" s="275" cm="1">
        <f t="array" ref="Q267">_xlfn.SWITCH(L267,Q$3,N267+R267,O$3,O267,0)</f>
        <v>0</v>
      </c>
      <c r="R267" s="1000" cm="1">
        <f t="array" ref="R267">INDEX( Installations!M:M, $F267)/$I$1*$K267</f>
        <v>0.69499999999999995</v>
      </c>
      <c r="S267" s="1000">
        <f>SUM(N267:R267)</f>
        <v>6.93</v>
      </c>
      <c r="T267" s="1056"/>
    </row>
    <row r="268" spans="2:20" ht="15.75">
      <c r="B268" s="1542"/>
      <c r="C268" s="1546"/>
      <c r="D268" s="178"/>
      <c r="E268" s="179"/>
      <c r="F268" s="179">
        <f>F267+1</f>
        <v>16</v>
      </c>
      <c r="G268" s="760" cm="1">
        <f t="array" ref="G268">INDEX( Installations!B:B, $F268)</f>
        <v>0</v>
      </c>
      <c r="H268" s="760" t="str" cm="1">
        <f t="array" ref="H268">INDEX( Installations!D:D, $F268)</f>
        <v>Installation CVC</v>
      </c>
      <c r="I268" s="760" t="str" cm="1">
        <f t="array" ref="I268">INDEX( Installations!F:F, $F268)</f>
        <v>31.024</v>
      </c>
      <c r="J268" s="760" t="s">
        <v>97</v>
      </c>
      <c r="K268" s="764">
        <f>M268*'Outil détaillé'!J65</f>
        <v>965</v>
      </c>
      <c r="L268" s="760" cm="1">
        <f t="array" ref="L268">INDEX( Installations!I:I, $F268)</f>
        <v>30</v>
      </c>
      <c r="M268" s="760" cm="1">
        <f t="array" ref="M268">INDEX( Installations!G:G, $F268)</f>
        <v>1</v>
      </c>
      <c r="N268" s="1000" cm="1">
        <f t="array" ref="N268">INDEX( Installations!L:L, $F268)/$I$1*$K268</f>
        <v>3.02</v>
      </c>
      <c r="O268" s="996">
        <f t="shared" si="250"/>
        <v>0</v>
      </c>
      <c r="P268" s="996">
        <f t="shared" si="250"/>
        <v>5.0600000000000005</v>
      </c>
      <c r="Q268" s="275" cm="1">
        <f t="array" ref="Q268">_xlfn.SWITCH(L268,Q$3,N268+R268,O$3,O268,0)</f>
        <v>0</v>
      </c>
      <c r="R268" s="1000" cm="1">
        <f t="array" ref="R268">INDEX( Installations!M:M, $F268)/$I$1*$K268</f>
        <v>2.04</v>
      </c>
      <c r="S268" s="1000">
        <f>SUM(N268:R268)</f>
        <v>10.120000000000001</v>
      </c>
      <c r="T268" s="1056"/>
    </row>
    <row r="269" spans="2:20" ht="15.75">
      <c r="B269" s="1542"/>
      <c r="C269" s="1546"/>
      <c r="D269" s="178" t="s">
        <v>359</v>
      </c>
      <c r="E269" s="179" t="str">
        <f>'Outil détaillé'!E66</f>
        <v>Sondes géothermiques</v>
      </c>
      <c r="F269" s="179">
        <f>MATCH(E269, Installations!A:A,0)</f>
        <v>23</v>
      </c>
      <c r="G269" s="760" cm="1">
        <f t="array" ref="G269">INDEX( Installations!B:B, $F269)</f>
        <v>0</v>
      </c>
      <c r="H269" s="760" t="str" cm="1">
        <f t="array" ref="H269">INDEX( Installations!D:D, $F269)</f>
        <v>Sondes géothermiques</v>
      </c>
      <c r="I269" s="760" t="str" cm="1">
        <f t="array" ref="I269">INDEX( Installations!F:F, $F269)</f>
        <v>31.016</v>
      </c>
      <c r="J269" s="760" t="s">
        <v>97</v>
      </c>
      <c r="K269" s="764">
        <f>M269*'Outil détaillé'!J66</f>
        <v>150</v>
      </c>
      <c r="L269" s="760" cm="1">
        <f t="array" ref="L269">INDEX( Installations!I:I, $F269)</f>
        <v>40</v>
      </c>
      <c r="M269" s="760" cm="1">
        <f t="array" ref="M269">INDEX( Installations!G:G, $F269)</f>
        <v>0.5</v>
      </c>
      <c r="N269" s="1000" cm="1">
        <f t="array" ref="N269">INDEX( Installations!L:L, $F269)/$I$1*$K269</f>
        <v>1.6088082901554401</v>
      </c>
      <c r="O269" s="996">
        <f t="shared" si="250"/>
        <v>0</v>
      </c>
      <c r="P269" s="996">
        <f t="shared" si="250"/>
        <v>0</v>
      </c>
      <c r="Q269" s="275" cm="1">
        <f t="array" ref="Q269">_xlfn.SWITCH(L269,Q$3,N269+R269,O$3,O269,0)</f>
        <v>1.8069948186528495</v>
      </c>
      <c r="R269" s="1000" cm="1">
        <f t="array" ref="R269">INDEX( Installations!M:M, $F269)/$I$1*$K269</f>
        <v>0.19818652849740931</v>
      </c>
      <c r="S269" s="1000">
        <f>SUM(N269:R269)</f>
        <v>3.613989637305699</v>
      </c>
      <c r="T269" s="1056"/>
    </row>
    <row r="270" spans="2:20" ht="15.75">
      <c r="B270" s="1542"/>
      <c r="C270" s="1546"/>
      <c r="D270" s="178" t="s">
        <v>108</v>
      </c>
      <c r="E270" s="179" t="str">
        <f>'Outil détaillé'!E67</f>
        <v>Capteurs solaires</v>
      </c>
      <c r="F270" s="179">
        <f>MATCH(E270, Installations!A:A,0)</f>
        <v>25</v>
      </c>
      <c r="G270" s="760" t="str" cm="1">
        <f t="array" ref="G270">INDEX( Installations!B:B, $F270)</f>
        <v>Flachkollektor für Warmwasser MFH</v>
      </c>
      <c r="H270" s="760" t="str" cm="1">
        <f t="array" ref="H270">INDEX( Installations!D:D, $F270)</f>
        <v>Capteurs solaires</v>
      </c>
      <c r="I270" s="760" t="str" cm="1">
        <f t="array" ref="I270">INDEX( Installations!F:F, $F270)</f>
        <v>31.009</v>
      </c>
      <c r="J270" s="760" t="s">
        <v>97</v>
      </c>
      <c r="K270" s="764">
        <f>M270*'Outil détaillé'!J67</f>
        <v>10</v>
      </c>
      <c r="L270" s="760" cm="1">
        <f t="array" ref="L270">INDEX( Installations!I:I, $F270)</f>
        <v>30</v>
      </c>
      <c r="M270" s="760" cm="1">
        <f t="array" ref="M270">INDEX( Installations!G:G, $F270)</f>
        <v>1</v>
      </c>
      <c r="N270" s="1000" cm="1">
        <f t="array" ref="N270">INDEX( Installations!L:L, $F270)/$I$1*$K270</f>
        <v>1.7409326424870466</v>
      </c>
      <c r="O270" s="996">
        <f t="shared" si="250"/>
        <v>0</v>
      </c>
      <c r="P270" s="996">
        <f t="shared" si="250"/>
        <v>1.7409326424870466</v>
      </c>
      <c r="Q270" s="275" cm="1">
        <f t="array" ref="Q270">_xlfn.SWITCH(L270,Q$3,N270+R270,O$3,O270,0)</f>
        <v>0</v>
      </c>
      <c r="R270" s="1000" cm="1">
        <f t="array" ref="R270">INDEX( Installations!M:M, $F270)/$I$1*$K270</f>
        <v>0</v>
      </c>
      <c r="S270" s="1000">
        <f>SUM(N270:R270)</f>
        <v>3.4818652849740932</v>
      </c>
      <c r="T270" s="1056"/>
    </row>
    <row r="271" spans="2:20" ht="15.75">
      <c r="B271" s="1542"/>
      <c r="C271" s="1546" t="str">
        <f>'Outil détaillé'!C68</f>
        <v>D07</v>
      </c>
      <c r="D271" s="177" t="s">
        <v>589</v>
      </c>
      <c r="E271" s="177"/>
      <c r="F271" s="177"/>
      <c r="G271" s="177"/>
      <c r="H271" s="177"/>
      <c r="I271" s="177"/>
      <c r="J271" s="177"/>
      <c r="K271" s="289"/>
      <c r="L271" s="288"/>
      <c r="M271" s="288"/>
      <c r="N271" s="993">
        <f>N272+N273</f>
        <v>18.12</v>
      </c>
      <c r="O271" s="993">
        <f t="shared" ref="O271:Q271" si="251">O272+O273</f>
        <v>0</v>
      </c>
      <c r="P271" s="993">
        <f t="shared" si="251"/>
        <v>18.582999999999998</v>
      </c>
      <c r="Q271" s="993">
        <f t="shared" si="251"/>
        <v>0</v>
      </c>
      <c r="R271" s="993">
        <f>R272+R273</f>
        <v>0.46300000000000002</v>
      </c>
      <c r="S271" s="993">
        <f>S272+S273</f>
        <v>37.165999999999997</v>
      </c>
      <c r="T271" s="1053"/>
    </row>
    <row r="272" spans="2:20" ht="15.75">
      <c r="B272" s="1542"/>
      <c r="C272" s="1546"/>
      <c r="D272" s="178" t="s">
        <v>590</v>
      </c>
      <c r="E272" s="179" t="str">
        <f>'Outil détaillé'!E69</f>
        <v>Extraction mécanique cuisine et salle de bain</v>
      </c>
      <c r="F272" s="179">
        <f>MATCH(E272, Installations!A:A,0)</f>
        <v>28</v>
      </c>
      <c r="G272" s="760" t="str" cm="1">
        <f t="array" ref="G272">INDEX( Installations!B:B, $F272)</f>
        <v>Abluftanlage Küche und Bad</v>
      </c>
      <c r="H272" s="760" t="str" cm="1">
        <f t="array" ref="H272">INDEX( Installations!D:D, $F272)</f>
        <v>Installation CVC</v>
      </c>
      <c r="I272" s="760" t="str" cm="1">
        <f t="array" ref="I272">INDEX( Installations!F:F, $F272)</f>
        <v>32.003</v>
      </c>
      <c r="J272" s="760" t="s">
        <v>97</v>
      </c>
      <c r="K272" s="764">
        <f>M272*'Outil détaillé'!J69</f>
        <v>965</v>
      </c>
      <c r="L272" s="760" cm="1">
        <f t="array" ref="L272">INDEX( Installations!I:I, $F272)</f>
        <v>30</v>
      </c>
      <c r="M272" s="760" cm="1">
        <f t="array" ref="M272">INDEX( Installations!G:G, $F272)</f>
        <v>1</v>
      </c>
      <c r="N272" s="1000" cm="1">
        <f t="array" ref="N272">INDEX( Installations!L:L, $F272)/$I$1*$K272</f>
        <v>3.52</v>
      </c>
      <c r="O272" s="996">
        <f>IF($L272=O$3,$N272+$R272,0)</f>
        <v>0</v>
      </c>
      <c r="P272" s="996">
        <f>IF($L272=P$3,$N272+$R272,0)</f>
        <v>3.645</v>
      </c>
      <c r="Q272" s="275" cm="1">
        <f t="array" ref="Q272">_xlfn.SWITCH(L272,Q$3,N272+R272,O$3,O272,0)</f>
        <v>0</v>
      </c>
      <c r="R272" s="1000" cm="1">
        <f t="array" ref="R272">INDEX( Installations!M:M, $F272)/$I$1*$K272</f>
        <v>0.125</v>
      </c>
      <c r="S272" s="1000">
        <f>SUM(N272:R272)</f>
        <v>7.29</v>
      </c>
      <c r="T272" s="1056"/>
    </row>
    <row r="273" spans="2:20" ht="15.75">
      <c r="B273" s="1542"/>
      <c r="C273" s="1546"/>
      <c r="D273" s="178" t="s">
        <v>591</v>
      </c>
      <c r="E273" s="179" t="str">
        <f>'Outil détaillé'!E70</f>
        <v>Système de ventilation habitation</v>
      </c>
      <c r="F273" s="179">
        <f>MATCH(E273, Installations!A:A,0)</f>
        <v>29</v>
      </c>
      <c r="G273" s="760" t="str" cm="1">
        <f t="array" ref="G273">INDEX( Installations!B:B, $F273)</f>
        <v>Lüftungsanlage, spez. Luftmenge 1 m3/hm2 EBF</v>
      </c>
      <c r="H273" s="760" t="str" cm="1">
        <f t="array" ref="H273">INDEX( Installations!D:D, $F273)</f>
        <v>Installation CVC</v>
      </c>
      <c r="I273" s="760" t="str" cm="1">
        <f t="array" ref="I273">INDEX( Installations!F:F, $F273)</f>
        <v>32.011</v>
      </c>
      <c r="J273" s="760" t="s">
        <v>97</v>
      </c>
      <c r="K273" s="764">
        <f>M273*'Outil détaillé'!J70</f>
        <v>965</v>
      </c>
      <c r="L273" s="760" cm="1">
        <f t="array" ref="L273">INDEX( Installations!I:I, $F273)</f>
        <v>30</v>
      </c>
      <c r="M273" s="760" cm="1">
        <f t="array" ref="M273">INDEX( Installations!G:G, $F273)</f>
        <v>1</v>
      </c>
      <c r="N273" s="1000" cm="1">
        <f t="array" ref="N273">INDEX( Installations!L:L, $F273)/$I$1*$K273</f>
        <v>14.6</v>
      </c>
      <c r="O273" s="996">
        <f>IF($L273=O$3,$N273+$R273,0)</f>
        <v>0</v>
      </c>
      <c r="P273" s="996">
        <f>IF($L273=P$3,$N273+$R273,0)</f>
        <v>14.937999999999999</v>
      </c>
      <c r="Q273" s="275" cm="1">
        <f t="array" ref="Q273">_xlfn.SWITCH(L273,Q$3,N273+R273,O$3,O273,0)</f>
        <v>0</v>
      </c>
      <c r="R273" s="1000" cm="1">
        <f t="array" ref="R273">INDEX( Installations!M:M, $F273)/$I$1*$K273</f>
        <v>0.33800000000000002</v>
      </c>
      <c r="S273" s="1000">
        <f>SUM(N273:R273)</f>
        <v>29.875999999999998</v>
      </c>
      <c r="T273" s="1056"/>
    </row>
    <row r="274" spans="2:20" ht="15.75">
      <c r="B274" s="1542"/>
      <c r="C274" s="1538" t="str">
        <f>'Outil détaillé'!C71</f>
        <v>D08 /09</v>
      </c>
      <c r="D274" s="177" t="str">
        <f>'Outil détaillé'!D71</f>
        <v>Installations techniques d'eau</v>
      </c>
      <c r="E274" s="177"/>
      <c r="F274" s="177"/>
      <c r="G274" s="177"/>
      <c r="H274" s="177"/>
      <c r="I274" s="177"/>
      <c r="J274" s="177"/>
      <c r="K274" s="289"/>
      <c r="L274" s="288"/>
      <c r="M274" s="288"/>
      <c r="N274" s="993">
        <f>N275</f>
        <v>11</v>
      </c>
      <c r="O274" s="993">
        <f t="shared" ref="O274:Q274" si="252">O275</f>
        <v>0</v>
      </c>
      <c r="P274" s="993">
        <f t="shared" si="252"/>
        <v>12.54</v>
      </c>
      <c r="Q274" s="993">
        <f t="shared" si="252"/>
        <v>0</v>
      </c>
      <c r="R274" s="993">
        <f>R275</f>
        <v>1.54</v>
      </c>
      <c r="S274" s="993">
        <f>S275</f>
        <v>25.08</v>
      </c>
      <c r="T274" s="1053"/>
    </row>
    <row r="275" spans="2:20" ht="16.5" thickBot="1">
      <c r="B275" s="1543"/>
      <c r="C275" s="1547"/>
      <c r="D275" s="732" t="s">
        <v>594</v>
      </c>
      <c r="E275" s="735" t="str">
        <f>'Outil détaillé'!E72</f>
        <v>Installation sanitaire habitation</v>
      </c>
      <c r="F275" s="735">
        <f>MATCH(E275, Installations!A:A,0)</f>
        <v>34</v>
      </c>
      <c r="G275" s="1268" t="str" cm="1">
        <f t="array" ref="G275">INDEX( Installations!B:B, $F275)</f>
        <v>Sanitäranlagen, Wohnen, inkl. Apparate und Leitungen</v>
      </c>
      <c r="H275" s="1268" t="str" cm="1">
        <f t="array" ref="H275">INDEX( Installations!D:D, $F275)</f>
        <v>Installation sanitaire</v>
      </c>
      <c r="I275" s="1268" t="str" cm="1">
        <f t="array" ref="I275">INDEX( Installations!F:F, $F275)</f>
        <v>33.003</v>
      </c>
      <c r="J275" s="1268" t="s">
        <v>97</v>
      </c>
      <c r="K275" s="1269">
        <f>M275*'Outil détaillé'!J72</f>
        <v>965</v>
      </c>
      <c r="L275" s="1268" cm="1">
        <f t="array" ref="L275">INDEX( Installations!I:I, $F275)</f>
        <v>30</v>
      </c>
      <c r="M275" s="1268" cm="1">
        <f t="array" ref="M275">INDEX( Installations!G:G, $F275)</f>
        <v>1</v>
      </c>
      <c r="N275" s="1270" cm="1">
        <f t="array" ref="N275">INDEX( Installations!L:L, $F275)/$I$1*$K275</f>
        <v>11</v>
      </c>
      <c r="O275" s="1258">
        <f>IF($L275=O$3,$N275+$R275,0)</f>
        <v>0</v>
      </c>
      <c r="P275" s="1258">
        <f>IF($L275=P$3,$N275+$R275,0)</f>
        <v>12.54</v>
      </c>
      <c r="Q275" s="331" cm="1">
        <f t="array" ref="Q275">_xlfn.SWITCH(L275,Q$3,N275+R275,O$3,O275,0)</f>
        <v>0</v>
      </c>
      <c r="R275" s="1270" cm="1">
        <f t="array" ref="R275">INDEX( Installations!M:M, $F275)/$I$1*$K275</f>
        <v>1.54</v>
      </c>
      <c r="S275" s="1270">
        <f>SUM(N275:R275)</f>
        <v>25.08</v>
      </c>
      <c r="T275" s="1271"/>
    </row>
    <row r="276" spans="2:20">
      <c r="E276" s="172"/>
      <c r="F276" s="172"/>
      <c r="K276" s="283"/>
      <c r="N276" s="996"/>
      <c r="O276" s="275"/>
      <c r="P276" s="275"/>
      <c r="R276" s="275"/>
      <c r="S276" s="996"/>
      <c r="T276" s="996"/>
    </row>
    <row r="277" spans="2:20">
      <c r="E277" s="172"/>
      <c r="F277" s="172"/>
      <c r="K277" s="283"/>
      <c r="N277" s="995">
        <f t="shared" ref="N277:T277" ca="1" si="253">N4+N14+N31+N41+N53+N61+N75+N86+N95+N109+N134+N182+N168+N262+N265+N271+N274+N251+N238+N178+N161</f>
        <v>306.20714320674057</v>
      </c>
      <c r="O277" s="995">
        <f t="shared" ca="1" si="253"/>
        <v>2.5787999999999998</v>
      </c>
      <c r="P277" s="995">
        <f t="shared" ca="1" si="253"/>
        <v>170.87518719615613</v>
      </c>
      <c r="Q277" s="995">
        <f t="shared" ca="1" si="253"/>
        <v>46.660331429002397</v>
      </c>
      <c r="R277" s="995">
        <f t="shared" ca="1" si="253"/>
        <v>34.025283666735142</v>
      </c>
      <c r="S277" s="995">
        <f t="shared" ca="1" si="253"/>
        <v>560.34674549863416</v>
      </c>
      <c r="T277" s="995">
        <f t="shared" ca="1" si="253"/>
        <v>315.43427992752942</v>
      </c>
    </row>
    <row r="278" spans="2:20">
      <c r="E278" s="172"/>
      <c r="F278" s="172"/>
      <c r="K278" s="283"/>
    </row>
    <row r="279" spans="2:20">
      <c r="E279" s="172"/>
      <c r="F279" s="172"/>
      <c r="K279" s="283"/>
    </row>
    <row r="280" spans="2:20">
      <c r="E280" s="172"/>
      <c r="F280" s="172"/>
      <c r="K280" s="283"/>
    </row>
    <row r="281" spans="2:20">
      <c r="E281" s="172"/>
      <c r="F281" s="172"/>
      <c r="K281" s="283"/>
    </row>
  </sheetData>
  <customSheetViews>
    <customSheetView guid="{B32447E2-AB5B-4CBB-881B-FF11349CA4D6}" hiddenColumns="1">
      <selection activeCell="N18" sqref="N18"/>
      <pageMargins left="0" right="0" top="0" bottom="0" header="0" footer="0"/>
      <pageSetup paperSize="9" orientation="portrait" r:id="rId1"/>
    </customSheetView>
    <customSheetView guid="{9FA74287-E657-475B-BF4B-3C8C757714AE}" hiddenColumns="1">
      <selection activeCell="N18" sqref="N18"/>
      <pageMargins left="0" right="0" top="0" bottom="0" header="0" footer="0"/>
      <pageSetup paperSize="9" orientation="portrait" r:id="rId2"/>
    </customSheetView>
    <customSheetView guid="{54A7C567-FA7D-467E-B353-ECB5E61AE756}" topLeftCell="E218">
      <selection activeCell="H230" sqref="H230"/>
      <pageMargins left="0" right="0" top="0" bottom="0" header="0" footer="0"/>
      <pageSetup paperSize="9" orientation="portrait" r:id="rId3"/>
    </customSheetView>
  </customSheetViews>
  <mergeCells count="27">
    <mergeCell ref="B4:B13"/>
    <mergeCell ref="C4:C13"/>
    <mergeCell ref="C41:C52"/>
    <mergeCell ref="B14:B52"/>
    <mergeCell ref="C14:C30"/>
    <mergeCell ref="C31:C40"/>
    <mergeCell ref="C274:C275"/>
    <mergeCell ref="C134:C160"/>
    <mergeCell ref="C271:C273"/>
    <mergeCell ref="C251:C261"/>
    <mergeCell ref="N1:R1"/>
    <mergeCell ref="B53:B108"/>
    <mergeCell ref="B109:B261"/>
    <mergeCell ref="C238:C250"/>
    <mergeCell ref="C182:C237"/>
    <mergeCell ref="B262:B275"/>
    <mergeCell ref="C161:C167"/>
    <mergeCell ref="C53:C60"/>
    <mergeCell ref="C61:C70"/>
    <mergeCell ref="C178:C181"/>
    <mergeCell ref="C168:C177"/>
    <mergeCell ref="C75:C85"/>
    <mergeCell ref="C86:C94"/>
    <mergeCell ref="C95:C104"/>
    <mergeCell ref="C109:C133"/>
    <mergeCell ref="C262:C264"/>
    <mergeCell ref="C265:C270"/>
  </mergeCells>
  <phoneticPr fontId="69" type="noConversion"/>
  <conditionalFormatting sqref="N238:S238 N109:S109 N14:S14 N31:S31 N41:S41 N75:S75 N86:S86 N134:S134 N161:S161 N168:S168 N178:S178 N251:S251 N262:S262 N271:S271 N265:S265 N274:S274 N53:S53 N4:S4 N95:S95 N61:S61 N182:S182">
    <cfRule type="colorScale" priority="8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68:S168 N14:S14 S4 N31:S31 N41:S41 N86:S86 N53:S53 N95:S95 N61:S61 N182:S182">
    <cfRule type="colorScale" priority="8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75:S75">
    <cfRule type="colorScale" priority="8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161:S161">
    <cfRule type="colorScale" priority="8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265:Q265 S4 S265 O271:Q271 S271 O274:Q274 S274 N14:S14 N31:S31 N41:S41 N86:S86 N168:S168 N262:S262 N53:S53 N95:S95 N61:S61 N182:S182">
    <cfRule type="colorScale" priority="8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38 T109 T14 T41 T53 T61 T75 T86 T95 T134 T161 T168 T178 T182 T251">
    <cfRule type="colorScale" priority="989">
      <colorScale>
        <cfvo type="min"/>
        <cfvo type="percentile" val="50"/>
        <cfvo type="max"/>
        <color theme="2" tint="-9.9978637043366805E-2"/>
        <color theme="9" tint="0.39997558519241921"/>
        <color theme="9"/>
      </colorScale>
    </cfRule>
  </conditionalFormatting>
  <conditionalFormatting sqref="T31">
    <cfRule type="colorScale" priority="1004">
      <colorScale>
        <cfvo type="min"/>
        <cfvo type="percentile" val="50"/>
        <cfvo type="max"/>
        <color theme="2" tint="-9.9978637043366805E-2"/>
        <color theme="9" tint="0.39997558519241921"/>
        <color theme="9"/>
      </colorScale>
    </cfRule>
  </conditionalFormatting>
  <pageMargins left="0" right="0" top="0" bottom="0" header="0" footer="0"/>
  <pageSetup paperSize="9" orientation="portrait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27C7D-5D58-E649-81D4-A010168EADC0}">
  <sheetPr codeName="Feuil14">
    <tabColor theme="2"/>
    <pageSetUpPr autoPageBreaks="0"/>
  </sheetPr>
  <dimension ref="A1:W95"/>
  <sheetViews>
    <sheetView topLeftCell="C1" zoomScale="60" zoomScaleNormal="60" workbookViewId="0">
      <selection activeCell="S11" sqref="S11"/>
    </sheetView>
  </sheetViews>
  <sheetFormatPr baseColWidth="10" defaultColWidth="10.75" defaultRowHeight="14.25"/>
  <cols>
    <col min="1" max="2" width="62.75" style="3" bestFit="1" customWidth="1"/>
    <col min="3" max="3" width="2.875" style="3" customWidth="1"/>
    <col min="4" max="4" width="50.75" style="3" customWidth="1"/>
    <col min="5" max="5" width="5.5" style="3" customWidth="1"/>
    <col min="6" max="6" width="10.75" style="3"/>
    <col min="7" max="7" width="13.5" style="3" customWidth="1"/>
    <col min="8" max="8" width="2.75" style="3" customWidth="1" collapsed="1"/>
    <col min="9" max="9" width="11.875" style="3" bestFit="1" customWidth="1" collapsed="1"/>
    <col min="10" max="10" width="11.25" style="3" bestFit="1" customWidth="1" collapsed="1"/>
    <col min="11" max="11" width="9" style="3" bestFit="1" customWidth="1" collapsed="1"/>
    <col min="12" max="13" width="12.25" style="3" customWidth="1" collapsed="1"/>
    <col min="14" max="14" width="12.25" style="3" customWidth="1"/>
    <col min="15" max="16" width="12.25" style="3" customWidth="1" collapsed="1"/>
    <col min="17" max="17" width="10.75" style="3"/>
    <col min="18" max="18" width="12.375" style="3" bestFit="1" customWidth="1"/>
    <col min="19" max="16384" width="10.75" style="3"/>
  </cols>
  <sheetData>
    <row r="1" spans="1:23" ht="75">
      <c r="B1" s="1" t="s">
        <v>617</v>
      </c>
      <c r="C1" s="1" t="s">
        <v>618</v>
      </c>
      <c r="D1" s="1" t="s">
        <v>619</v>
      </c>
      <c r="E1" s="131" t="s">
        <v>620</v>
      </c>
      <c r="F1" s="1" t="s">
        <v>621</v>
      </c>
      <c r="G1" s="131" t="s">
        <v>622</v>
      </c>
      <c r="I1" s="131" t="s">
        <v>623</v>
      </c>
      <c r="J1" s="131" t="s">
        <v>624</v>
      </c>
      <c r="K1" s="131" t="s">
        <v>625</v>
      </c>
      <c r="L1" s="131" t="s">
        <v>626</v>
      </c>
      <c r="M1" s="131" t="s">
        <v>627</v>
      </c>
      <c r="N1" s="131" t="s">
        <v>628</v>
      </c>
      <c r="O1" s="131" t="s">
        <v>629</v>
      </c>
      <c r="P1" s="131" t="s">
        <v>630</v>
      </c>
      <c r="Q1"/>
      <c r="R1" s="131" t="s">
        <v>3809</v>
      </c>
      <c r="S1" s="131" t="s">
        <v>3810</v>
      </c>
      <c r="T1"/>
    </row>
    <row r="2" spans="1:23" s="1147" customFormat="1" ht="15.75">
      <c r="B2" s="1148"/>
      <c r="C2" s="1148"/>
      <c r="D2" s="1148"/>
      <c r="E2" s="1148"/>
      <c r="F2" s="1148"/>
      <c r="G2" s="1149"/>
      <c r="H2" s="1149">
        <v>0</v>
      </c>
      <c r="I2" s="1149">
        <v>0</v>
      </c>
      <c r="J2" s="1149">
        <v>0</v>
      </c>
      <c r="K2" s="1149">
        <v>0</v>
      </c>
      <c r="L2" s="1149">
        <v>0</v>
      </c>
      <c r="M2" s="1149">
        <v>0</v>
      </c>
      <c r="N2" s="1149">
        <v>0</v>
      </c>
      <c r="O2" s="1149">
        <v>0</v>
      </c>
      <c r="P2" s="1149">
        <v>0</v>
      </c>
      <c r="Q2" s="1149"/>
      <c r="R2" s="1149"/>
      <c r="S2" s="1149"/>
      <c r="T2" s="1150"/>
      <c r="U2" s="1150"/>
      <c r="V2" s="1150"/>
      <c r="W2" s="1150"/>
    </row>
    <row r="3" spans="1:23" ht="15">
      <c r="A3" s="143" t="s">
        <v>631</v>
      </c>
      <c r="B3" s="143" t="str">
        <f>'Outil détaillé'!D5</f>
        <v>Fouilles</v>
      </c>
      <c r="C3" s="143"/>
      <c r="D3" s="143"/>
      <c r="E3" s="143"/>
      <c r="F3" s="143"/>
      <c r="G3" s="144"/>
      <c r="H3" s="143"/>
      <c r="I3" s="145"/>
      <c r="J3" s="145"/>
      <c r="K3" s="145"/>
      <c r="L3" s="145"/>
      <c r="M3" s="145"/>
      <c r="N3" s="145"/>
      <c r="O3" s="145"/>
      <c r="P3" s="145"/>
    </row>
    <row r="4" spans="1:23" s="626" customFormat="1">
      <c r="A4" s="624" t="s">
        <v>632</v>
      </c>
      <c r="B4" s="624" t="s">
        <v>633</v>
      </c>
      <c r="C4" s="624"/>
      <c r="D4" s="625" t="str">
        <f>VLOOKUP($F4,'Transporte Transports'!$A$10:$AE$432,26,FALSE)</f>
        <v>Vol.excavation</v>
      </c>
      <c r="E4" s="625" t="s">
        <v>97</v>
      </c>
      <c r="F4" s="624" t="s">
        <v>634</v>
      </c>
      <c r="G4" s="625">
        <v>1</v>
      </c>
      <c r="H4" s="624"/>
      <c r="I4" s="624">
        <v>60</v>
      </c>
      <c r="J4" s="624"/>
      <c r="K4" s="624"/>
      <c r="L4" s="624">
        <f>$G4*_xlfn.XLOOKUP($F4, 'Transporte Transports'!$A:$A,'Transporte Transports'!V:V,0)</f>
        <v>0.433</v>
      </c>
      <c r="M4" s="624">
        <v>0</v>
      </c>
      <c r="N4" s="624"/>
      <c r="O4" s="624"/>
      <c r="P4" s="624"/>
      <c r="R4" s="1444">
        <f>(L4+M4)/I4</f>
        <v>7.2166666666666664E-3</v>
      </c>
    </row>
    <row r="5" spans="1:23" s="626" customFormat="1">
      <c r="B5" s="626" t="s">
        <v>635</v>
      </c>
      <c r="D5" s="625" t="str">
        <f>VLOOKUP($F5,'Transporte Transports'!$A$10:$AE$432,26,FALSE)</f>
        <v>Rend.du transp.</v>
      </c>
      <c r="E5" s="823" t="s">
        <v>613</v>
      </c>
      <c r="F5" s="130" t="s">
        <v>612</v>
      </c>
      <c r="G5" s="823">
        <f>G4*Hypothèses!D40*1.8</f>
        <v>108</v>
      </c>
      <c r="I5" s="626">
        <v>60</v>
      </c>
      <c r="R5" s="1444"/>
    </row>
    <row r="6" spans="1:23">
      <c r="R6" s="1444"/>
    </row>
    <row r="7" spans="1:23" ht="16.5" customHeight="1">
      <c r="A7" s="143" t="s">
        <v>636</v>
      </c>
      <c r="B7" s="143"/>
      <c r="C7" s="143"/>
      <c r="D7" s="143"/>
      <c r="E7" s="143"/>
      <c r="F7" s="143"/>
      <c r="G7" s="144" t="s">
        <v>637</v>
      </c>
      <c r="H7" s="143"/>
      <c r="I7" s="145"/>
      <c r="J7" s="145"/>
      <c r="K7" s="145"/>
      <c r="L7" s="145"/>
      <c r="M7" s="145"/>
      <c r="N7" s="145"/>
      <c r="O7" s="145"/>
      <c r="P7" s="145"/>
      <c r="R7" s="1444"/>
    </row>
    <row r="8" spans="1:23" s="145" customFormat="1">
      <c r="A8" s="1153" t="s">
        <v>638</v>
      </c>
      <c r="B8" s="145" t="str">
        <f>'Outil détaillé'!D7</f>
        <v xml:space="preserve">Enceintes de fouilles </v>
      </c>
      <c r="G8" s="145" t="s">
        <v>97</v>
      </c>
      <c r="R8" s="1444"/>
    </row>
    <row r="9" spans="1:23" s="615" customFormat="1" ht="14.25" customHeight="1">
      <c r="A9" s="1144"/>
      <c r="D9" s="1151" t="str">
        <f>VLOOKUP($F9,'Baumaterialien Matériaux'!$A$10:$AD$432,30,FALSE)</f>
        <v>Blindage de fouille, paroi berlinoise, en porte-à-faux</v>
      </c>
      <c r="E9" s="182" t="str">
        <f>_xlfn.XLOOKUP($F9,'Baumaterialien Matériaux'!$A:$A,'Baumaterialien Matériaux'!G:G,0,0)</f>
        <v>m2</v>
      </c>
      <c r="F9" s="615" t="s">
        <v>639</v>
      </c>
      <c r="G9" s="615">
        <v>1</v>
      </c>
      <c r="I9" s="1152">
        <v>60</v>
      </c>
      <c r="J9" s="1152"/>
      <c r="K9" s="1152"/>
      <c r="L9" s="1152">
        <f>$G9*_xlfn.XLOOKUP($F9,'Baumaterialien Matériaux'!$A:$A,'Baumaterialien Matériaux'!AA:AA,0,0)</f>
        <v>256</v>
      </c>
      <c r="M9" s="1152">
        <f>$G9*_xlfn.XLOOKUP($F9,'Baumaterialien Matériaux'!$A:$A,'Baumaterialien Matériaux'!AB:AB,0,0)</f>
        <v>14.2</v>
      </c>
      <c r="N9" s="1152"/>
      <c r="O9" s="1152">
        <f>$G9*_xlfn.XLOOKUP($F9,'Baumaterialien Matériaux'!$A:$A,'Baumaterialien Matériaux'!AG:AG,0,0)</f>
        <v>75.400000000000006</v>
      </c>
      <c r="P9" s="1152">
        <f>$G9*_xlfn.XLOOKUP($F9,'Baumaterialien Matériaux'!$A:$A,'Baumaterialien Matériaux'!AH:AH,0,0)</f>
        <v>3.03</v>
      </c>
      <c r="R9" s="823">
        <f t="shared" ref="R9:R23" si="0">(L9+M9)/I9</f>
        <v>4.503333333333333</v>
      </c>
    </row>
    <row r="10" spans="1:23" s="624" customFormat="1">
      <c r="A10" s="625" t="str">
        <f>D10</f>
        <v>Blindage de fouille, paroi berlinoise, étayé</v>
      </c>
      <c r="D10" s="625" t="str">
        <f>VLOOKUP($F10,'Baumaterialien Matériaux'!$A$10:$AD$432,30,FALSE)</f>
        <v>Blindage de fouille, paroi berlinoise, étayé</v>
      </c>
      <c r="E10" s="182" t="str">
        <f>_xlfn.XLOOKUP($F10,'Baumaterialien Matériaux'!$A:$A,'Baumaterialien Matériaux'!G:G,0,0)</f>
        <v>m2</v>
      </c>
      <c r="F10" s="624" t="s">
        <v>640</v>
      </c>
      <c r="G10" s="624">
        <v>1</v>
      </c>
      <c r="I10" s="627">
        <v>60</v>
      </c>
      <c r="J10" s="627"/>
      <c r="K10" s="627"/>
      <c r="L10" s="627">
        <f>$G10*_xlfn.XLOOKUP($F10,'Baumaterialien Matériaux'!$A:$A,'Baumaterialien Matériaux'!AA:AA,0,0)</f>
        <v>178</v>
      </c>
      <c r="M10" s="627">
        <f>$G10*_xlfn.XLOOKUP($F10,'Baumaterialien Matériaux'!$A:$A,'Baumaterialien Matériaux'!AB:AB,0,0)</f>
        <v>8.26</v>
      </c>
      <c r="N10" s="627"/>
      <c r="O10" s="627">
        <f>$G10*_xlfn.XLOOKUP($F10,'Baumaterialien Matériaux'!$A:$A,'Baumaterialien Matériaux'!AG:AG,0,0)</f>
        <v>54.1</v>
      </c>
      <c r="P10" s="627">
        <f>$G10*_xlfn.XLOOKUP($F10,'Baumaterialien Matériaux'!$A:$A,'Baumaterialien Matériaux'!AH:AH,0,0)</f>
        <v>1.76</v>
      </c>
      <c r="R10" s="823">
        <f t="shared" si="0"/>
        <v>3.1043333333333334</v>
      </c>
      <c r="S10" s="624">
        <v>3.06</v>
      </c>
    </row>
    <row r="11" spans="1:23" s="181" customFormat="1">
      <c r="A11" s="180"/>
      <c r="D11" s="182" t="str">
        <f>VLOOKUP($F11,'Baumaterialien Matériaux'!$A$10:$AD$432,30,FALSE)</f>
        <v>Blindage de fouille, paroi berlinoise, fixe</v>
      </c>
      <c r="E11" s="182" t="str">
        <f>_xlfn.XLOOKUP($F11,'Baumaterialien Matériaux'!$A:$A,'Baumaterialien Matériaux'!G:G,0,0)</f>
        <v>m2</v>
      </c>
      <c r="F11" s="181" t="s">
        <v>641</v>
      </c>
      <c r="G11" s="181">
        <v>1</v>
      </c>
      <c r="I11" s="597">
        <v>60</v>
      </c>
      <c r="J11" s="597"/>
      <c r="K11" s="597"/>
      <c r="L11" s="597">
        <f>$G11*_xlfn.XLOOKUP($F11,'Baumaterialien Matériaux'!$A:$A,'Baumaterialien Matériaux'!AA:AA,0,0)</f>
        <v>187</v>
      </c>
      <c r="M11" s="597">
        <f>$G11*_xlfn.XLOOKUP($F11,'Baumaterialien Matériaux'!$A:$A,'Baumaterialien Matériaux'!AB:AB,0,0)</f>
        <v>9.5399999999999991</v>
      </c>
      <c r="N11" s="597"/>
      <c r="O11" s="597">
        <f>$G11*_xlfn.XLOOKUP($F11,'Baumaterialien Matériaux'!$A:$A,'Baumaterialien Matériaux'!AG:AG,0,0)</f>
        <v>54.7</v>
      </c>
      <c r="P11" s="597">
        <f>$G11*_xlfn.XLOOKUP($F11,'Baumaterialien Matériaux'!$A:$A,'Baumaterialien Matériaux'!AH:AH,0,0)</f>
        <v>2.04</v>
      </c>
      <c r="R11" s="823">
        <f t="shared" si="0"/>
        <v>3.2756666666666665</v>
      </c>
    </row>
    <row r="12" spans="1:23" s="181" customFormat="1">
      <c r="A12" s="181" t="str">
        <f>D12</f>
        <v>Blindage de fouille, paroi moulée, 400 mm</v>
      </c>
      <c r="D12" s="182" t="str">
        <f>VLOOKUP($F12,'Baumaterialien Matériaux'!$A$10:$AD$432,30,FALSE)</f>
        <v>Blindage de fouille, paroi moulée, 400 mm</v>
      </c>
      <c r="E12" s="182" t="str">
        <f>_xlfn.XLOOKUP($F12,'Baumaterialien Matériaux'!$A:$A,'Baumaterialien Matériaux'!G:G,0,0)</f>
        <v>m2</v>
      </c>
      <c r="F12" s="181" t="s">
        <v>642</v>
      </c>
      <c r="G12" s="181">
        <v>1</v>
      </c>
      <c r="I12" s="597">
        <v>60</v>
      </c>
      <c r="J12" s="597"/>
      <c r="K12" s="597"/>
      <c r="L12" s="597">
        <f>$G12*_xlfn.XLOOKUP($F12,'Baumaterialien Matériaux'!$A:$A,'Baumaterialien Matériaux'!AA:AA,0,0)</f>
        <v>393</v>
      </c>
      <c r="M12" s="597">
        <f>$G12*_xlfn.XLOOKUP($F12,'Baumaterialien Matériaux'!$A:$A,'Baumaterialien Matériaux'!AB:AB,0,0)</f>
        <v>30.3</v>
      </c>
      <c r="N12" s="597"/>
      <c r="O12" s="597">
        <f>$G12*_xlfn.XLOOKUP($F12,'Baumaterialien Matériaux'!$A:$A,'Baumaterialien Matériaux'!AG:AG,0,0)</f>
        <v>118</v>
      </c>
      <c r="P12" s="597">
        <f>$G12*_xlfn.XLOOKUP($F12,'Baumaterialien Matériaux'!$A:$A,'Baumaterialien Matériaux'!AH:AH,0,0)</f>
        <v>6.34</v>
      </c>
      <c r="R12" s="823">
        <f t="shared" si="0"/>
        <v>7.0550000000000006</v>
      </c>
    </row>
    <row r="13" spans="1:23" s="181" customFormat="1">
      <c r="A13" s="180"/>
      <c r="D13" s="182" t="str">
        <f>VLOOKUP($F13,'Baumaterialien Matériaux'!$A$10:$AD$432,30,FALSE)</f>
        <v>Blindage de fouille, paroi moulée, 800 mm</v>
      </c>
      <c r="E13" s="182" t="str">
        <f>_xlfn.XLOOKUP($F13,'Baumaterialien Matériaux'!$A:$A,'Baumaterialien Matériaux'!G:G,0,0)</f>
        <v>m2</v>
      </c>
      <c r="F13" s="181" t="s">
        <v>643</v>
      </c>
      <c r="G13" s="181">
        <v>1</v>
      </c>
      <c r="I13" s="597">
        <v>60</v>
      </c>
      <c r="J13" s="597"/>
      <c r="K13" s="597"/>
      <c r="L13" s="597">
        <f>$G13*_xlfn.XLOOKUP($F13,'Baumaterialien Matériaux'!$A:$A,'Baumaterialien Matériaux'!AA:AA,0,0)</f>
        <v>749</v>
      </c>
      <c r="M13" s="597">
        <f>$G13*_xlfn.XLOOKUP($F13,'Baumaterialien Matériaux'!$A:$A,'Baumaterialien Matériaux'!AB:AB,0,0)</f>
        <v>59.8</v>
      </c>
      <c r="N13" s="597"/>
      <c r="O13" s="597">
        <f>$G13*_xlfn.XLOOKUP($F13,'Baumaterialien Matériaux'!$A:$A,'Baumaterialien Matériaux'!AG:AG,0,0)</f>
        <v>213</v>
      </c>
      <c r="P13" s="597">
        <f>$G13*_xlfn.XLOOKUP($F13,'Baumaterialien Matériaux'!$A:$A,'Baumaterialien Matériaux'!AH:AH,0,0)</f>
        <v>12.6</v>
      </c>
      <c r="R13" s="823">
        <f t="shared" si="0"/>
        <v>13.479999999999999</v>
      </c>
    </row>
    <row r="14" spans="1:23" s="181" customFormat="1">
      <c r="A14" s="181" t="str">
        <f>D14</f>
        <v>Blindage de fouille, paroi de palplanche, en porte-à-faux</v>
      </c>
      <c r="D14" s="182" t="str">
        <f>VLOOKUP($F14,'Baumaterialien Matériaux'!$A$10:$AD$432,30,FALSE)</f>
        <v>Blindage de fouille, paroi de palplanche, en porte-à-faux</v>
      </c>
      <c r="E14" s="182" t="str">
        <f>_xlfn.XLOOKUP($F14,'Baumaterialien Matériaux'!$A:$A,'Baumaterialien Matériaux'!G:G,0,0)</f>
        <v>m2</v>
      </c>
      <c r="F14" s="181" t="s">
        <v>644</v>
      </c>
      <c r="G14" s="181">
        <v>1</v>
      </c>
      <c r="I14" s="597">
        <v>60</v>
      </c>
      <c r="J14" s="597"/>
      <c r="K14" s="597"/>
      <c r="L14" s="597">
        <f>$G14*_xlfn.XLOOKUP($F14,'Baumaterialien Matériaux'!$A:$A,'Baumaterialien Matériaux'!AA:AA,0,0)</f>
        <v>168</v>
      </c>
      <c r="M14" s="597">
        <f>$G14*_xlfn.XLOOKUP($F14,'Baumaterialien Matériaux'!$A:$A,'Baumaterialien Matériaux'!AB:AB,0,0)</f>
        <v>1.06</v>
      </c>
      <c r="N14" s="597"/>
      <c r="O14" s="597">
        <f>$G14*_xlfn.XLOOKUP($F14,'Baumaterialien Matériaux'!$A:$A,'Baumaterialien Matériaux'!AG:AG,0,0)</f>
        <v>52.5</v>
      </c>
      <c r="P14" s="597">
        <f>$G14*_xlfn.XLOOKUP($F14,'Baumaterialien Matériaux'!$A:$A,'Baumaterialien Matériaux'!AH:AH,0,0)</f>
        <v>0</v>
      </c>
      <c r="R14" s="823">
        <f t="shared" si="0"/>
        <v>2.8176666666666668</v>
      </c>
    </row>
    <row r="15" spans="1:23" s="181" customFormat="1">
      <c r="A15" s="180"/>
      <c r="D15" s="182" t="str">
        <f>VLOOKUP($F15,'Baumaterialien Matériaux'!$A$10:$AD$432,30,FALSE)</f>
        <v>Blindage de fouille, paroi de palplanche, étayé</v>
      </c>
      <c r="E15" s="182" t="str">
        <f>_xlfn.XLOOKUP($F15,'Baumaterialien Matériaux'!$A:$A,'Baumaterialien Matériaux'!G:G,0,0)</f>
        <v>m2</v>
      </c>
      <c r="F15" s="181" t="s">
        <v>645</v>
      </c>
      <c r="G15" s="181">
        <v>1</v>
      </c>
      <c r="I15" s="597">
        <v>60</v>
      </c>
      <c r="J15" s="597"/>
      <c r="K15" s="597"/>
      <c r="L15" s="597">
        <f>$G15*_xlfn.XLOOKUP($F15,'Baumaterialien Matériaux'!$A:$A,'Baumaterialien Matériaux'!AA:AA,0,0)</f>
        <v>95.1</v>
      </c>
      <c r="M15" s="597">
        <f>$G15*_xlfn.XLOOKUP($F15,'Baumaterialien Matériaux'!$A:$A,'Baumaterialien Matériaux'!AB:AB,0,0)</f>
        <v>0.57999999999999996</v>
      </c>
      <c r="N15" s="597"/>
      <c r="O15" s="597">
        <f>$G15*_xlfn.XLOOKUP($F15,'Baumaterialien Matériaux'!$A:$A,'Baumaterialien Matériaux'!AG:AG,0,0)</f>
        <v>29.4</v>
      </c>
      <c r="P15" s="597">
        <f>$G15*_xlfn.XLOOKUP($F15,'Baumaterialien Matériaux'!$A:$A,'Baumaterialien Matériaux'!AH:AH,0,0)</f>
        <v>0</v>
      </c>
      <c r="R15" s="823">
        <f t="shared" si="0"/>
        <v>1.5946666666666665</v>
      </c>
    </row>
    <row r="16" spans="1:23" s="181" customFormat="1">
      <c r="A16" s="180"/>
      <c r="D16" s="182" t="str">
        <f>VLOOKUP($F16,'Baumaterialien Matériaux'!$A$10:$AD$432,30,FALSE)</f>
        <v>Blindage de fouille, paroi de palplanche, fixe</v>
      </c>
      <c r="E16" s="182" t="str">
        <f>_xlfn.XLOOKUP($F16,'Baumaterialien Matériaux'!$A:$A,'Baumaterialien Matériaux'!G:G,0,0)</f>
        <v>m2</v>
      </c>
      <c r="F16" s="181" t="s">
        <v>646</v>
      </c>
      <c r="G16" s="181">
        <v>1</v>
      </c>
      <c r="I16" s="597">
        <v>60</v>
      </c>
      <c r="J16" s="597"/>
      <c r="K16" s="597"/>
      <c r="L16" s="597">
        <f>$G16*_xlfn.XLOOKUP($F16,'Baumaterialien Matériaux'!$A:$A,'Baumaterialien Matériaux'!AA:AA,0,0)</f>
        <v>185</v>
      </c>
      <c r="M16" s="597">
        <f>$G16*_xlfn.XLOOKUP($F16,'Baumaterialien Matériaux'!$A:$A,'Baumaterialien Matériaux'!AB:AB,0,0)</f>
        <v>2.4900000000000002</v>
      </c>
      <c r="N16" s="597"/>
      <c r="O16" s="597">
        <f>$G16*_xlfn.XLOOKUP($F16,'Baumaterialien Matériaux'!$A:$A,'Baumaterialien Matériaux'!AG:AG,0,0)</f>
        <v>59.6</v>
      </c>
      <c r="P16" s="597">
        <f>$G16*_xlfn.XLOOKUP($F16,'Baumaterialien Matériaux'!$A:$A,'Baumaterialien Matériaux'!AH:AH,0,0)</f>
        <v>0</v>
      </c>
      <c r="R16" s="823">
        <f t="shared" si="0"/>
        <v>3.1248333333333336</v>
      </c>
    </row>
    <row r="17" spans="1:19" s="181" customFormat="1">
      <c r="A17" s="180"/>
      <c r="D17" s="182"/>
      <c r="E17" s="182"/>
      <c r="I17" s="597"/>
      <c r="J17" s="597"/>
      <c r="K17" s="597"/>
      <c r="L17" s="597"/>
      <c r="M17" s="597"/>
      <c r="N17" s="597"/>
      <c r="O17" s="597">
        <f>$G17*_xlfn.XLOOKUP($F17,'Baumaterialien Matériaux'!$A:$A,'Baumaterialien Matériaux'!AG:AG,0,0)</f>
        <v>0</v>
      </c>
      <c r="P17" s="597">
        <f>$G17*_xlfn.XLOOKUP($F17,'Baumaterialien Matériaux'!$A:$A,'Baumaterialien Matériaux'!AH:AH,0,0)</f>
        <v>0</v>
      </c>
      <c r="R17" s="823"/>
    </row>
    <row r="18" spans="1:19" s="145" customFormat="1">
      <c r="A18" s="1153" t="s">
        <v>647</v>
      </c>
      <c r="B18" s="145" t="str">
        <f>'Outil détaillé'!D8</f>
        <v>Pieux de fondation</v>
      </c>
      <c r="O18" s="145">
        <f>$G18*_xlfn.XLOOKUP($F18,'Baumaterialien Matériaux'!$A:$A,'Baumaterialien Matériaux'!AG:AG,0,0)</f>
        <v>0</v>
      </c>
      <c r="P18" s="145">
        <f>$G18*_xlfn.XLOOKUP($F18,'Baumaterialien Matériaux'!$A:$A,'Baumaterialien Matériaux'!AH:AH,0,0)</f>
        <v>0</v>
      </c>
      <c r="R18" s="823"/>
    </row>
    <row r="19" spans="1:19" s="181" customFormat="1" ht="15" customHeight="1">
      <c r="A19" s="182" t="str">
        <f>VLOOKUP($F19,'Baumaterialien Matériaux'!$A$10:$AD$432,30,FALSE)</f>
        <v xml:space="preserve">Fondations profondes, micropieu </v>
      </c>
      <c r="B19" s="181" t="s">
        <v>648</v>
      </c>
      <c r="D19" s="182" t="str">
        <f>VLOOKUP($F19,'Baumaterialien Matériaux'!$A$10:$AD$432,30,FALSE)</f>
        <v xml:space="preserve">Fondations profondes, micropieu </v>
      </c>
      <c r="E19" s="182" t="str">
        <f>_xlfn.XLOOKUP($F19,'Baumaterialien Matériaux'!$A:$A,'Baumaterialien Matériaux'!G:G,0,0)</f>
        <v>m</v>
      </c>
      <c r="F19" s="598" t="s">
        <v>649</v>
      </c>
      <c r="G19" s="182">
        <v>1.5</v>
      </c>
      <c r="I19" s="181">
        <v>60</v>
      </c>
      <c r="L19" s="181">
        <f>$G19*_xlfn.XLOOKUP($F19,'Baumaterialien Matériaux'!$A:$A,'Baumaterialien Matériaux'!AA:AA,0,0)</f>
        <v>47.099999999999994</v>
      </c>
      <c r="M19" s="181">
        <f>$G19*_xlfn.XLOOKUP($F19,'Baumaterialien Matériaux'!$A:$A,'Baumaterialien Matériaux'!AB:AB,0,0)</f>
        <v>0</v>
      </c>
      <c r="O19" s="181">
        <f>$G19*_xlfn.XLOOKUP($F19,'Baumaterialien Matériaux'!$A:$A,'Baumaterialien Matériaux'!AG:AG,0,0)</f>
        <v>14.265000000000001</v>
      </c>
      <c r="P19" s="181">
        <f>$G19*_xlfn.XLOOKUP($F19,'Baumaterialien Matériaux'!$A:$A,'Baumaterialien Matériaux'!AH:AH,0,0)</f>
        <v>0</v>
      </c>
      <c r="R19" s="823">
        <f t="shared" si="0"/>
        <v>0.78499999999999992</v>
      </c>
      <c r="S19" s="181">
        <v>0.77</v>
      </c>
    </row>
    <row r="20" spans="1:19" s="181" customFormat="1">
      <c r="A20" s="180"/>
      <c r="D20" s="182" t="str">
        <f>VLOOKUP($F20,'Baumaterialien Matériaux'!$A$10:$AD$432,30,FALSE)</f>
        <v>Fondations profondes, pieu coulé sur site, 900 mm</v>
      </c>
      <c r="E20" s="182" t="str">
        <f>_xlfn.XLOOKUP($F20,'Baumaterialien Matériaux'!$A:$A,'Baumaterialien Matériaux'!G:G,0,0)</f>
        <v>m</v>
      </c>
      <c r="F20" s="598" t="s">
        <v>650</v>
      </c>
      <c r="G20" s="182">
        <v>1.5</v>
      </c>
      <c r="I20" s="181">
        <v>60</v>
      </c>
      <c r="L20" s="181">
        <f>$G20*_xlfn.XLOOKUP($F20,'Baumaterialien Matériaux'!$A:$A,'Baumaterialien Matériaux'!AA:AA,0,0)</f>
        <v>366</v>
      </c>
      <c r="M20" s="181">
        <f>$G20*_xlfn.XLOOKUP($F20,'Baumaterialien Matériaux'!$A:$A,'Baumaterialien Matériaux'!AB:AB,0,0)</f>
        <v>0</v>
      </c>
      <c r="O20" s="181">
        <f>$G20*_xlfn.XLOOKUP($F20,'Baumaterialien Matériaux'!$A:$A,'Baumaterialien Matériaux'!AG:AG,0,0)</f>
        <v>93.6</v>
      </c>
      <c r="P20" s="181">
        <f>$G20*_xlfn.XLOOKUP($F20,'Baumaterialien Matériaux'!$A:$A,'Baumaterialien Matériaux'!AH:AH,0,0)</f>
        <v>0</v>
      </c>
      <c r="R20" s="823">
        <f t="shared" si="0"/>
        <v>6.1</v>
      </c>
    </row>
    <row r="21" spans="1:19" s="181" customFormat="1">
      <c r="A21" s="182" t="str">
        <f>VLOOKUP($F21,'Baumaterialien Matériaux'!$A$10:$AD$432,30,FALSE)</f>
        <v>Fondations profondes, pieux forés vissés, 660/580 mm</v>
      </c>
      <c r="B21" s="181" t="s">
        <v>651</v>
      </c>
      <c r="D21" s="182" t="str">
        <f>VLOOKUP($F21,'Baumaterialien Matériaux'!$A$10:$AD$432,30,FALSE)</f>
        <v>Fondations profondes, pieux forés vissés, 660/580 mm</v>
      </c>
      <c r="E21" s="182" t="str">
        <f>_xlfn.XLOOKUP($F21,'Baumaterialien Matériaux'!$A:$A,'Baumaterialien Matériaux'!G:G,0,0)</f>
        <v>m</v>
      </c>
      <c r="F21" s="598" t="s">
        <v>652</v>
      </c>
      <c r="G21" s="182">
        <v>1.5</v>
      </c>
      <c r="I21" s="181">
        <v>60</v>
      </c>
      <c r="L21" s="181">
        <f>$G21*_xlfn.XLOOKUP($F21,'Baumaterialien Matériaux'!$A:$A,'Baumaterialien Matériaux'!AA:AA,0,0)</f>
        <v>143.85000000000002</v>
      </c>
      <c r="M21" s="181">
        <f>$G21*_xlfn.XLOOKUP($F21,'Baumaterialien Matériaux'!$A:$A,'Baumaterialien Matériaux'!AB:AB,0,0)</f>
        <v>0</v>
      </c>
      <c r="O21" s="181">
        <f>$G21*_xlfn.XLOOKUP($F21,'Baumaterialien Matériaux'!$A:$A,'Baumaterialien Matériaux'!AG:AG,0,0)</f>
        <v>37.200000000000003</v>
      </c>
      <c r="P21" s="181">
        <f>$G21*_xlfn.XLOOKUP($F21,'Baumaterialien Matériaux'!$A:$A,'Baumaterialien Matériaux'!AH:AH,0,0)</f>
        <v>0</v>
      </c>
      <c r="R21" s="823">
        <f t="shared" si="0"/>
        <v>2.3975000000000004</v>
      </c>
    </row>
    <row r="22" spans="1:19" s="181" customFormat="1">
      <c r="A22" s="180"/>
      <c r="D22" s="182" t="str">
        <f>VLOOKUP($F22,'Baumaterialien Matériaux'!$A$10:$AD$432,30,FALSE)</f>
        <v>Fondations profondes, colonnes ballastées</v>
      </c>
      <c r="E22" s="182" t="str">
        <f>_xlfn.XLOOKUP($F22,'Baumaterialien Matériaux'!$A:$A,'Baumaterialien Matériaux'!G:G,0,0)</f>
        <v>m</v>
      </c>
      <c r="F22" s="598" t="s">
        <v>653</v>
      </c>
      <c r="G22" s="182">
        <v>1.5</v>
      </c>
      <c r="I22" s="181">
        <v>60</v>
      </c>
      <c r="L22" s="181">
        <f>$G22*_xlfn.XLOOKUP($F22,'Baumaterialien Matériaux'!$A:$A,'Baumaterialien Matériaux'!AA:AA,0,0)</f>
        <v>10.11</v>
      </c>
      <c r="M22" s="181">
        <f>$G22*_xlfn.XLOOKUP($F22,'Baumaterialien Matériaux'!$A:$A,'Baumaterialien Matériaux'!AB:AB,0,0)</f>
        <v>0</v>
      </c>
      <c r="O22" s="181">
        <f>$G22*_xlfn.XLOOKUP($F22,'Baumaterialien Matériaux'!$A:$A,'Baumaterialien Matériaux'!AG:AG,0,0)</f>
        <v>2.5649999999999999</v>
      </c>
      <c r="P22" s="181">
        <f>$G22*_xlfn.XLOOKUP($F22,'Baumaterialien Matériaux'!$A:$A,'Baumaterialien Matériaux'!AH:AH,0,0)</f>
        <v>0</v>
      </c>
      <c r="R22" s="823">
        <f t="shared" si="0"/>
        <v>0.16849999999999998</v>
      </c>
    </row>
    <row r="23" spans="1:19" s="624" customFormat="1">
      <c r="A23" s="625" t="str">
        <f>VLOOKUP($F23,'Baumaterialien Matériaux'!$A$10:$AD$432,30,FALSE)</f>
        <v>Fondations profondes, pieu en béton préfabriqué</v>
      </c>
      <c r="B23" s="624" t="s">
        <v>654</v>
      </c>
      <c r="D23" s="625" t="str">
        <f>VLOOKUP($F23,'Baumaterialien Matériaux'!$A$10:$AD$432,30,FALSE)</f>
        <v>Fondations profondes, pieu en béton préfabriqué</v>
      </c>
      <c r="E23" s="182" t="str">
        <f>_xlfn.XLOOKUP($F23,'Baumaterialien Matériaux'!$A:$A,'Baumaterialien Matériaux'!G:G,0,0)</f>
        <v>m</v>
      </c>
      <c r="F23" s="628" t="s">
        <v>655</v>
      </c>
      <c r="G23" s="625">
        <v>1.5</v>
      </c>
      <c r="I23" s="624">
        <v>60</v>
      </c>
      <c r="L23" s="624">
        <f>$G23*_xlfn.XLOOKUP($F23,'Baumaterialien Matériaux'!$A:$A,'Baumaterialien Matériaux'!AA:AA,0,0)</f>
        <v>43.8</v>
      </c>
      <c r="M23" s="624">
        <f>$G23*_xlfn.XLOOKUP($F23,'Baumaterialien Matériaux'!$A:$A,'Baumaterialien Matériaux'!AB:AB,0,0)</f>
        <v>0</v>
      </c>
      <c r="O23" s="624">
        <f>$G23*_xlfn.XLOOKUP($F23,'Baumaterialien Matériaux'!$A:$A,'Baumaterialien Matériaux'!AG:AG,0,0)</f>
        <v>11.16</v>
      </c>
      <c r="P23" s="624">
        <f>$G23*_xlfn.XLOOKUP($F23,'Baumaterialien Matériaux'!$A:$A,'Baumaterialien Matériaux'!AH:AH,0,0)</f>
        <v>0</v>
      </c>
      <c r="R23" s="823">
        <f t="shared" si="0"/>
        <v>0.73</v>
      </c>
    </row>
    <row r="25" spans="1:19" s="738" customFormat="1" ht="15">
      <c r="A25" s="736" t="s">
        <v>656</v>
      </c>
      <c r="B25" s="736"/>
      <c r="C25" s="736"/>
      <c r="D25" s="736"/>
      <c r="E25" s="736"/>
      <c r="F25" s="736"/>
      <c r="G25" s="736"/>
      <c r="H25" s="736"/>
      <c r="I25" s="1141"/>
      <c r="J25" s="737"/>
      <c r="P25" s="1050"/>
      <c r="Q25" s="1050"/>
      <c r="R25" s="1050"/>
      <c r="S25" s="1050"/>
    </row>
    <row r="26" spans="1:19">
      <c r="A26" s="3">
        <v>0</v>
      </c>
    </row>
    <row r="28" spans="1:19">
      <c r="A28" s="3" t="s">
        <v>657</v>
      </c>
    </row>
    <row r="43" spans="1:2">
      <c r="A43" s="3" t="s">
        <v>658</v>
      </c>
      <c r="B43" s="3" t="s">
        <v>659</v>
      </c>
    </row>
    <row r="44" spans="1:2">
      <c r="A44" s="3" t="s">
        <v>660</v>
      </c>
      <c r="B44" s="3" t="s">
        <v>661</v>
      </c>
    </row>
    <row r="45" spans="1:2">
      <c r="A45" s="3" t="s">
        <v>662</v>
      </c>
      <c r="B45" s="3" t="s">
        <v>663</v>
      </c>
    </row>
    <row r="47" spans="1:2">
      <c r="A47" s="3" t="s">
        <v>664</v>
      </c>
      <c r="B47" s="3" t="s">
        <v>665</v>
      </c>
    </row>
    <row r="48" spans="1:2">
      <c r="A48" s="3" t="s">
        <v>666</v>
      </c>
    </row>
    <row r="49" spans="1:7">
      <c r="A49" s="3" t="s">
        <v>667</v>
      </c>
      <c r="B49" s="3" t="s">
        <v>668</v>
      </c>
    </row>
    <row r="50" spans="1:7">
      <c r="A50" s="3" t="s">
        <v>669</v>
      </c>
      <c r="B50" s="3" t="s">
        <v>670</v>
      </c>
    </row>
    <row r="55" spans="1:7">
      <c r="A55" s="3" t="s">
        <v>671</v>
      </c>
    </row>
    <row r="56" spans="1:7">
      <c r="A56" s="3" t="s">
        <v>117</v>
      </c>
      <c r="G56" s="3" t="s">
        <v>672</v>
      </c>
    </row>
    <row r="85" spans="1:13">
      <c r="A85" s="3" t="s">
        <v>673</v>
      </c>
    </row>
    <row r="87" spans="1:13">
      <c r="B87" s="3" t="s">
        <v>674</v>
      </c>
      <c r="D87" s="3">
        <f>Hypothèses!D4*'Outil simplifié'!D17</f>
        <v>0</v>
      </c>
      <c r="F87" s="3" t="s">
        <v>362</v>
      </c>
      <c r="H87" s="3" t="s">
        <v>675</v>
      </c>
      <c r="L87" s="3">
        <f>Hypothèses!D4*'Outil simplifié'!D17</f>
        <v>0</v>
      </c>
      <c r="M87" s="3" t="s">
        <v>362</v>
      </c>
    </row>
    <row r="88" spans="1:13">
      <c r="A88" s="3">
        <v>1</v>
      </c>
      <c r="B88" s="3" t="s">
        <v>676</v>
      </c>
      <c r="D88" s="3">
        <f>D87/A88</f>
        <v>0</v>
      </c>
      <c r="F88" s="3" t="s">
        <v>362</v>
      </c>
      <c r="G88" s="3">
        <v>10</v>
      </c>
      <c r="H88" s="3" t="s">
        <v>677</v>
      </c>
      <c r="L88" s="3">
        <f>L87/G88</f>
        <v>0</v>
      </c>
      <c r="M88" s="3" t="s">
        <v>362</v>
      </c>
    </row>
    <row r="89" spans="1:13">
      <c r="B89" s="3" t="s">
        <v>678</v>
      </c>
      <c r="D89" s="3">
        <f>(D87*D88)/2</f>
        <v>0</v>
      </c>
      <c r="L89" s="3">
        <f>(L87*L88)/2</f>
        <v>0</v>
      </c>
    </row>
    <row r="90" spans="1:13">
      <c r="L90" s="3">
        <f>(L87*L87*(1/10))/2</f>
        <v>0</v>
      </c>
    </row>
    <row r="91" spans="1:13">
      <c r="B91" s="3">
        <f>(D87*D87*(1/1))/2</f>
        <v>0</v>
      </c>
    </row>
    <row r="93" spans="1:13">
      <c r="B93" s="3" t="s">
        <v>679</v>
      </c>
      <c r="D93" s="132">
        <f>Hypothèses!E26*4</f>
        <v>0</v>
      </c>
      <c r="E93" s="132"/>
      <c r="F93" s="3" t="s">
        <v>362</v>
      </c>
    </row>
    <row r="95" spans="1:13">
      <c r="B95" s="3" t="s">
        <v>514</v>
      </c>
      <c r="D95" s="162">
        <f>D89*D93</f>
        <v>0</v>
      </c>
      <c r="E95" s="162"/>
      <c r="L95" s="3">
        <f>L89*D93</f>
        <v>0</v>
      </c>
    </row>
  </sheetData>
  <dataConsolidate/>
  <customSheetViews>
    <customSheetView guid="{B32447E2-AB5B-4CBB-881B-FF11349CA4D6}" scale="95">
      <pane ySplit="2" topLeftCell="A3" activePane="bottomLeft" state="frozen"/>
      <selection pane="bottomLeft" activeCell="K3" sqref="K3"/>
      <pageMargins left="0" right="0" top="0" bottom="0" header="0" footer="0"/>
    </customSheetView>
    <customSheetView guid="{9FA74287-E657-475B-BF4B-3C8C757714AE}" scale="95">
      <pane ySplit="2" topLeftCell="A3" activePane="bottomLeft" state="frozen"/>
      <selection pane="bottomLeft" activeCell="K3" sqref="K3"/>
      <pageMargins left="0" right="0" top="0" bottom="0" header="0" footer="0"/>
    </customSheetView>
    <customSheetView guid="{54A7C567-FA7D-467E-B353-ECB5E61AE756}">
      <selection activeCell="A10" sqref="A10"/>
      <pageMargins left="0" right="0" top="0" bottom="0" header="0" footer="0"/>
    </customSheetView>
  </customSheetViews>
  <pageMargins left="0" right="0" top="0" bottom="0" header="0" footer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5">
    <pageSetUpPr autoPageBreaks="0"/>
  </sheetPr>
  <dimension ref="A1:T88"/>
  <sheetViews>
    <sheetView zoomScale="70" zoomScaleNormal="70" workbookViewId="0">
      <selection activeCell="C4" sqref="C4"/>
    </sheetView>
  </sheetViews>
  <sheetFormatPr baseColWidth="10" defaultColWidth="10.75" defaultRowHeight="14.25" outlineLevelCol="1"/>
  <cols>
    <col min="1" max="1" width="30.625" style="3" customWidth="1"/>
    <col min="2" max="2" width="29" style="3" customWidth="1" outlineLevel="1"/>
    <col min="3" max="3" width="54.5" style="3" customWidth="1" outlineLevel="1"/>
    <col min="4" max="4" width="32.75" style="3" customWidth="1"/>
    <col min="5" max="5" width="10.625" style="3" customWidth="1"/>
    <col min="6" max="6" width="8.5" style="3" customWidth="1"/>
    <col min="7" max="7" width="12.5" style="1137" customWidth="1"/>
    <col min="8" max="8" width="2.75" style="3" customWidth="1"/>
    <col min="9" max="9" width="10.75" style="3"/>
    <col min="10" max="10" width="14.125" style="145" customWidth="1" outlineLevel="1"/>
    <col min="11" max="11" width="12.75" style="145" customWidth="1" outlineLevel="1"/>
    <col min="12" max="16384" width="10.75" style="3"/>
  </cols>
  <sheetData>
    <row r="1" spans="1:20" ht="90">
      <c r="B1" s="1" t="s">
        <v>617</v>
      </c>
      <c r="C1" s="1" t="s">
        <v>618</v>
      </c>
      <c r="D1" s="1" t="s">
        <v>619</v>
      </c>
      <c r="E1" s="131" t="s">
        <v>620</v>
      </c>
      <c r="F1" s="1" t="s">
        <v>621</v>
      </c>
      <c r="G1" s="131" t="s">
        <v>680</v>
      </c>
      <c r="I1" s="131" t="s">
        <v>623</v>
      </c>
      <c r="J1" s="131" t="s">
        <v>624</v>
      </c>
      <c r="K1" s="131" t="s">
        <v>625</v>
      </c>
      <c r="L1" s="131" t="s">
        <v>626</v>
      </c>
      <c r="M1" s="131" t="s">
        <v>627</v>
      </c>
      <c r="N1" s="131" t="s">
        <v>628</v>
      </c>
      <c r="O1" s="131" t="s">
        <v>629</v>
      </c>
      <c r="P1" s="131" t="s">
        <v>630</v>
      </c>
      <c r="Q1"/>
      <c r="R1" s="131" t="s">
        <v>3809</v>
      </c>
      <c r="S1" s="131" t="s">
        <v>3810</v>
      </c>
      <c r="T1"/>
    </row>
    <row r="2" spans="1:20" s="1147" customFormat="1" ht="15.75">
      <c r="B2" s="1148"/>
      <c r="C2" s="1148"/>
      <c r="D2" s="1148"/>
      <c r="E2" s="1149"/>
      <c r="F2" s="1149">
        <v>0</v>
      </c>
      <c r="G2" s="1149">
        <v>0</v>
      </c>
      <c r="H2" s="1149">
        <v>0</v>
      </c>
      <c r="I2" s="1149">
        <v>0</v>
      </c>
      <c r="J2" s="1149">
        <v>0</v>
      </c>
      <c r="K2" s="1149">
        <v>0</v>
      </c>
      <c r="L2" s="1149">
        <v>0</v>
      </c>
      <c r="M2" s="1149">
        <v>0</v>
      </c>
      <c r="N2" s="1149">
        <v>0</v>
      </c>
      <c r="O2" s="1149">
        <v>0</v>
      </c>
      <c r="P2" s="1149">
        <v>0</v>
      </c>
      <c r="Q2" s="1150"/>
      <c r="R2" s="1150"/>
      <c r="S2" s="1150"/>
      <c r="T2" s="1150"/>
    </row>
    <row r="3" spans="1:20" s="736" customFormat="1" ht="15.75" thickBot="1">
      <c r="B3" s="736" t="str">
        <f>'Outil détaillé'!D10</f>
        <v>Fondations, radiers</v>
      </c>
      <c r="G3" s="1135"/>
      <c r="J3" s="143"/>
      <c r="K3" s="143"/>
      <c r="O3" s="1044"/>
      <c r="P3" s="1044"/>
    </row>
    <row r="4" spans="1:20" s="626" customFormat="1" ht="16.5">
      <c r="A4" s="1134" t="s">
        <v>121</v>
      </c>
      <c r="B4" s="1557" t="s">
        <v>681</v>
      </c>
      <c r="C4" s="629" t="s">
        <v>682</v>
      </c>
      <c r="D4" s="629" t="str">
        <f>VLOOKUP(F4,'Baumaterialien Matériaux'!$A$10:$AD$432,30,FALSE)</f>
        <v>Béton maigre (sans armature)</v>
      </c>
      <c r="E4" s="629" t="str">
        <f>VLOOKUP(F4,'Baumaterialien Matériaux'!$A$10:$AD$432,7,FALSE)</f>
        <v>kg</v>
      </c>
      <c r="F4" s="630" t="s">
        <v>683</v>
      </c>
      <c r="G4" s="1138">
        <f>0.07*2150</f>
        <v>150.50000000000003</v>
      </c>
      <c r="H4" s="631"/>
      <c r="I4" s="624">
        <v>60</v>
      </c>
      <c r="J4" s="938"/>
      <c r="K4" s="938"/>
      <c r="L4" s="1045">
        <f>$G4*_xlfn.XLOOKUP($F4,'Baumaterialien Matériaux'!$A:$A,'Baumaterialien Matériaux'!AA:AA,0,0)</f>
        <v>7.5551000000000013</v>
      </c>
      <c r="M4" s="1045">
        <f>$G4*_xlfn.XLOOKUP($F4,'Baumaterialien Matériaux'!$A:$A,'Baumaterialien Matériaux'!AB:AB,0,0)</f>
        <v>1.8963000000000003</v>
      </c>
      <c r="N4" s="1045">
        <f>$G4*_xlfn.XLOOKUP($F4,'Baumaterialien Matériaux'!$A:$A,'Baumaterialien Matériaux'!AC:AC,0,0)*44/12</f>
        <v>0</v>
      </c>
      <c r="O4" s="1045">
        <f>$G4*_xlfn.XLOOKUP($F4,'Baumaterialien Matériaux'!$A:$A,'Baumaterialien Matériaux'!AG:AG,0,0)</f>
        <v>1.8210500000000003</v>
      </c>
      <c r="P4" s="1045">
        <f>$G4*_xlfn.XLOOKUP($F4,'Baumaterialien Matériaux'!$A:$A,'Baumaterialien Matériaux'!AH:AH,0,0)</f>
        <v>0.34916000000000008</v>
      </c>
    </row>
    <row r="5" spans="1:20" s="626" customFormat="1">
      <c r="A5" s="922"/>
      <c r="B5" s="1558"/>
      <c r="C5" s="624" t="s">
        <v>684</v>
      </c>
      <c r="D5" s="624" t="str">
        <f>VLOOKUP(F5,'Baumaterialien Matériaux'!$A$10:$AD$432,30,FALSE)</f>
        <v>Béton pour bâtiment (sans armature)</v>
      </c>
      <c r="E5" s="624" t="str">
        <f>VLOOKUP(F5,'Baumaterialien Matériaux'!$A$10:$AD$432,7,FALSE)</f>
        <v>kg</v>
      </c>
      <c r="F5" s="632" t="s">
        <v>685</v>
      </c>
      <c r="G5" s="1138">
        <f>(0.3-G6/7850)*2300</f>
        <v>680.77070063694271</v>
      </c>
      <c r="H5" s="633"/>
      <c r="I5" s="624">
        <v>60</v>
      </c>
      <c r="J5" s="939"/>
      <c r="K5" s="939"/>
      <c r="L5" s="1045">
        <f>$G5*_xlfn.XLOOKUP($F5,'Baumaterialien Matériaux'!$A:$A,'Baumaterialien Matériaux'!AA:AA,0,0)</f>
        <v>60.384361146496822</v>
      </c>
      <c r="M5" s="1045">
        <f>$G5*_xlfn.XLOOKUP($F5,'Baumaterialien Matériaux'!$A:$A,'Baumaterialien Matériaux'!AB:AB,0,0)</f>
        <v>8.577710828025479</v>
      </c>
      <c r="N5" s="1045">
        <f>$G5*_xlfn.XLOOKUP($F5,'Baumaterialien Matériaux'!$A:$A,'Baumaterialien Matériaux'!AC:AC,0,0)*44/12</f>
        <v>0</v>
      </c>
      <c r="O5" s="1045">
        <f>$G5*_xlfn.XLOOKUP($F5,'Baumaterialien Matériaux'!$A:$A,'Baumaterialien Matériaux'!AG:AG,0,0)</f>
        <v>14.160030573248408</v>
      </c>
      <c r="P5" s="1045">
        <f>$G5*_xlfn.XLOOKUP($F5,'Baumaterialien Matériaux'!$A:$A,'Baumaterialien Matériaux'!AH:AH,0,0)</f>
        <v>1.8244654777070066</v>
      </c>
    </row>
    <row r="6" spans="1:20" s="626" customFormat="1">
      <c r="A6" s="922"/>
      <c r="B6" s="1558"/>
      <c r="C6" s="624" t="s">
        <v>686</v>
      </c>
      <c r="D6" s="624" t="str">
        <f>VLOOKUP(F6,'Baumaterialien Matériaux'!$A$10:$AD$432,30,FALSE)</f>
        <v>Acier d'armature</v>
      </c>
      <c r="E6" s="624" t="str">
        <f>VLOOKUP(F6,'Baumaterialien Matériaux'!$A$10:$AD$432,7,FALSE)</f>
        <v>kg</v>
      </c>
      <c r="F6" s="632" t="s">
        <v>687</v>
      </c>
      <c r="G6" s="1138">
        <f>105*0.3</f>
        <v>31.5</v>
      </c>
      <c r="H6" s="633"/>
      <c r="I6" s="635">
        <v>60</v>
      </c>
      <c r="J6" s="939"/>
      <c r="K6" s="939"/>
      <c r="L6" s="1046">
        <f>$G6*_xlfn.XLOOKUP($F6,'Baumaterialien Matériaux'!$A:$A,'Baumaterialien Matériaux'!AA:AA,0,0)</f>
        <v>24.349499999999999</v>
      </c>
      <c r="M6" s="1046">
        <f>$G6*_xlfn.XLOOKUP($F6,'Baumaterialien Matériaux'!$A:$A,'Baumaterialien Matériaux'!AB:AB,0,0)</f>
        <v>0.38430000000000003</v>
      </c>
      <c r="N6" s="1046">
        <f>$G6*_xlfn.XLOOKUP($F6,'Baumaterialien Matériaux'!$A:$A,'Baumaterialien Matériaux'!AC:AC,0,0)*44/12</f>
        <v>0</v>
      </c>
      <c r="O6" s="1046">
        <f>$G6*_xlfn.XLOOKUP($F6,'Baumaterialien Matériaux'!$A:$A,'Baumaterialien Matériaux'!AG:AG,0,0)</f>
        <v>9.1664999999999992</v>
      </c>
      <c r="P6" s="1046">
        <f>$G6*_xlfn.XLOOKUP($F6,'Baumaterialien Matériaux'!$A:$A,'Baumaterialien Matériaux'!AH:AH,0,0)</f>
        <v>0</v>
      </c>
    </row>
    <row r="7" spans="1:20" s="626" customFormat="1" ht="15.75" thickBot="1">
      <c r="A7" s="636"/>
      <c r="B7" s="637"/>
      <c r="C7" s="637"/>
      <c r="D7" s="637"/>
      <c r="E7" s="637"/>
      <c r="F7" s="637"/>
      <c r="G7" s="1136"/>
      <c r="H7" s="638"/>
      <c r="I7" s="639">
        <v>60</v>
      </c>
      <c r="J7" s="940"/>
      <c r="K7" s="940"/>
      <c r="L7" s="1047">
        <f>SUM(L4:L6)</f>
        <v>92.288961146496831</v>
      </c>
      <c r="M7" s="1047">
        <f>SUM(M4:M6)</f>
        <v>10.858310828025479</v>
      </c>
      <c r="N7" s="1047">
        <f>SUM(N4:N6)</f>
        <v>0</v>
      </c>
      <c r="O7" s="1047">
        <f>SUM(O4:O6)</f>
        <v>25.147580573248405</v>
      </c>
      <c r="P7" s="1047">
        <f>SUM(P4:P6)</f>
        <v>2.1736254777070068</v>
      </c>
      <c r="R7" s="823">
        <f>(L7+M7)/I7</f>
        <v>1.7191211995753719</v>
      </c>
      <c r="S7" s="823">
        <v>1.63</v>
      </c>
    </row>
    <row r="8" spans="1:20">
      <c r="C8" s="149"/>
      <c r="D8" s="149"/>
      <c r="E8" s="149"/>
      <c r="L8" s="162"/>
      <c r="M8" s="162"/>
      <c r="N8" s="162"/>
      <c r="O8" s="162"/>
      <c r="P8" s="162"/>
    </row>
    <row r="9" spans="1:20" s="626" customFormat="1" ht="15.6" customHeight="1">
      <c r="A9" s="646" t="s">
        <v>688</v>
      </c>
      <c r="B9" s="1554" t="s">
        <v>681</v>
      </c>
      <c r="C9" s="641" t="str">
        <f>C4</f>
        <v>Magerbeton / Béton maigre 7 cm [kg], 2'150 [kg/m3]</v>
      </c>
      <c r="D9" s="624" t="str">
        <f>VLOOKUP(F9,'Baumaterialien Matériaux'!$A$10:$AD$432,30,FALSE)</f>
        <v>Béton maigre (sans armature)</v>
      </c>
      <c r="E9" s="624" t="str">
        <f>VLOOKUP(F9,'Baumaterialien Matériaux'!$A$10:$AD$432,7,FALSE)</f>
        <v>kg</v>
      </c>
      <c r="F9" s="632" t="str">
        <f>F4</f>
        <v>01.001</v>
      </c>
      <c r="G9" s="1138">
        <f>0.07*2150</f>
        <v>150.50000000000003</v>
      </c>
      <c r="H9" s="625"/>
      <c r="I9" s="642">
        <v>60</v>
      </c>
      <c r="J9" s="1559"/>
      <c r="K9" s="1559"/>
      <c r="L9" s="1048">
        <f>$G9*_xlfn.XLOOKUP($F9,'Baumaterialien Matériaux'!$A:$A,'Baumaterialien Matériaux'!AA:AA,0,0)</f>
        <v>7.5551000000000013</v>
      </c>
      <c r="M9" s="1048">
        <f>$G9*_xlfn.XLOOKUP($F9,'Baumaterialien Matériaux'!$A:$A,'Baumaterialien Matériaux'!AB:AB,0,0)</f>
        <v>1.8963000000000003</v>
      </c>
      <c r="N9" s="1048">
        <f>$G9*_xlfn.XLOOKUP($F9,'Baumaterialien Matériaux'!$A:$A,'Baumaterialien Matériaux'!AC:AC,0,0)*44/12</f>
        <v>0</v>
      </c>
      <c r="O9" s="1048">
        <f>$G9*_xlfn.XLOOKUP($F9,'Baumaterialien Matériaux'!$A:$A,'Baumaterialien Matériaux'!AG:AG,0,0)</f>
        <v>1.8210500000000003</v>
      </c>
      <c r="P9" s="1048">
        <f>$G9*_xlfn.XLOOKUP($F9,'Baumaterialien Matériaux'!$A:$A,'Baumaterialien Matériaux'!AH:AH,0,0)</f>
        <v>0.34916000000000008</v>
      </c>
      <c r="Q9" s="644"/>
    </row>
    <row r="10" spans="1:20" s="626" customFormat="1">
      <c r="A10" s="922"/>
      <c r="B10" s="1552"/>
      <c r="C10" s="641" t="str">
        <f>C5</f>
        <v>Hochbaubeton / béton pour bâtiment, 30 cm [kg], 2'300 [kg/m3]</v>
      </c>
      <c r="D10" s="624" t="str">
        <f>VLOOKUP(F10,'Baumaterialien Matériaux'!$A$10:$AD$432,30,FALSE)</f>
        <v>Béton pour bâtiment (sans armature)</v>
      </c>
      <c r="E10" s="624" t="str">
        <f>VLOOKUP(F10,'Baumaterialien Matériaux'!$A$10:$AD$432,7,FALSE)</f>
        <v>kg</v>
      </c>
      <c r="F10" s="632" t="str">
        <f>F5</f>
        <v>01.002</v>
      </c>
      <c r="G10" s="1138">
        <f>(0.3-G11/7850)*2300</f>
        <v>680.77070063694271</v>
      </c>
      <c r="H10" s="625"/>
      <c r="I10" s="642">
        <v>60</v>
      </c>
      <c r="J10" s="1559"/>
      <c r="K10" s="1559"/>
      <c r="L10" s="1048">
        <f>$G10*_xlfn.XLOOKUP($F10,'Baumaterialien Matériaux'!$A:$A,'Baumaterialien Matériaux'!AA:AA,0,0)</f>
        <v>60.384361146496822</v>
      </c>
      <c r="M10" s="1048">
        <f>$G10*_xlfn.XLOOKUP($F10,'Baumaterialien Matériaux'!$A:$A,'Baumaterialien Matériaux'!AB:AB,0,0)</f>
        <v>8.577710828025479</v>
      </c>
      <c r="N10" s="1048">
        <f>$G10*_xlfn.XLOOKUP($F10,'Baumaterialien Matériaux'!$A:$A,'Baumaterialien Matériaux'!AC:AC,0,0)*44/12</f>
        <v>0</v>
      </c>
      <c r="O10" s="1048">
        <f>$G10*_xlfn.XLOOKUP($F10,'Baumaterialien Matériaux'!$A:$A,'Baumaterialien Matériaux'!AG:AG,0,0)</f>
        <v>14.160030573248408</v>
      </c>
      <c r="P10" s="1048">
        <f>$G10*_xlfn.XLOOKUP($F10,'Baumaterialien Matériaux'!$A:$A,'Baumaterialien Matériaux'!AH:AH,0,0)</f>
        <v>1.8244654777070066</v>
      </c>
    </row>
    <row r="11" spans="1:20" s="626" customFormat="1">
      <c r="A11" s="922"/>
      <c r="B11" s="1553"/>
      <c r="C11" s="641" t="str">
        <f>C6</f>
        <v>Armierungsstahl / Acier d'armature [kg], 7'850 [kg/m3]</v>
      </c>
      <c r="D11" s="624" t="str">
        <f>VLOOKUP(F11,'Baumaterialien Matériaux'!$A$10:$AD$432,30,FALSE)</f>
        <v>Acier d'armature</v>
      </c>
      <c r="E11" s="624" t="str">
        <f>VLOOKUP(F11,'Baumaterialien Matériaux'!$A$10:$AD$432,7,FALSE)</f>
        <v>kg</v>
      </c>
      <c r="F11" s="632" t="str">
        <f>F6</f>
        <v>06.003</v>
      </c>
      <c r="G11" s="1138">
        <f>105*0.3</f>
        <v>31.5</v>
      </c>
      <c r="H11" s="625"/>
      <c r="I11" s="642">
        <v>60</v>
      </c>
      <c r="J11" s="1559"/>
      <c r="K11" s="1559"/>
      <c r="L11" s="1048">
        <f>$G11*_xlfn.XLOOKUP($F11,'Baumaterialien Matériaux'!$A:$A,'Baumaterialien Matériaux'!AA:AA,0,0)</f>
        <v>24.349499999999999</v>
      </c>
      <c r="M11" s="1048">
        <f>$G11*_xlfn.XLOOKUP($F11,'Baumaterialien Matériaux'!$A:$A,'Baumaterialien Matériaux'!AB:AB,0,0)</f>
        <v>0.38430000000000003</v>
      </c>
      <c r="N11" s="1048">
        <f>$G11*_xlfn.XLOOKUP($F11,'Baumaterialien Matériaux'!$A:$A,'Baumaterialien Matériaux'!AC:AC,0,0)*44/12</f>
        <v>0</v>
      </c>
      <c r="O11" s="1048">
        <f>$G11*_xlfn.XLOOKUP($F11,'Baumaterialien Matériaux'!$A:$A,'Baumaterialien Matériaux'!AG:AG,0,0)</f>
        <v>9.1664999999999992</v>
      </c>
      <c r="P11" s="1048">
        <f>$G11*_xlfn.XLOOKUP($F11,'Baumaterialien Matériaux'!$A:$A,'Baumaterialien Matériaux'!AH:AH,0,0)</f>
        <v>0</v>
      </c>
    </row>
    <row r="12" spans="1:20" s="626" customFormat="1">
      <c r="A12" s="922"/>
      <c r="B12" s="1566" t="s">
        <v>689</v>
      </c>
      <c r="C12" s="624" t="s">
        <v>690</v>
      </c>
      <c r="D12" s="624" t="str">
        <f>VLOOKUP(F12,'Baumaterialien Matériaux'!$A$10:$AD$432,30,FALSE)</f>
        <v>Émulsion de bitume, 1 couche</v>
      </c>
      <c r="E12" s="624" t="str">
        <f>VLOOKUP(F12,'Baumaterialien Matériaux'!$A$10:$AD$432,7,FALSE)</f>
        <v>m2</v>
      </c>
      <c r="F12" s="648" t="s">
        <v>691</v>
      </c>
      <c r="G12" s="1138">
        <v>2</v>
      </c>
      <c r="H12" s="625"/>
      <c r="I12" s="624">
        <v>60</v>
      </c>
      <c r="J12" s="939"/>
      <c r="K12" s="939"/>
      <c r="L12" s="1045">
        <f>$G12*_xlfn.XLOOKUP($F12,'Baumaterialien Matériaux'!$A:$A,'Baumaterialien Matériaux'!AA:AA,0,0)</f>
        <v>0.26800000000000002</v>
      </c>
      <c r="M12" s="1045">
        <f>$G12*_xlfn.XLOOKUP($F12,'Baumaterialien Matériaux'!$A:$A,'Baumaterialien Matériaux'!AB:AB,0,0)</f>
        <v>9.3600000000000003E-2</v>
      </c>
      <c r="N12" s="1045">
        <f>$G12*_xlfn.XLOOKUP($F12,'Baumaterialien Matériaux'!$A:$A,'Baumaterialien Matériaux'!AC:AC,0,0)*44/12</f>
        <v>0</v>
      </c>
      <c r="O12" s="1045">
        <f>$G12*_xlfn.XLOOKUP($F12,'Baumaterialien Matériaux'!$A:$A,'Baumaterialien Matériaux'!AG:AG,0,0)</f>
        <v>0.1734</v>
      </c>
      <c r="P12" s="1045">
        <f>$G12*_xlfn.XLOOKUP($F12,'Baumaterialien Matériaux'!$A:$A,'Baumaterialien Matériaux'!AH:AH,0,0)</f>
        <v>1.1739999999999999</v>
      </c>
    </row>
    <row r="13" spans="1:20" s="626" customFormat="1">
      <c r="A13" s="922"/>
      <c r="B13" s="1567"/>
      <c r="C13" s="624" t="s">
        <v>692</v>
      </c>
      <c r="D13" s="624" t="str">
        <f>VLOOKUP(F13,'Baumaterialien Matériaux'!$A$10:$AD$432,30,FALSE)</f>
        <v>Polyéthylène (HDPE)</v>
      </c>
      <c r="E13" s="624" t="str">
        <f>VLOOKUP(F13,'Baumaterialien Matériaux'!$A$10:$AD$432,7,FALSE)</f>
        <v>kg</v>
      </c>
      <c r="F13" s="649" t="s">
        <v>693</v>
      </c>
      <c r="G13" s="1138">
        <v>2.5</v>
      </c>
      <c r="H13" s="625"/>
      <c r="I13" s="624">
        <v>60</v>
      </c>
      <c r="J13" s="939"/>
      <c r="K13" s="939"/>
      <c r="L13" s="1045">
        <f>$G13*_xlfn.XLOOKUP($F13,'Baumaterialien Matériaux'!$A:$A,'Baumaterialien Matériaux'!AA:AA,0,0)</f>
        <v>5.9499999999999993</v>
      </c>
      <c r="M13" s="1045">
        <f>$G13*_xlfn.XLOOKUP($F13,'Baumaterialien Matériaux'!$A:$A,'Baumaterialien Matériaux'!AB:AB,0,0)</f>
        <v>5.9250000000000007</v>
      </c>
      <c r="N13" s="1045">
        <f>$G13*_xlfn.XLOOKUP($F13,'Baumaterialien Matériaux'!$A:$A,'Baumaterialien Matériaux'!AC:AC,0,0)*44/12</f>
        <v>0</v>
      </c>
      <c r="O13" s="1045">
        <f>$G13*_xlfn.XLOOKUP($F13,'Baumaterialien Matériaux'!$A:$A,'Baumaterialien Matériaux'!AG:AG,0,0)</f>
        <v>5.4</v>
      </c>
      <c r="P13" s="1045">
        <f>$G13*_xlfn.XLOOKUP($F13,'Baumaterialien Matériaux'!$A:$A,'Baumaterialien Matériaux'!AH:AH,0,0)</f>
        <v>7.55</v>
      </c>
    </row>
    <row r="14" spans="1:20" s="626" customFormat="1">
      <c r="A14" s="922"/>
      <c r="B14" s="1118" t="s">
        <v>694</v>
      </c>
      <c r="C14" s="624" t="s">
        <v>695</v>
      </c>
      <c r="D14" s="624" t="str">
        <f>VLOOKUP(F14,'Baumaterialien Matériaux'!$A$10:$AD$432,30,FALSE)</f>
        <v>Polystyrène extrudé (XPS)</v>
      </c>
      <c r="E14" s="624" t="str">
        <f>VLOOKUP(F14,'Baumaterialien Matériaux'!$A$10:$AD$432,7,FALSE)</f>
        <v>kg</v>
      </c>
      <c r="F14" s="624" t="s">
        <v>696</v>
      </c>
      <c r="G14" s="1138">
        <f>33*0.2</f>
        <v>6.6000000000000005</v>
      </c>
      <c r="H14" s="625"/>
      <c r="I14" s="642">
        <v>60</v>
      </c>
      <c r="J14" s="939"/>
      <c r="K14" s="939"/>
      <c r="L14" s="1048">
        <f>$G14*_xlfn.XLOOKUP($F14,'Baumaterialien Matériaux'!$A:$A,'Baumaterialien Matériaux'!AA:AA,0,0)</f>
        <v>74.580000000000013</v>
      </c>
      <c r="M14" s="1048">
        <f>$G14*_xlfn.XLOOKUP($F14,'Baumaterialien Matériaux'!$A:$A,'Baumaterialien Matériaux'!AB:AB,0,0)</f>
        <v>20.394000000000002</v>
      </c>
      <c r="N14" s="1048">
        <f>$G14*_xlfn.XLOOKUP($F14,'Baumaterialien Matériaux'!$A:$A,'Baumaterialien Matériaux'!AC:AC,0,0)*44/12</f>
        <v>0</v>
      </c>
      <c r="O14" s="1048">
        <f>$G14*_xlfn.XLOOKUP($F14,'Baumaterialien Matériaux'!$A:$A,'Baumaterialien Matériaux'!AG:AG,0,0)</f>
        <v>11.55</v>
      </c>
      <c r="P14" s="1048">
        <f>$G14*_xlfn.XLOOKUP($F14,'Baumaterialien Matériaux'!$A:$A,'Baumaterialien Matériaux'!AH:AH,0,0)</f>
        <v>4.6596000000000002</v>
      </c>
    </row>
    <row r="15" spans="1:20" s="626" customFormat="1" ht="15.75" thickBot="1">
      <c r="A15" s="636"/>
      <c r="B15" s="637"/>
      <c r="C15" s="637"/>
      <c r="D15" s="637"/>
      <c r="E15" s="637"/>
      <c r="F15" s="637"/>
      <c r="G15" s="1136"/>
      <c r="H15" s="638"/>
      <c r="I15" s="639">
        <v>60</v>
      </c>
      <c r="J15" s="940"/>
      <c r="K15" s="940"/>
      <c r="L15" s="1047">
        <f>SUM(L9:L14)</f>
        <v>173.08696114649683</v>
      </c>
      <c r="M15" s="1047">
        <f>SUM(M9:M14)</f>
        <v>37.270910828025478</v>
      </c>
      <c r="N15" s="1047">
        <f>SUM(N9:N14)</f>
        <v>0</v>
      </c>
      <c r="O15" s="1047">
        <f>SUM(O9:O14)</f>
        <v>42.270980573248409</v>
      </c>
      <c r="P15" s="1047">
        <f>SUM(P9:P14)</f>
        <v>15.557225477707007</v>
      </c>
      <c r="R15" s="823">
        <f>(L15+M15)/I15</f>
        <v>3.5059645329087052</v>
      </c>
      <c r="S15" s="626">
        <v>2.71</v>
      </c>
    </row>
    <row r="16" spans="1:20" ht="15">
      <c r="G16" s="1139"/>
      <c r="H16" s="132"/>
      <c r="I16" s="599"/>
      <c r="J16" s="1121"/>
      <c r="K16" s="1121"/>
      <c r="L16" s="1049"/>
      <c r="M16" s="1049"/>
      <c r="N16" s="1049"/>
      <c r="O16" s="1049"/>
      <c r="P16" s="1049"/>
    </row>
    <row r="17" spans="1:19" s="626" customFormat="1">
      <c r="A17" s="646" t="s">
        <v>697</v>
      </c>
      <c r="B17" s="1563" t="s">
        <v>681</v>
      </c>
      <c r="C17" s="624" t="str">
        <f>C9</f>
        <v>Magerbeton / Béton maigre 7 cm [kg], 2'150 [kg/m3]</v>
      </c>
      <c r="D17" s="624" t="str">
        <f>VLOOKUP(F17,'Baumaterialien Matériaux'!$A$10:$AD$432,30,FALSE)</f>
        <v>Béton maigre (sans armature)</v>
      </c>
      <c r="E17" s="624" t="str">
        <f>VLOOKUP(F17,'Baumaterialien Matériaux'!$A$10:$AD$432,7,FALSE)</f>
        <v>kg</v>
      </c>
      <c r="F17" s="632" t="str">
        <f>F9</f>
        <v>01.001</v>
      </c>
      <c r="G17" s="1138">
        <f>0.07*2150</f>
        <v>150.50000000000003</v>
      </c>
      <c r="H17" s="625"/>
      <c r="I17" s="624">
        <v>60</v>
      </c>
      <c r="J17" s="1560"/>
      <c r="K17" s="1560"/>
      <c r="L17" s="1045">
        <f>$G17*_xlfn.XLOOKUP($F17,'Baumaterialien Matériaux'!$A:$A,'Baumaterialien Matériaux'!AA:AA,0,0)</f>
        <v>7.5551000000000013</v>
      </c>
      <c r="M17" s="1045">
        <f>$G17*_xlfn.XLOOKUP($F17,'Baumaterialien Matériaux'!$A:$A,'Baumaterialien Matériaux'!AB:AB,0,0)</f>
        <v>1.8963000000000003</v>
      </c>
      <c r="N17" s="1045">
        <f>$G17*_xlfn.XLOOKUP($F17,'Baumaterialien Matériaux'!$A:$A,'Baumaterialien Matériaux'!AC:AC,0,0)*44/12</f>
        <v>0</v>
      </c>
      <c r="O17" s="1045">
        <f>$G17*_xlfn.XLOOKUP($F17,'Baumaterialien Matériaux'!$A:$A,'Baumaterialien Matériaux'!AG:AG,0,0)</f>
        <v>1.8210500000000003</v>
      </c>
      <c r="P17" s="1045">
        <f>$G17*_xlfn.XLOOKUP($F17,'Baumaterialien Matériaux'!$A:$A,'Baumaterialien Matériaux'!AH:AH,0,0)</f>
        <v>0.34916000000000008</v>
      </c>
    </row>
    <row r="18" spans="1:19" s="626" customFormat="1">
      <c r="A18" s="922"/>
      <c r="B18" s="1564"/>
      <c r="C18" s="624" t="str">
        <f>C10</f>
        <v>Hochbaubeton / béton pour bâtiment, 30 cm [kg], 2'300 [kg/m3]</v>
      </c>
      <c r="D18" s="624" t="str">
        <f>VLOOKUP(F18,'Baumaterialien Matériaux'!$A$10:$AD$432,30,FALSE)</f>
        <v>Béton pour bâtiment (sans armature)</v>
      </c>
      <c r="E18" s="624" t="str">
        <f>VLOOKUP(F18,'Baumaterialien Matériaux'!$A$10:$AD$432,7,FALSE)</f>
        <v>kg</v>
      </c>
      <c r="F18" s="632" t="str">
        <f>F10</f>
        <v>01.002</v>
      </c>
      <c r="G18" s="1138">
        <f>(0.3-G19/7850)*2300</f>
        <v>680.77070063694271</v>
      </c>
      <c r="H18" s="625"/>
      <c r="I18" s="624">
        <v>60</v>
      </c>
      <c r="J18" s="1561"/>
      <c r="K18" s="1561"/>
      <c r="L18" s="1045">
        <f>$G18*_xlfn.XLOOKUP($F18,'Baumaterialien Matériaux'!$A:$A,'Baumaterialien Matériaux'!AA:AA,0,0)</f>
        <v>60.384361146496822</v>
      </c>
      <c r="M18" s="1045">
        <f>$G18*_xlfn.XLOOKUP($F18,'Baumaterialien Matériaux'!$A:$A,'Baumaterialien Matériaux'!AB:AB,0,0)</f>
        <v>8.577710828025479</v>
      </c>
      <c r="N18" s="1045">
        <f>$G18*_xlfn.XLOOKUP($F18,'Baumaterialien Matériaux'!$A:$A,'Baumaterialien Matériaux'!AC:AC,0,0)*44/12</f>
        <v>0</v>
      </c>
      <c r="O18" s="1045">
        <f>$G18*_xlfn.XLOOKUP($F18,'Baumaterialien Matériaux'!$A:$A,'Baumaterialien Matériaux'!AG:AG,0,0)</f>
        <v>14.160030573248408</v>
      </c>
      <c r="P18" s="1045">
        <f>$G18*_xlfn.XLOOKUP($F18,'Baumaterialien Matériaux'!$A:$A,'Baumaterialien Matériaux'!AH:AH,0,0)</f>
        <v>1.8244654777070066</v>
      </c>
    </row>
    <row r="19" spans="1:19" s="626" customFormat="1">
      <c r="A19" s="922"/>
      <c r="B19" s="1565"/>
      <c r="C19" s="624" t="str">
        <f>C11</f>
        <v>Armierungsstahl / Acier d'armature [kg], 7'850 [kg/m3]</v>
      </c>
      <c r="D19" s="624" t="str">
        <f>VLOOKUP(F19,'Baumaterialien Matériaux'!$A$10:$AD$432,30,FALSE)</f>
        <v>Acier d'armature</v>
      </c>
      <c r="E19" s="624" t="str">
        <f>VLOOKUP(F19,'Baumaterialien Matériaux'!$A$10:$AD$432,7,FALSE)</f>
        <v>kg</v>
      </c>
      <c r="F19" s="632" t="str">
        <f>F11</f>
        <v>06.003</v>
      </c>
      <c r="G19" s="1138">
        <f>105*0.3</f>
        <v>31.5</v>
      </c>
      <c r="H19" s="625"/>
      <c r="I19" s="624">
        <v>60</v>
      </c>
      <c r="J19" s="1562"/>
      <c r="K19" s="1562"/>
      <c r="L19" s="1045">
        <f>$G19*_xlfn.XLOOKUP($F19,'Baumaterialien Matériaux'!$A:$A,'Baumaterialien Matériaux'!AA:AA,0,0)</f>
        <v>24.349499999999999</v>
      </c>
      <c r="M19" s="1045">
        <f>$G19*_xlfn.XLOOKUP($F19,'Baumaterialien Matériaux'!$A:$A,'Baumaterialien Matériaux'!AB:AB,0,0)</f>
        <v>0.38430000000000003</v>
      </c>
      <c r="N19" s="1045">
        <f>$G19*_xlfn.XLOOKUP($F19,'Baumaterialien Matériaux'!$A:$A,'Baumaterialien Matériaux'!AC:AC,0,0)*44/12</f>
        <v>0</v>
      </c>
      <c r="O19" s="1045">
        <f>$G19*_xlfn.XLOOKUP($F19,'Baumaterialien Matériaux'!$A:$A,'Baumaterialien Matériaux'!AG:AG,0,0)</f>
        <v>9.1664999999999992</v>
      </c>
      <c r="P19" s="1045">
        <f>$G19*_xlfn.XLOOKUP($F19,'Baumaterialien Matériaux'!$A:$A,'Baumaterialien Matériaux'!AH:AH,0,0)</f>
        <v>0</v>
      </c>
    </row>
    <row r="20" spans="1:19" s="626" customFormat="1">
      <c r="A20" s="922"/>
      <c r="B20" s="1566" t="s">
        <v>689</v>
      </c>
      <c r="C20" s="624" t="s">
        <v>690</v>
      </c>
      <c r="D20" s="624" t="str">
        <f>VLOOKUP(F20,'Baumaterialien Matériaux'!$A$10:$AD$432,30,FALSE)</f>
        <v>Émulsion de bitume, 1 couche</v>
      </c>
      <c r="E20" s="624" t="str">
        <f>VLOOKUP(F20,'Baumaterialien Matériaux'!$A$10:$AD$432,7,FALSE)</f>
        <v>m2</v>
      </c>
      <c r="F20" s="648" t="s">
        <v>691</v>
      </c>
      <c r="G20" s="1138">
        <v>2</v>
      </c>
      <c r="H20" s="625"/>
      <c r="I20" s="624">
        <v>60</v>
      </c>
      <c r="J20" s="939"/>
      <c r="K20" s="939"/>
      <c r="L20" s="1045">
        <f>$G20*_xlfn.XLOOKUP($F20,'Baumaterialien Matériaux'!$A:$A,'Baumaterialien Matériaux'!AA:AA,0,0)</f>
        <v>0.26800000000000002</v>
      </c>
      <c r="M20" s="1045">
        <f>$G20*_xlfn.XLOOKUP($F20,'Baumaterialien Matériaux'!$A:$A,'Baumaterialien Matériaux'!AB:AB,0,0)</f>
        <v>9.3600000000000003E-2</v>
      </c>
      <c r="N20" s="1045">
        <f>$G20*_xlfn.XLOOKUP($F20,'Baumaterialien Matériaux'!$A:$A,'Baumaterialien Matériaux'!AC:AC,0,0)*44/12</f>
        <v>0</v>
      </c>
      <c r="O20" s="1045">
        <f>$G20*_xlfn.XLOOKUP($F20,'Baumaterialien Matériaux'!$A:$A,'Baumaterialien Matériaux'!AG:AG,0,0)</f>
        <v>0.1734</v>
      </c>
      <c r="P20" s="1045">
        <f>$G20*_xlfn.XLOOKUP($F20,'Baumaterialien Matériaux'!$A:$A,'Baumaterialien Matériaux'!AH:AH,0,0)</f>
        <v>1.1739999999999999</v>
      </c>
    </row>
    <row r="21" spans="1:19" s="626" customFormat="1">
      <c r="A21" s="922"/>
      <c r="B21" s="1567"/>
      <c r="C21" s="624" t="s">
        <v>692</v>
      </c>
      <c r="D21" s="624" t="str">
        <f>VLOOKUP(F21,'Baumaterialien Matériaux'!$A$10:$AD$432,30,FALSE)</f>
        <v>Polyéthylène (HDPE)</v>
      </c>
      <c r="E21" s="624" t="str">
        <f>VLOOKUP(F21,'Baumaterialien Matériaux'!$A$10:$AD$432,7,FALSE)</f>
        <v>kg</v>
      </c>
      <c r="F21" s="632" t="s">
        <v>693</v>
      </c>
      <c r="G21" s="1138">
        <v>2.5</v>
      </c>
      <c r="H21" s="625"/>
      <c r="I21" s="624">
        <v>60</v>
      </c>
      <c r="J21" s="633"/>
      <c r="K21" s="633"/>
      <c r="L21" s="1045">
        <f>$G21*_xlfn.XLOOKUP($F21,'Baumaterialien Matériaux'!$A:$A,'Baumaterialien Matériaux'!AA:AA,0,0)</f>
        <v>5.9499999999999993</v>
      </c>
      <c r="M21" s="1045">
        <f>$G21*_xlfn.XLOOKUP($F21,'Baumaterialien Matériaux'!$A:$A,'Baumaterialien Matériaux'!AB:AB,0,0)</f>
        <v>5.9250000000000007</v>
      </c>
      <c r="N21" s="1045">
        <f>$G21*_xlfn.XLOOKUP($F21,'Baumaterialien Matériaux'!$A:$A,'Baumaterialien Matériaux'!AC:AC,0,0)*44/12</f>
        <v>0</v>
      </c>
      <c r="O21" s="1045">
        <f>$G21*_xlfn.XLOOKUP($F21,'Baumaterialien Matériaux'!$A:$A,'Baumaterialien Matériaux'!AG:AG,0,0)</f>
        <v>5.4</v>
      </c>
      <c r="P21" s="1045">
        <f>$G21*_xlfn.XLOOKUP($F21,'Baumaterialien Matériaux'!$A:$A,'Baumaterialien Matériaux'!AH:AH,0,0)</f>
        <v>7.55</v>
      </c>
    </row>
    <row r="22" spans="1:19" s="626" customFormat="1" ht="28.5">
      <c r="A22" s="922"/>
      <c r="B22" s="1118" t="s">
        <v>698</v>
      </c>
      <c r="C22" s="641" t="s">
        <v>699</v>
      </c>
      <c r="D22" s="624" t="str">
        <f>VLOOKUP(F22,'Baumaterialien Matériaux'!$A$10:$AD$432,30,FALSE)</f>
        <v>Verre cellulaire</v>
      </c>
      <c r="E22" s="624" t="str">
        <f>VLOOKUP(F22,'Baumaterialien Matériaux'!$A$10:$AD$432,7,FALSE)</f>
        <v>kg</v>
      </c>
      <c r="F22" s="624" t="s">
        <v>700</v>
      </c>
      <c r="G22" s="1138">
        <f>0.25*115</f>
        <v>28.75</v>
      </c>
      <c r="H22" s="625"/>
      <c r="I22" s="624">
        <v>60</v>
      </c>
      <c r="J22" s="633"/>
      <c r="K22" s="633"/>
      <c r="L22" s="1045">
        <f>$G22*_xlfn.XLOOKUP($F22,'Baumaterialien Matériaux'!$A:$A,'Baumaterialien Matériaux'!AA:AA,0,0)</f>
        <v>33.637499999999996</v>
      </c>
      <c r="M22" s="1045">
        <f>$G22*_xlfn.XLOOKUP($F22,'Baumaterialien Matériaux'!$A:$A,'Baumaterialien Matériaux'!AB:AB,0,0)</f>
        <v>0.36512499999999998</v>
      </c>
      <c r="N22" s="1045">
        <f>$G22*_xlfn.XLOOKUP($F22,'Baumaterialien Matériaux'!$A:$A,'Baumaterialien Matériaux'!AC:AC,0,0)*44/12</f>
        <v>0</v>
      </c>
      <c r="O22" s="1045">
        <f>$G22*_xlfn.XLOOKUP($F22,'Baumaterialien Matériaux'!$A:$A,'Baumaterialien Matériaux'!AG:AG,0,0)</f>
        <v>28.66375</v>
      </c>
      <c r="P22" s="1045">
        <f>$G22*_xlfn.XLOOKUP($F22,'Baumaterialien Matériaux'!$A:$A,'Baumaterialien Matériaux'!AH:AH,0,0)</f>
        <v>0.10005</v>
      </c>
    </row>
    <row r="23" spans="1:19" s="637" customFormat="1" ht="15.75" customHeight="1" thickBot="1">
      <c r="B23" s="1122"/>
      <c r="G23" s="1140"/>
      <c r="H23" s="1123"/>
      <c r="I23" s="639">
        <v>60</v>
      </c>
      <c r="J23" s="1124"/>
      <c r="K23" s="1124"/>
      <c r="L23" s="1047">
        <f>SUM(L17:L22)</f>
        <v>132.14446114649684</v>
      </c>
      <c r="M23" s="1047">
        <f>SUM(M17:M22)</f>
        <v>17.242035828025479</v>
      </c>
      <c r="N23" s="1047">
        <f>SUM(N17:N22)</f>
        <v>0</v>
      </c>
      <c r="O23" s="1047">
        <f>SUM(O17:O22)</f>
        <v>59.384730573248405</v>
      </c>
      <c r="P23" s="1047">
        <f>SUM(P17:P22)</f>
        <v>10.997675477707006</v>
      </c>
      <c r="R23" s="823">
        <f>(L23+M23)/I23</f>
        <v>2.4897749495753718</v>
      </c>
      <c r="S23" s="637">
        <v>2.71</v>
      </c>
    </row>
    <row r="24" spans="1:19" ht="15">
      <c r="G24" s="1139"/>
      <c r="H24" s="132"/>
      <c r="J24" s="763"/>
      <c r="K24" s="763"/>
      <c r="L24" s="162"/>
      <c r="M24" s="162"/>
      <c r="N24" s="162"/>
      <c r="O24" s="162"/>
      <c r="P24" s="162"/>
    </row>
    <row r="25" spans="1:19">
      <c r="L25" s="162"/>
      <c r="M25" s="162"/>
      <c r="N25" s="162"/>
      <c r="O25" s="162"/>
      <c r="P25" s="162"/>
    </row>
    <row r="26" spans="1:19" s="738" customFormat="1" ht="17.25">
      <c r="A26" s="736" t="s">
        <v>245</v>
      </c>
      <c r="B26" s="736" t="str">
        <f>'Outil détaillé'!D13</f>
        <v>Parois extérieures souterraines</v>
      </c>
      <c r="C26" s="736"/>
      <c r="D26" s="736"/>
      <c r="E26" s="736"/>
      <c r="F26" s="736"/>
      <c r="G26" s="1141" t="s">
        <v>701</v>
      </c>
      <c r="H26" s="737"/>
      <c r="J26" s="144"/>
      <c r="K26" s="144"/>
      <c r="L26" s="1050"/>
      <c r="M26" s="1050"/>
      <c r="N26" s="1050"/>
      <c r="O26" s="1050"/>
      <c r="P26" s="1050"/>
    </row>
    <row r="27" spans="1:19" s="626" customFormat="1" ht="19.5" customHeight="1">
      <c r="A27" s="642" t="s">
        <v>121</v>
      </c>
      <c r="B27" s="1554" t="s">
        <v>702</v>
      </c>
      <c r="C27" s="624" t="s">
        <v>703</v>
      </c>
      <c r="D27" s="624" t="str">
        <f>VLOOKUP(F27,'Baumaterialien Matériaux'!$A$10:$AD$432,30,FALSE)</f>
        <v>Béton pour bâtiment (sans armature)</v>
      </c>
      <c r="E27" s="624" t="str">
        <f>VLOOKUP(F27,'Baumaterialien Matériaux'!$A$10:$AD$432,7,FALSE)</f>
        <v>kg</v>
      </c>
      <c r="F27" s="647" t="s">
        <v>685</v>
      </c>
      <c r="G27" s="1138">
        <f>(0.25-G28/7850)*2300</f>
        <v>567.85828025477701</v>
      </c>
      <c r="H27" s="625"/>
      <c r="I27" s="624">
        <v>60</v>
      </c>
      <c r="J27" s="939"/>
      <c r="K27" s="939"/>
      <c r="L27" s="1045">
        <f>$G27*_xlfn.XLOOKUP($F27,'Baumaterialien Matériaux'!$A:$A,'Baumaterialien Matériaux'!AA:AA,0,0)</f>
        <v>50.369029458598725</v>
      </c>
      <c r="M27" s="1045">
        <f>$G27*_xlfn.XLOOKUP($F27,'Baumaterialien Matériaux'!$A:$A,'Baumaterialien Matériaux'!AB:AB,0,0)</f>
        <v>7.1550143312101904</v>
      </c>
      <c r="N27" s="1045">
        <f>$G27*_xlfn.XLOOKUP($F27,'Baumaterialien Matériaux'!$A:$A,'Baumaterialien Matériaux'!AC:AC,0,0)*44/12</f>
        <v>0</v>
      </c>
      <c r="O27" s="1045">
        <f>$G27*_xlfn.XLOOKUP($F27,'Baumaterialien Matériaux'!$A:$A,'Baumaterialien Matériaux'!AG:AG,0,0)</f>
        <v>11.811452229299361</v>
      </c>
      <c r="P27" s="1045">
        <f>$G27*_xlfn.XLOOKUP($F27,'Baumaterialien Matériaux'!$A:$A,'Baumaterialien Matériaux'!AH:AH,0,0)</f>
        <v>1.5218601910828025</v>
      </c>
    </row>
    <row r="28" spans="1:19" s="626" customFormat="1">
      <c r="B28" s="1556"/>
      <c r="C28" s="624" t="s">
        <v>686</v>
      </c>
      <c r="D28" s="624" t="str">
        <f>VLOOKUP(F28,'Baumaterialien Matériaux'!$A$10:$AD$432,30,FALSE)</f>
        <v>Acier d'armature</v>
      </c>
      <c r="E28" s="624" t="str">
        <f>VLOOKUP(F28,'Baumaterialien Matériaux'!$A$10:$AD$432,7,FALSE)</f>
        <v>kg</v>
      </c>
      <c r="F28" s="624" t="s">
        <v>687</v>
      </c>
      <c r="G28" s="1138">
        <f>97.5*0.25</f>
        <v>24.375</v>
      </c>
      <c r="H28" s="625"/>
      <c r="I28" s="624">
        <v>60</v>
      </c>
      <c r="J28" s="939"/>
      <c r="K28" s="939"/>
      <c r="L28" s="1045">
        <f>$G28*_xlfn.XLOOKUP($F28,'Baumaterialien Matériaux'!$A:$A,'Baumaterialien Matériaux'!AA:AA,0,0)</f>
        <v>18.841875000000002</v>
      </c>
      <c r="M28" s="1045">
        <f>$G28*_xlfn.XLOOKUP($F28,'Baumaterialien Matériaux'!$A:$A,'Baumaterialien Matériaux'!AB:AB,0,0)</f>
        <v>0.297375</v>
      </c>
      <c r="N28" s="1045">
        <f>$G28*_xlfn.XLOOKUP($F28,'Baumaterialien Matériaux'!$A:$A,'Baumaterialien Matériaux'!AC:AC,0,0)*44/12</f>
        <v>0</v>
      </c>
      <c r="O28" s="1045">
        <f>$G28*_xlfn.XLOOKUP($F28,'Baumaterialien Matériaux'!$A:$A,'Baumaterialien Matériaux'!AG:AG,0,0)</f>
        <v>7.0931249999999997</v>
      </c>
      <c r="P28" s="1045">
        <f>$G28*_xlfn.XLOOKUP($F28,'Baumaterialien Matériaux'!$A:$A,'Baumaterialien Matériaux'!AH:AH,0,0)</f>
        <v>0</v>
      </c>
    </row>
    <row r="29" spans="1:19" s="626" customFormat="1">
      <c r="B29" s="1556"/>
      <c r="C29" s="624" t="s">
        <v>704</v>
      </c>
      <c r="D29" s="624" t="str">
        <f>VLOOKUP(F29,'Baumaterialien Matériaux'!$A$10:$AD$432,30,FALSE)</f>
        <v>Bois massif 3 et 5 plis</v>
      </c>
      <c r="E29" s="624" t="str">
        <f>VLOOKUP(F29,'Baumaterialien Matériaux'!$A$10:$AD$432,7,FALSE)</f>
        <v>kg</v>
      </c>
      <c r="F29" s="624" t="s">
        <v>705</v>
      </c>
      <c r="G29" s="1138">
        <f>2/5*0.025*470</f>
        <v>4.7000000000000011</v>
      </c>
      <c r="H29" s="625"/>
      <c r="I29" s="624">
        <v>60</v>
      </c>
      <c r="J29" s="939"/>
      <c r="K29" s="939"/>
      <c r="L29" s="1045">
        <f>$G29*_xlfn.XLOOKUP($F29,'Baumaterialien Matériaux'!$A:$A,'Baumaterialien Matériaux'!AA:AA,0,0)</f>
        <v>1.9458000000000004</v>
      </c>
      <c r="M29" s="1045">
        <f>$G29*_xlfn.XLOOKUP($F29,'Baumaterialien Matériaux'!$A:$A,'Baumaterialien Matériaux'!AB:AB,0,0)</f>
        <v>0.25991000000000009</v>
      </c>
      <c r="N29" s="1045">
        <f>$G29*_xlfn.XLOOKUP($F29,'Baumaterialien Matériaux'!$A:$A,'Baumaterialien Matériaux'!AC:AC,0,0)*44/12</f>
        <v>7.4620333333333342</v>
      </c>
      <c r="O29" s="1045">
        <f>$G29*_xlfn.XLOOKUP($F29,'Baumaterialien Matériaux'!$A:$A,'Baumaterialien Matériaux'!AG:AG,0,0)</f>
        <v>0.65800000000000025</v>
      </c>
      <c r="P29" s="1045">
        <f>$G29*_xlfn.XLOOKUP($F29,'Baumaterialien Matériaux'!$A:$A,'Baumaterialien Matériaux'!AH:AH,0,0)</f>
        <v>0.18283000000000002</v>
      </c>
    </row>
    <row r="30" spans="1:19" s="626" customFormat="1">
      <c r="B30" s="1556"/>
      <c r="C30" s="624" t="s">
        <v>690</v>
      </c>
      <c r="D30" s="624" t="str">
        <f>VLOOKUP(F30,'Baumaterialien Matériaux'!$A$10:$AD$432,30,FALSE)</f>
        <v>Émulsion de bitume, 1 couche</v>
      </c>
      <c r="E30" s="624" t="str">
        <f>VLOOKUP(F30,'Baumaterialien Matériaux'!$A$10:$AD$432,7,FALSE)</f>
        <v>m2</v>
      </c>
      <c r="F30" s="648" t="s">
        <v>691</v>
      </c>
      <c r="G30" s="1138">
        <v>2</v>
      </c>
      <c r="H30" s="625"/>
      <c r="I30" s="624">
        <v>60</v>
      </c>
      <c r="J30" s="939"/>
      <c r="K30" s="939"/>
      <c r="L30" s="1045">
        <f>$G30*_xlfn.XLOOKUP($F30,'Baumaterialien Matériaux'!$A:$A,'Baumaterialien Matériaux'!AA:AA,0,0)</f>
        <v>0.26800000000000002</v>
      </c>
      <c r="M30" s="1045">
        <f>$G30*_xlfn.XLOOKUP($F30,'Baumaterialien Matériaux'!$A:$A,'Baumaterialien Matériaux'!AB:AB,0,0)</f>
        <v>9.3600000000000003E-2</v>
      </c>
      <c r="N30" s="1045">
        <f>$G30*_xlfn.XLOOKUP($F30,'Baumaterialien Matériaux'!$A:$A,'Baumaterialien Matériaux'!AC:AC,0,0)*44/12</f>
        <v>0</v>
      </c>
      <c r="O30" s="1045">
        <f>$G30*_xlfn.XLOOKUP($F30,'Baumaterialien Matériaux'!$A:$A,'Baumaterialien Matériaux'!AG:AG,0,0)</f>
        <v>0.1734</v>
      </c>
      <c r="P30" s="1045">
        <f>$G30*_xlfn.XLOOKUP($F30,'Baumaterialien Matériaux'!$A:$A,'Baumaterialien Matériaux'!AH:AH,0,0)</f>
        <v>1.1739999999999999</v>
      </c>
    </row>
    <row r="31" spans="1:19" s="626" customFormat="1">
      <c r="B31" s="1555"/>
      <c r="C31" s="624" t="s">
        <v>692</v>
      </c>
      <c r="D31" s="624" t="str">
        <f>VLOOKUP(F31,'Baumaterialien Matériaux'!$A$10:$AD$432,30,FALSE)</f>
        <v>Polyéthylène (HDPE)</v>
      </c>
      <c r="E31" s="624" t="str">
        <f>VLOOKUP(F31,'Baumaterialien Matériaux'!$A$10:$AD$432,7,FALSE)</f>
        <v>kg</v>
      </c>
      <c r="F31" s="649" t="s">
        <v>693</v>
      </c>
      <c r="G31" s="1138">
        <v>2.5</v>
      </c>
      <c r="H31" s="625"/>
      <c r="I31" s="624">
        <v>60</v>
      </c>
      <c r="J31" s="939"/>
      <c r="K31" s="939"/>
      <c r="L31" s="1045">
        <f>$G31*_xlfn.XLOOKUP($F31,'Baumaterialien Matériaux'!$A:$A,'Baumaterialien Matériaux'!AA:AA,0,0)</f>
        <v>5.9499999999999993</v>
      </c>
      <c r="M31" s="1045">
        <f>$G31*_xlfn.XLOOKUP($F31,'Baumaterialien Matériaux'!$A:$A,'Baumaterialien Matériaux'!AB:AB,0,0)</f>
        <v>5.9250000000000007</v>
      </c>
      <c r="N31" s="1045">
        <f>$G31*_xlfn.XLOOKUP($F31,'Baumaterialien Matériaux'!$A:$A,'Baumaterialien Matériaux'!AC:AC,0,0)*44/12</f>
        <v>0</v>
      </c>
      <c r="O31" s="1045">
        <f>$G31*_xlfn.XLOOKUP($F31,'Baumaterialien Matériaux'!$A:$A,'Baumaterialien Matériaux'!AG:AG,0,0)</f>
        <v>5.4</v>
      </c>
      <c r="P31" s="1045">
        <f>$G31*_xlfn.XLOOKUP($F31,'Baumaterialien Matériaux'!$A:$A,'Baumaterialien Matériaux'!AH:AH,0,0)</f>
        <v>7.55</v>
      </c>
    </row>
    <row r="32" spans="1:19" s="637" customFormat="1" ht="12.75" customHeight="1" thickBot="1">
      <c r="B32" s="1122"/>
      <c r="G32" s="1140"/>
      <c r="H32" s="1123"/>
      <c r="I32" s="639">
        <v>60</v>
      </c>
      <c r="J32" s="1124"/>
      <c r="K32" s="1124"/>
      <c r="L32" s="1047">
        <f>SUM(L27:L31)</f>
        <v>77.374704458598728</v>
      </c>
      <c r="M32" s="1047">
        <f>SUM(M27:M31)</f>
        <v>13.730899331210191</v>
      </c>
      <c r="N32" s="1047">
        <f>SUM(N27:N31)</f>
        <v>7.4620333333333342</v>
      </c>
      <c r="O32" s="1047">
        <f>SUM(O27:O31)</f>
        <v>25.135977229299364</v>
      </c>
      <c r="P32" s="1047">
        <f>SUM(P27:P31)</f>
        <v>10.428690191082802</v>
      </c>
      <c r="R32" s="823">
        <f>(L32+M32)/I32</f>
        <v>1.5184267298301488</v>
      </c>
      <c r="S32" s="637">
        <v>1.51</v>
      </c>
    </row>
    <row r="33" spans="1:19">
      <c r="L33" s="162"/>
      <c r="M33" s="162"/>
      <c r="N33" s="162"/>
      <c r="O33" s="162"/>
      <c r="P33" s="162"/>
    </row>
    <row r="34" spans="1:19" s="626" customFormat="1">
      <c r="A34" s="646" t="s">
        <v>688</v>
      </c>
      <c r="B34" s="1554" t="s">
        <v>702</v>
      </c>
      <c r="C34" s="624" t="str">
        <f>C27</f>
        <v>Hochbaubeton / béton pour bâtiment, 25 cm [kg], 2'300 [kg/m3]</v>
      </c>
      <c r="D34" s="624" t="str">
        <f>VLOOKUP(F34,'Baumaterialien Matériaux'!$A$10:$AD$432,30,FALSE)</f>
        <v>Béton pour bâtiment (sans armature)</v>
      </c>
      <c r="E34" s="624" t="str">
        <f>VLOOKUP(F34,'Baumaterialien Matériaux'!$A$10:$AD$432,7,FALSE)</f>
        <v>kg</v>
      </c>
      <c r="F34" s="624" t="str">
        <f>F27</f>
        <v>01.002</v>
      </c>
      <c r="G34" s="1138">
        <f>(0.25-G35/7850)*2300</f>
        <v>567.85828025477701</v>
      </c>
      <c r="H34" s="625"/>
      <c r="I34" s="624">
        <v>60</v>
      </c>
      <c r="J34" s="939"/>
      <c r="K34" s="939"/>
      <c r="L34" s="1045">
        <f>$G34*_xlfn.XLOOKUP($F34,'Baumaterialien Matériaux'!$A:$A,'Baumaterialien Matériaux'!AA:AA,0,0)</f>
        <v>50.369029458598725</v>
      </c>
      <c r="M34" s="1045">
        <f>$G34*_xlfn.XLOOKUP($F34,'Baumaterialien Matériaux'!$A:$A,'Baumaterialien Matériaux'!AB:AB,0,0)</f>
        <v>7.1550143312101904</v>
      </c>
      <c r="N34" s="1045">
        <f>$G34*_xlfn.XLOOKUP($F34,'Baumaterialien Matériaux'!$A:$A,'Baumaterialien Matériaux'!AC:AC,0,0)*44/12</f>
        <v>0</v>
      </c>
      <c r="O34" s="1045">
        <f>$G34*_xlfn.XLOOKUP($F34,'Baumaterialien Matériaux'!$A:$A,'Baumaterialien Matériaux'!AG:AG,0,0)</f>
        <v>11.811452229299361</v>
      </c>
      <c r="P34" s="1045">
        <f>$G34*_xlfn.XLOOKUP($F34,'Baumaterialien Matériaux'!$A:$A,'Baumaterialien Matériaux'!AH:AH,0,0)</f>
        <v>1.5218601910828025</v>
      </c>
    </row>
    <row r="35" spans="1:19" s="626" customFormat="1">
      <c r="B35" s="1556"/>
      <c r="C35" s="624" t="str">
        <f t="shared" ref="C35:C38" si="0">C28</f>
        <v>Armierungsstahl / Acier d'armature [kg], 7'850 [kg/m3]</v>
      </c>
      <c r="D35" s="624" t="str">
        <f>VLOOKUP(F35,'Baumaterialien Matériaux'!$A$10:$AD$432,30,FALSE)</f>
        <v>Acier d'armature</v>
      </c>
      <c r="E35" s="624" t="str">
        <f>VLOOKUP(F35,'Baumaterialien Matériaux'!$A$10:$AD$432,7,FALSE)</f>
        <v>kg</v>
      </c>
      <c r="F35" s="624" t="str">
        <f t="shared" ref="F35:F38" si="1">F28</f>
        <v>06.003</v>
      </c>
      <c r="G35" s="1138">
        <f>97.5*0.25</f>
        <v>24.375</v>
      </c>
      <c r="H35" s="625"/>
      <c r="I35" s="624">
        <v>60</v>
      </c>
      <c r="J35" s="939"/>
      <c r="K35" s="939"/>
      <c r="L35" s="1045">
        <f>$G35*_xlfn.XLOOKUP($F35,'Baumaterialien Matériaux'!$A:$A,'Baumaterialien Matériaux'!AA:AA,0,0)</f>
        <v>18.841875000000002</v>
      </c>
      <c r="M35" s="1045">
        <f>$G35*_xlfn.XLOOKUP($F35,'Baumaterialien Matériaux'!$A:$A,'Baumaterialien Matériaux'!AB:AB,0,0)</f>
        <v>0.297375</v>
      </c>
      <c r="N35" s="1045">
        <f>$G35*_xlfn.XLOOKUP($F35,'Baumaterialien Matériaux'!$A:$A,'Baumaterialien Matériaux'!AC:AC,0,0)*44/12</f>
        <v>0</v>
      </c>
      <c r="O35" s="1045">
        <f>$G35*_xlfn.XLOOKUP($F35,'Baumaterialien Matériaux'!$A:$A,'Baumaterialien Matériaux'!AG:AG,0,0)</f>
        <v>7.0931249999999997</v>
      </c>
      <c r="P35" s="1045">
        <f>$G35*_xlfn.XLOOKUP($F35,'Baumaterialien Matériaux'!$A:$A,'Baumaterialien Matériaux'!AH:AH,0,0)</f>
        <v>0</v>
      </c>
    </row>
    <row r="36" spans="1:19" s="626" customFormat="1">
      <c r="B36" s="1556"/>
      <c r="C36" s="624" t="str">
        <f t="shared" si="0"/>
        <v>3-SP Schalung/Coffrage 2.5cm (Annahme/Hyp. 5xverwendet/utilisé) [kg]</v>
      </c>
      <c r="D36" s="624" t="str">
        <f>VLOOKUP(F36,'Baumaterialien Matériaux'!$A$10:$AD$432,30,FALSE)</f>
        <v>Bois massif 3 et 5 plis</v>
      </c>
      <c r="E36" s="624" t="str">
        <f>VLOOKUP(F36,'Baumaterialien Matériaux'!$A$10:$AD$432,7,FALSE)</f>
        <v>kg</v>
      </c>
      <c r="F36" s="624" t="str">
        <f t="shared" si="1"/>
        <v>07.001</v>
      </c>
      <c r="G36" s="1138">
        <f>2/5*0.025*470</f>
        <v>4.7000000000000011</v>
      </c>
      <c r="H36" s="625"/>
      <c r="I36" s="624">
        <v>60</v>
      </c>
      <c r="J36" s="939"/>
      <c r="K36" s="939"/>
      <c r="L36" s="1045">
        <f>$G36*_xlfn.XLOOKUP($F36,'Baumaterialien Matériaux'!$A:$A,'Baumaterialien Matériaux'!AA:AA,0,0)</f>
        <v>1.9458000000000004</v>
      </c>
      <c r="M36" s="1045">
        <f>$G36*_xlfn.XLOOKUP($F36,'Baumaterialien Matériaux'!$A:$A,'Baumaterialien Matériaux'!AB:AB,0,0)</f>
        <v>0.25991000000000009</v>
      </c>
      <c r="N36" s="1045">
        <f>$G36*_xlfn.XLOOKUP($F36,'Baumaterialien Matériaux'!$A:$A,'Baumaterialien Matériaux'!AC:AC,0,0)*44/12</f>
        <v>7.4620333333333342</v>
      </c>
      <c r="O36" s="1045">
        <f>$G36*_xlfn.XLOOKUP($F36,'Baumaterialien Matériaux'!$A:$A,'Baumaterialien Matériaux'!AG:AG,0,0)</f>
        <v>0.65800000000000025</v>
      </c>
      <c r="P36" s="1045">
        <f>$G36*_xlfn.XLOOKUP($F36,'Baumaterialien Matériaux'!$A:$A,'Baumaterialien Matériaux'!AH:AH,0,0)</f>
        <v>0.18283000000000002</v>
      </c>
    </row>
    <row r="37" spans="1:19" s="626" customFormat="1">
      <c r="B37" s="1556"/>
      <c r="C37" s="624" t="str">
        <f t="shared" si="0"/>
        <v>Bitumenanstrich / Emulsion de bitume [m2]</v>
      </c>
      <c r="D37" s="624" t="str">
        <f>VLOOKUP(F37,'Baumaterialien Matériaux'!$A$10:$AD$432,30,FALSE)</f>
        <v>Émulsion de bitume, 1 couche</v>
      </c>
      <c r="E37" s="624" t="str">
        <f>VLOOKUP(F37,'Baumaterialien Matériaux'!$A$10:$AD$432,7,FALSE)</f>
        <v>m2</v>
      </c>
      <c r="F37" s="624" t="str">
        <f t="shared" si="1"/>
        <v>14.003</v>
      </c>
      <c r="G37" s="1138">
        <v>2</v>
      </c>
      <c r="H37" s="625"/>
      <c r="I37" s="624">
        <v>60</v>
      </c>
      <c r="J37" s="939"/>
      <c r="K37" s="939"/>
      <c r="L37" s="1045">
        <f>$G37*_xlfn.XLOOKUP($F37,'Baumaterialien Matériaux'!$A:$A,'Baumaterialien Matériaux'!AA:AA,0,0)</f>
        <v>0.26800000000000002</v>
      </c>
      <c r="M37" s="1045">
        <f>$G37*_xlfn.XLOOKUP($F37,'Baumaterialien Matériaux'!$A:$A,'Baumaterialien Matériaux'!AB:AB,0,0)</f>
        <v>9.3600000000000003E-2</v>
      </c>
      <c r="N37" s="1045">
        <f>$G37*_xlfn.XLOOKUP($F37,'Baumaterialien Matériaux'!$A:$A,'Baumaterialien Matériaux'!AC:AC,0,0)*44/12</f>
        <v>0</v>
      </c>
      <c r="O37" s="1045">
        <f>$G37*_xlfn.XLOOKUP($F37,'Baumaterialien Matériaux'!$A:$A,'Baumaterialien Matériaux'!AG:AG,0,0)</f>
        <v>0.1734</v>
      </c>
      <c r="P37" s="1045">
        <f>$G37*_xlfn.XLOOKUP($F37,'Baumaterialien Matériaux'!$A:$A,'Baumaterialien Matériaux'!AH:AH,0,0)</f>
        <v>1.1739999999999999</v>
      </c>
    </row>
    <row r="38" spans="1:19" s="626" customFormat="1">
      <c r="B38" s="1555"/>
      <c r="C38" s="624" t="str">
        <f t="shared" si="0"/>
        <v>Noppenfolie / Feuille PE [kg]</v>
      </c>
      <c r="D38" s="624" t="str">
        <f>VLOOKUP(F38,'Baumaterialien Matériaux'!$A$10:$AD$432,30,FALSE)</f>
        <v>Polyéthylène (HDPE)</v>
      </c>
      <c r="E38" s="624" t="str">
        <f>VLOOKUP(F38,'Baumaterialien Matériaux'!$A$10:$AD$432,7,FALSE)</f>
        <v>kg</v>
      </c>
      <c r="F38" s="624" t="str">
        <f t="shared" si="1"/>
        <v>13.002</v>
      </c>
      <c r="G38" s="1138">
        <v>2.5</v>
      </c>
      <c r="H38" s="625"/>
      <c r="I38" s="624">
        <v>60</v>
      </c>
      <c r="J38" s="939"/>
      <c r="K38" s="939"/>
      <c r="L38" s="1045">
        <f>$G38*_xlfn.XLOOKUP($F38,'Baumaterialien Matériaux'!$A:$A,'Baumaterialien Matériaux'!AA:AA,0,0)</f>
        <v>5.9499999999999993</v>
      </c>
      <c r="M38" s="1045">
        <f>$G38*_xlfn.XLOOKUP($F38,'Baumaterialien Matériaux'!$A:$A,'Baumaterialien Matériaux'!AB:AB,0,0)</f>
        <v>5.9250000000000007</v>
      </c>
      <c r="N38" s="1045">
        <f>$G38*_xlfn.XLOOKUP($F38,'Baumaterialien Matériaux'!$A:$A,'Baumaterialien Matériaux'!AC:AC,0,0)*44/12</f>
        <v>0</v>
      </c>
      <c r="O38" s="1045">
        <f>$G38*_xlfn.XLOOKUP($F38,'Baumaterialien Matériaux'!$A:$A,'Baumaterialien Matériaux'!AG:AG,0,0)</f>
        <v>5.4</v>
      </c>
      <c r="P38" s="1045">
        <f>$G38*_xlfn.XLOOKUP($F38,'Baumaterialien Matériaux'!$A:$A,'Baumaterialien Matériaux'!AH:AH,0,0)</f>
        <v>7.55</v>
      </c>
    </row>
    <row r="39" spans="1:19" s="626" customFormat="1" ht="14.1" customHeight="1">
      <c r="B39" s="1554" t="s">
        <v>706</v>
      </c>
      <c r="C39" s="624" t="s">
        <v>695</v>
      </c>
      <c r="D39" s="624" t="str">
        <f>VLOOKUP(F39,'Baumaterialien Matériaux'!$A$10:$AD$432,30,FALSE)</f>
        <v>Polystyrène extrudé (XPS)</v>
      </c>
      <c r="E39" s="624" t="str">
        <f>VLOOKUP(F39,'Baumaterialien Matériaux'!$A$10:$AD$432,7,FALSE)</f>
        <v>kg</v>
      </c>
      <c r="F39" s="624" t="s">
        <v>696</v>
      </c>
      <c r="G39" s="1138">
        <f>0.2*33</f>
        <v>6.6000000000000005</v>
      </c>
      <c r="H39" s="625"/>
      <c r="I39" s="624">
        <v>60</v>
      </c>
      <c r="J39" s="939"/>
      <c r="K39" s="939"/>
      <c r="L39" s="1045">
        <f>$G39*_xlfn.XLOOKUP($F39,'Baumaterialien Matériaux'!$A:$A,'Baumaterialien Matériaux'!AA:AA,0,0)</f>
        <v>74.580000000000013</v>
      </c>
      <c r="M39" s="1045">
        <f>$G39*_xlfn.XLOOKUP($F39,'Baumaterialien Matériaux'!$A:$A,'Baumaterialien Matériaux'!AB:AB,0,0)</f>
        <v>20.394000000000002</v>
      </c>
      <c r="N39" s="1045">
        <f>$G39*_xlfn.XLOOKUP($F39,'Baumaterialien Matériaux'!$A:$A,'Baumaterialien Matériaux'!AC:AC,0,0)*44/12</f>
        <v>0</v>
      </c>
      <c r="O39" s="1045">
        <f>$G39*_xlfn.XLOOKUP($F39,'Baumaterialien Matériaux'!$A:$A,'Baumaterialien Matériaux'!AG:AG,0,0)</f>
        <v>11.55</v>
      </c>
      <c r="P39" s="1045">
        <f>$G39*_xlfn.XLOOKUP($F39,'Baumaterialien Matériaux'!$A:$A,'Baumaterialien Matériaux'!AH:AH,0,0)</f>
        <v>4.6596000000000002</v>
      </c>
    </row>
    <row r="40" spans="1:19" s="626" customFormat="1">
      <c r="A40" s="1130"/>
      <c r="B40" s="1556"/>
      <c r="C40" s="624" t="s">
        <v>707</v>
      </c>
      <c r="D40" s="624" t="str">
        <f>VLOOKUP(F40,'Baumaterialien Matériaux'!$A$10:$AD$432,30,FALSE)</f>
        <v>Masse bitumeuse, chaude</v>
      </c>
      <c r="E40" s="624" t="str">
        <f>VLOOKUP(F40,'Baumaterialien Matériaux'!$A$10:$AD$432,7,FALSE)</f>
        <v>kg</v>
      </c>
      <c r="F40" s="624" t="s">
        <v>708</v>
      </c>
      <c r="G40" s="1138">
        <v>3</v>
      </c>
      <c r="H40" s="625"/>
      <c r="I40" s="624">
        <v>60</v>
      </c>
      <c r="J40" s="939"/>
      <c r="K40" s="939"/>
      <c r="L40" s="1045">
        <f>$G40*_xlfn.XLOOKUP($F40,'Baumaterialien Matériaux'!$A:$A,'Baumaterialien Matériaux'!AA:AA,0,0)</f>
        <v>2.718</v>
      </c>
      <c r="M40" s="1045">
        <f>$G40*_xlfn.XLOOKUP($F40,'Baumaterialien Matériaux'!$A:$A,'Baumaterialien Matériaux'!AB:AB,0,0)</f>
        <v>0.56099999999999994</v>
      </c>
      <c r="N40" s="1045">
        <f>$G40*_xlfn.XLOOKUP($F40,'Baumaterialien Matériaux'!$A:$A,'Baumaterialien Matériaux'!AC:AC,0,0)*44/12</f>
        <v>0</v>
      </c>
      <c r="O40" s="1045">
        <f>$G40*_xlfn.XLOOKUP($F40,'Baumaterialien Matériaux'!$A:$A,'Baumaterialien Matériaux'!AG:AG,0,0)</f>
        <v>1.6710000000000003</v>
      </c>
      <c r="P40" s="1045">
        <f>$G40*_xlfn.XLOOKUP($F40,'Baumaterialien Matériaux'!$A:$A,'Baumaterialien Matériaux'!AH:AH,0,0)</f>
        <v>7.0500000000000007</v>
      </c>
    </row>
    <row r="41" spans="1:19" s="637" customFormat="1" ht="15.75" thickBot="1">
      <c r="A41" s="1132"/>
      <c r="B41" s="1133"/>
      <c r="G41" s="1142"/>
      <c r="I41" s="639">
        <v>60</v>
      </c>
      <c r="J41" s="1124"/>
      <c r="K41" s="1124"/>
      <c r="L41" s="1047">
        <f>SUM(L34:L40)</f>
        <v>154.67270445859873</v>
      </c>
      <c r="M41" s="1047">
        <f>SUM(M34:M40)</f>
        <v>34.685899331210194</v>
      </c>
      <c r="N41" s="1047">
        <f>SUM(N34:N40)</f>
        <v>7.4620333333333342</v>
      </c>
      <c r="O41" s="1047">
        <f>SUM(O34:O40)</f>
        <v>38.356977229299368</v>
      </c>
      <c r="P41" s="1047">
        <f>SUM(P34:P40)</f>
        <v>22.138290191082802</v>
      </c>
      <c r="R41" s="823">
        <f>(L41+M41)/I41</f>
        <v>3.1559767298301487</v>
      </c>
      <c r="S41" s="637">
        <v>2.74</v>
      </c>
    </row>
    <row r="42" spans="1:19">
      <c r="L42" s="162"/>
      <c r="M42" s="162"/>
      <c r="N42" s="162"/>
      <c r="O42" s="162"/>
      <c r="P42" s="162"/>
    </row>
    <row r="43" spans="1:19" ht="14.25" customHeight="1">
      <c r="A43" s="646" t="s">
        <v>697</v>
      </c>
      <c r="B43" s="1554" t="s">
        <v>702</v>
      </c>
      <c r="C43" s="624" t="str">
        <f>C36</f>
        <v>3-SP Schalung/Coffrage 2.5cm (Annahme/Hyp. 5xverwendet/utilisé) [kg]</v>
      </c>
      <c r="D43" s="624" t="str">
        <f>VLOOKUP(F43,'Baumaterialien Matériaux'!$A$10:$AD$432,30,FALSE)</f>
        <v>Béton pour bâtiment (sans armature)</v>
      </c>
      <c r="E43" s="624" t="str">
        <f>VLOOKUP(F43,'Baumaterialien Matériaux'!$A$10:$AD$432,7,FALSE)</f>
        <v>kg</v>
      </c>
      <c r="F43" s="624" t="s">
        <v>685</v>
      </c>
      <c r="G43" s="1138">
        <f>(0.25-G44/7850)*2300</f>
        <v>567.85828025477701</v>
      </c>
      <c r="H43" s="625"/>
      <c r="I43" s="624">
        <v>60</v>
      </c>
      <c r="J43" s="939"/>
      <c r="K43" s="939"/>
      <c r="L43" s="1045">
        <f>$G43*_xlfn.XLOOKUP($F43,'Baumaterialien Matériaux'!$A:$A,'Baumaterialien Matériaux'!AA:AA,0,0)</f>
        <v>50.369029458598725</v>
      </c>
      <c r="M43" s="1045">
        <f>$G43*_xlfn.XLOOKUP($F43,'Baumaterialien Matériaux'!$A:$A,'Baumaterialien Matériaux'!AB:AB,0,0)</f>
        <v>7.1550143312101904</v>
      </c>
      <c r="N43" s="1045">
        <f>$G43*_xlfn.XLOOKUP($F43,'Baumaterialien Matériaux'!$A:$A,'Baumaterialien Matériaux'!AC:AC,0,0)*44/12</f>
        <v>0</v>
      </c>
      <c r="O43" s="1045">
        <f>$G43*_xlfn.XLOOKUP($F43,'Baumaterialien Matériaux'!$A:$A,'Baumaterialien Matériaux'!AG:AG,0,0)</f>
        <v>11.811452229299361</v>
      </c>
      <c r="P43" s="1045">
        <f>$G43*_xlfn.XLOOKUP($F43,'Baumaterialien Matériaux'!$A:$A,'Baumaterialien Matériaux'!AH:AH,0,0)</f>
        <v>1.5218601910828025</v>
      </c>
    </row>
    <row r="44" spans="1:19">
      <c r="A44" s="626"/>
      <c r="B44" s="1556"/>
      <c r="C44" s="624" t="str">
        <f t="shared" ref="C44:C47" si="2">C37</f>
        <v>Bitumenanstrich / Emulsion de bitume [m2]</v>
      </c>
      <c r="D44" s="624" t="str">
        <f>VLOOKUP(F44,'Baumaterialien Matériaux'!$A$10:$AD$432,30,FALSE)</f>
        <v>Acier d'armature</v>
      </c>
      <c r="E44" s="624" t="str">
        <f>VLOOKUP(F44,'Baumaterialien Matériaux'!$A$10:$AD$432,7,FALSE)</f>
        <v>kg</v>
      </c>
      <c r="F44" s="624" t="s">
        <v>687</v>
      </c>
      <c r="G44" s="1138">
        <f>97.5*0.25</f>
        <v>24.375</v>
      </c>
      <c r="H44" s="625"/>
      <c r="I44" s="624">
        <v>60</v>
      </c>
      <c r="J44" s="939"/>
      <c r="K44" s="939"/>
      <c r="L44" s="1045">
        <f>$G44*_xlfn.XLOOKUP($F44,'Baumaterialien Matériaux'!$A:$A,'Baumaterialien Matériaux'!AA:AA,0,0)</f>
        <v>18.841875000000002</v>
      </c>
      <c r="M44" s="1045">
        <f>$G44*_xlfn.XLOOKUP($F44,'Baumaterialien Matériaux'!$A:$A,'Baumaterialien Matériaux'!AB:AB,0,0)</f>
        <v>0.297375</v>
      </c>
      <c r="N44" s="1045">
        <f>$G44*_xlfn.XLOOKUP($F44,'Baumaterialien Matériaux'!$A:$A,'Baumaterialien Matériaux'!AC:AC,0,0)*44/12</f>
        <v>0</v>
      </c>
      <c r="O44" s="1045">
        <f>$G44*_xlfn.XLOOKUP($F44,'Baumaterialien Matériaux'!$A:$A,'Baumaterialien Matériaux'!AG:AG,0,0)</f>
        <v>7.0931249999999997</v>
      </c>
      <c r="P44" s="1045">
        <f>$G44*_xlfn.XLOOKUP($F44,'Baumaterialien Matériaux'!$A:$A,'Baumaterialien Matériaux'!AH:AH,0,0)</f>
        <v>0</v>
      </c>
    </row>
    <row r="45" spans="1:19">
      <c r="A45" s="626"/>
      <c r="B45" s="1556"/>
      <c r="C45" s="624" t="str">
        <f t="shared" si="2"/>
        <v>Noppenfolie / Feuille PE [kg]</v>
      </c>
      <c r="D45" s="624" t="str">
        <f>VLOOKUP(F45,'Baumaterialien Matériaux'!$A$10:$AD$432,30,FALSE)</f>
        <v>Bois massif 3 et 5 plis</v>
      </c>
      <c r="E45" s="624" t="str">
        <f>VLOOKUP(F45,'Baumaterialien Matériaux'!$A$10:$AD$432,7,FALSE)</f>
        <v>kg</v>
      </c>
      <c r="F45" s="624" t="s">
        <v>705</v>
      </c>
      <c r="G45" s="1138">
        <f>2/5*0.025*470</f>
        <v>4.7000000000000011</v>
      </c>
      <c r="H45" s="625"/>
      <c r="I45" s="624">
        <v>60</v>
      </c>
      <c r="J45" s="939"/>
      <c r="K45" s="939"/>
      <c r="L45" s="1045">
        <f>$G45*_xlfn.XLOOKUP($F45,'Baumaterialien Matériaux'!$A:$A,'Baumaterialien Matériaux'!AA:AA,0,0)</f>
        <v>1.9458000000000004</v>
      </c>
      <c r="M45" s="1045">
        <f>$G45*_xlfn.XLOOKUP($F45,'Baumaterialien Matériaux'!$A:$A,'Baumaterialien Matériaux'!AB:AB,0,0)</f>
        <v>0.25991000000000009</v>
      </c>
      <c r="N45" s="1045">
        <f>$G45*_xlfn.XLOOKUP($F45,'Baumaterialien Matériaux'!$A:$A,'Baumaterialien Matériaux'!AC:AC,0,0)*44/12</f>
        <v>7.4620333333333342</v>
      </c>
      <c r="O45" s="1045">
        <f>$G45*_xlfn.XLOOKUP($F45,'Baumaterialien Matériaux'!$A:$A,'Baumaterialien Matériaux'!AG:AG,0,0)</f>
        <v>0.65800000000000025</v>
      </c>
      <c r="P45" s="1045">
        <f>$G45*_xlfn.XLOOKUP($F45,'Baumaterialien Matériaux'!$A:$A,'Baumaterialien Matériaux'!AH:AH,0,0)</f>
        <v>0.18283000000000002</v>
      </c>
    </row>
    <row r="46" spans="1:19">
      <c r="A46" s="626"/>
      <c r="B46" s="1556"/>
      <c r="C46" s="624" t="str">
        <f t="shared" si="2"/>
        <v>XPS, 33 kg/m3, lamdaD 0.033 W/mK, 20 cm [kg]</v>
      </c>
      <c r="D46" s="624" t="str">
        <f>VLOOKUP(F46,'Baumaterialien Matériaux'!$A$10:$AD$432,30,FALSE)</f>
        <v>Émulsion de bitume, 1 couche</v>
      </c>
      <c r="E46" s="624" t="str">
        <f>VLOOKUP(F46,'Baumaterialien Matériaux'!$A$10:$AD$432,7,FALSE)</f>
        <v>m2</v>
      </c>
      <c r="F46" s="624" t="s">
        <v>691</v>
      </c>
      <c r="G46" s="1138">
        <v>2</v>
      </c>
      <c r="H46" s="625"/>
      <c r="I46" s="624">
        <v>60</v>
      </c>
      <c r="J46" s="939"/>
      <c r="K46" s="939"/>
      <c r="L46" s="1045">
        <f>$G46*_xlfn.XLOOKUP($F46,'Baumaterialien Matériaux'!$A:$A,'Baumaterialien Matériaux'!AA:AA,0,0)</f>
        <v>0.26800000000000002</v>
      </c>
      <c r="M46" s="1045">
        <f>$G46*_xlfn.XLOOKUP($F46,'Baumaterialien Matériaux'!$A:$A,'Baumaterialien Matériaux'!AB:AB,0,0)</f>
        <v>9.3600000000000003E-2</v>
      </c>
      <c r="N46" s="1045">
        <f>$G46*_xlfn.XLOOKUP($F46,'Baumaterialien Matériaux'!$A:$A,'Baumaterialien Matériaux'!AC:AC,0,0)*44/12</f>
        <v>0</v>
      </c>
      <c r="O46" s="1045">
        <f>$G46*_xlfn.XLOOKUP($F46,'Baumaterialien Matériaux'!$A:$A,'Baumaterialien Matériaux'!AG:AG,0,0)</f>
        <v>0.1734</v>
      </c>
      <c r="P46" s="1045">
        <f>$G46*_xlfn.XLOOKUP($F46,'Baumaterialien Matériaux'!$A:$A,'Baumaterialien Matériaux'!AH:AH,0,0)</f>
        <v>1.1739999999999999</v>
      </c>
    </row>
    <row r="47" spans="1:19">
      <c r="A47" s="626"/>
      <c r="B47" s="1555"/>
      <c r="C47" s="624" t="str">
        <f t="shared" si="2"/>
        <v>Bitumenkleber / Colle bitumineuse [kg]</v>
      </c>
      <c r="D47" s="624" t="str">
        <f>VLOOKUP(F47,'Baumaterialien Matériaux'!$A$10:$AD$432,30,FALSE)</f>
        <v>Polyéthylène (HDPE)</v>
      </c>
      <c r="E47" s="624" t="str">
        <f>VLOOKUP(F47,'Baumaterialien Matériaux'!$A$10:$AD$432,7,FALSE)</f>
        <v>kg</v>
      </c>
      <c r="F47" s="624" t="s">
        <v>693</v>
      </c>
      <c r="G47" s="1138">
        <v>2.5</v>
      </c>
      <c r="H47" s="625"/>
      <c r="I47" s="624">
        <v>60</v>
      </c>
      <c r="J47" s="939"/>
      <c r="K47" s="939"/>
      <c r="L47" s="1045">
        <f>$G47*_xlfn.XLOOKUP($F47,'Baumaterialien Matériaux'!$A:$A,'Baumaterialien Matériaux'!AA:AA,0,0)</f>
        <v>5.9499999999999993</v>
      </c>
      <c r="M47" s="1045">
        <f>$G47*_xlfn.XLOOKUP($F47,'Baumaterialien Matériaux'!$A:$A,'Baumaterialien Matériaux'!AB:AB,0,0)</f>
        <v>5.9250000000000007</v>
      </c>
      <c r="N47" s="1045">
        <f>$G47*_xlfn.XLOOKUP($F47,'Baumaterialien Matériaux'!$A:$A,'Baumaterialien Matériaux'!AC:AC,0,0)*44/12</f>
        <v>0</v>
      </c>
      <c r="O47" s="1045">
        <f>$G47*_xlfn.XLOOKUP($F47,'Baumaterialien Matériaux'!$A:$A,'Baumaterialien Matériaux'!AG:AG,0,0)</f>
        <v>5.4</v>
      </c>
      <c r="P47" s="1045">
        <f>$G47*_xlfn.XLOOKUP($F47,'Baumaterialien Matériaux'!$A:$A,'Baumaterialien Matériaux'!AH:AH,0,0)</f>
        <v>7.55</v>
      </c>
    </row>
    <row r="48" spans="1:19" ht="14.25" customHeight="1">
      <c r="A48" s="626"/>
      <c r="B48" s="1554" t="s">
        <v>709</v>
      </c>
      <c r="C48" s="646" t="s">
        <v>699</v>
      </c>
      <c r="D48" s="646" t="str">
        <f>VLOOKUP(F48,'Baumaterialien Matériaux'!$A$10:$AD$432,30,FALSE)</f>
        <v>Verre cellulaire</v>
      </c>
      <c r="E48" s="646" t="str">
        <f>VLOOKUP(F48,'Baumaterialien Matériaux'!$A$10:$AD$432,7,FALSE)</f>
        <v>kg</v>
      </c>
      <c r="F48" s="646" t="s">
        <v>700</v>
      </c>
      <c r="G48" s="1143">
        <f>0.25*115</f>
        <v>28.75</v>
      </c>
      <c r="H48" s="646"/>
      <c r="I48" s="646">
        <v>60</v>
      </c>
      <c r="J48" s="1125"/>
      <c r="K48" s="1125"/>
      <c r="L48" s="1126">
        <f>$G48*_xlfn.XLOOKUP($F48,'Baumaterialien Matériaux'!$A:$A,'Baumaterialien Matériaux'!AA:AA,0,0)</f>
        <v>33.637499999999996</v>
      </c>
      <c r="M48" s="1126">
        <f>$G48*_xlfn.XLOOKUP($F48,'Baumaterialien Matériaux'!$A:$A,'Baumaterialien Matériaux'!AB:AB,0,0)</f>
        <v>0.36512499999999998</v>
      </c>
      <c r="N48" s="1126">
        <f>$G48*_xlfn.XLOOKUP($F48,'Baumaterialien Matériaux'!$A:$A,'Baumaterialien Matériaux'!AC:AC,0,0)*44/12</f>
        <v>0</v>
      </c>
      <c r="O48" s="1126">
        <f>$G48*_xlfn.XLOOKUP($F48,'Baumaterialien Matériaux'!$A:$A,'Baumaterialien Matériaux'!AG:AG,0,0)</f>
        <v>28.66375</v>
      </c>
      <c r="P48" s="1126">
        <f>$G48*_xlfn.XLOOKUP($F48,'Baumaterialien Matériaux'!$A:$A,'Baumaterialien Matériaux'!AH:AH,0,0)</f>
        <v>0.10005</v>
      </c>
    </row>
    <row r="49" spans="1:19" s="181" customFormat="1">
      <c r="A49" s="1131"/>
      <c r="B49" s="1555"/>
      <c r="C49" s="624" t="s">
        <v>707</v>
      </c>
      <c r="D49" s="624" t="str">
        <f>VLOOKUP(F49,'Baumaterialien Matériaux'!$A$10:$AD$432,30,FALSE)</f>
        <v>Masse bitumeuse, chaude</v>
      </c>
      <c r="E49" s="624" t="str">
        <f>VLOOKUP(F49,'Baumaterialien Matériaux'!$A$10:$AD$432,7,FALSE)</f>
        <v>kg</v>
      </c>
      <c r="F49" s="624" t="s">
        <v>708</v>
      </c>
      <c r="G49" s="1138">
        <v>3</v>
      </c>
      <c r="H49" s="625"/>
      <c r="I49" s="624">
        <v>60</v>
      </c>
      <c r="J49" s="939"/>
      <c r="K49" s="939"/>
      <c r="L49" s="1045">
        <f>$G49*_xlfn.XLOOKUP($F49,'Baumaterialien Matériaux'!$A:$A,'Baumaterialien Matériaux'!AA:AA,0,0)</f>
        <v>2.718</v>
      </c>
      <c r="M49" s="1045">
        <f>$G49*_xlfn.XLOOKUP($F49,'Baumaterialien Matériaux'!$A:$A,'Baumaterialien Matériaux'!AB:AB,0,0)</f>
        <v>0.56099999999999994</v>
      </c>
      <c r="N49" s="1045">
        <f>$G49*_xlfn.XLOOKUP($F49,'Baumaterialien Matériaux'!$A:$A,'Baumaterialien Matériaux'!AC:AC,0,0)*44/12</f>
        <v>0</v>
      </c>
      <c r="O49" s="1045">
        <f>$G49*_xlfn.XLOOKUP($F49,'Baumaterialien Matériaux'!$A:$A,'Baumaterialien Matériaux'!AG:AG,0,0)</f>
        <v>1.6710000000000003</v>
      </c>
      <c r="P49" s="1045">
        <f>$G49*_xlfn.XLOOKUP($F49,'Baumaterialien Matériaux'!$A:$A,'Baumaterialien Matériaux'!AH:AH,0,0)</f>
        <v>7.0500000000000007</v>
      </c>
    </row>
    <row r="50" spans="1:19" s="637" customFormat="1" ht="12.75" customHeight="1" thickBot="1">
      <c r="B50" s="1122"/>
      <c r="G50" s="1140"/>
      <c r="H50" s="1123"/>
      <c r="I50" s="1127">
        <v>60</v>
      </c>
      <c r="J50" s="1128"/>
      <c r="K50" s="1128"/>
      <c r="L50" s="1129">
        <f>SUM(L43:L49)</f>
        <v>113.73020445859872</v>
      </c>
      <c r="M50" s="1129">
        <f>SUM(M43:M49)</f>
        <v>14.657024331210192</v>
      </c>
      <c r="N50" s="1129">
        <f>SUM(N43:N49)</f>
        <v>7.4620333333333342</v>
      </c>
      <c r="O50" s="1129">
        <f>SUM(O43:O49)</f>
        <v>55.470727229299364</v>
      </c>
      <c r="P50" s="1129">
        <f>SUM(P43:P49)</f>
        <v>17.578740191082801</v>
      </c>
      <c r="R50" s="823">
        <f>(L50+M50)/I50</f>
        <v>2.1397871464968152</v>
      </c>
      <c r="S50" s="637">
        <v>2.74</v>
      </c>
    </row>
    <row r="51" spans="1:19" ht="15">
      <c r="J51" s="763"/>
      <c r="K51" s="763"/>
      <c r="L51" s="162"/>
      <c r="M51" s="162"/>
      <c r="N51" s="162"/>
      <c r="O51" s="162"/>
      <c r="P51" s="162"/>
    </row>
    <row r="52" spans="1:19" s="738" customFormat="1" ht="17.25">
      <c r="A52" s="736" t="s">
        <v>246</v>
      </c>
      <c r="B52" s="736" t="str">
        <f>'Outil détaillé'!D15</f>
        <v>Toitures souterraines</v>
      </c>
      <c r="C52" s="736"/>
      <c r="D52" s="736"/>
      <c r="E52" s="736"/>
      <c r="F52" s="736"/>
      <c r="G52" s="1141" t="s">
        <v>701</v>
      </c>
      <c r="H52" s="737"/>
      <c r="J52" s="144"/>
      <c r="K52" s="144"/>
      <c r="L52" s="1050"/>
      <c r="M52" s="1050"/>
      <c r="N52" s="1050"/>
      <c r="O52" s="1050"/>
      <c r="P52" s="1050"/>
    </row>
    <row r="53" spans="1:19" s="626" customFormat="1">
      <c r="A53" s="646" t="s">
        <v>121</v>
      </c>
      <c r="B53" s="1554" t="s">
        <v>710</v>
      </c>
      <c r="C53" s="624" t="s">
        <v>684</v>
      </c>
      <c r="D53" s="624" t="str">
        <f>VLOOKUP(F53,'Baumaterialien Matériaux'!$A$10:$AD$432,30,FALSE)</f>
        <v>Béton pour bâtiment (sans armature)</v>
      </c>
      <c r="E53" s="624" t="str">
        <f>VLOOKUP(F53,'Baumaterialien Matériaux'!$A$10:$AD$432,7,FALSE)</f>
        <v>kg</v>
      </c>
      <c r="F53" s="647" t="s">
        <v>685</v>
      </c>
      <c r="G53" s="1138">
        <f>(0.3-G54/7850)*2300</f>
        <v>680.11146496815275</v>
      </c>
      <c r="H53" s="625"/>
      <c r="I53" s="634">
        <v>60</v>
      </c>
      <c r="J53" s="939"/>
      <c r="K53" s="939"/>
      <c r="L53" s="1051">
        <f>$G53*_xlfn.XLOOKUP($F53,'Baumaterialien Matériaux'!$A:$A,'Baumaterialien Matériaux'!AA:AA,0,0)</f>
        <v>60.325886942675147</v>
      </c>
      <c r="M53" s="1051">
        <f>$G53*_xlfn.XLOOKUP($F53,'Baumaterialien Matériaux'!$A:$A,'Baumaterialien Matériaux'!AB:AB,0,0)</f>
        <v>8.5694044585987239</v>
      </c>
      <c r="N53" s="1051">
        <f>$G53*_xlfn.XLOOKUP($F53,'Baumaterialien Matériaux'!$A:$A,'Baumaterialien Matériaux'!AC:AC,0,0)*44/12</f>
        <v>0</v>
      </c>
      <c r="O53" s="1051">
        <f>$G53*_xlfn.XLOOKUP($F53,'Baumaterialien Matériaux'!$A:$A,'Baumaterialien Matériaux'!AG:AG,0,0)</f>
        <v>14.146318471337576</v>
      </c>
      <c r="P53" s="1051">
        <f>$G53*_xlfn.XLOOKUP($F53,'Baumaterialien Matériaux'!$A:$A,'Baumaterialien Matériaux'!AH:AH,0,0)</f>
        <v>1.8226987261146494</v>
      </c>
    </row>
    <row r="54" spans="1:19" s="626" customFormat="1">
      <c r="A54" s="922"/>
      <c r="B54" s="1552"/>
      <c r="C54" s="624" t="s">
        <v>686</v>
      </c>
      <c r="D54" s="624" t="str">
        <f>VLOOKUP(F54,'Baumaterialien Matériaux'!$A$10:$AD$432,30,FALSE)</f>
        <v>Acier d'armature</v>
      </c>
      <c r="E54" s="624" t="str">
        <f>VLOOKUP(F54,'Baumaterialien Matériaux'!$A$10:$AD$432,7,FALSE)</f>
        <v>kg</v>
      </c>
      <c r="F54" s="624" t="s">
        <v>687</v>
      </c>
      <c r="G54" s="1138">
        <f>112.5*0.3</f>
        <v>33.75</v>
      </c>
      <c r="H54" s="625"/>
      <c r="I54" s="634">
        <v>60</v>
      </c>
      <c r="J54" s="939"/>
      <c r="K54" s="939"/>
      <c r="L54" s="1051">
        <f>$G54*_xlfn.XLOOKUP($F54,'Baumaterialien Matériaux'!$A:$A,'Baumaterialien Matériaux'!AA:AA,0,0)</f>
        <v>26.088750000000001</v>
      </c>
      <c r="M54" s="1051">
        <f>$G54*_xlfn.XLOOKUP($F54,'Baumaterialien Matériaux'!$A:$A,'Baumaterialien Matériaux'!AB:AB,0,0)</f>
        <v>0.41175</v>
      </c>
      <c r="N54" s="1051">
        <f>$G54*_xlfn.XLOOKUP($F54,'Baumaterialien Matériaux'!$A:$A,'Baumaterialien Matériaux'!AC:AC,0,0)*44/12</f>
        <v>0</v>
      </c>
      <c r="O54" s="1051">
        <f>$G54*_xlfn.XLOOKUP($F54,'Baumaterialien Matériaux'!$A:$A,'Baumaterialien Matériaux'!AG:AG,0,0)</f>
        <v>9.8212499999999991</v>
      </c>
      <c r="P54" s="1051">
        <f>$G54*_xlfn.XLOOKUP($F54,'Baumaterialien Matériaux'!$A:$A,'Baumaterialien Matériaux'!AH:AH,0,0)</f>
        <v>0</v>
      </c>
    </row>
    <row r="55" spans="1:19" s="626" customFormat="1">
      <c r="A55" s="922"/>
      <c r="B55" s="1552"/>
      <c r="C55" s="624" t="s">
        <v>704</v>
      </c>
      <c r="D55" s="624" t="str">
        <f>VLOOKUP(F55,'Baumaterialien Matériaux'!$A$10:$AD$432,30,FALSE)</f>
        <v>Bois massif 3 et 5 plis</v>
      </c>
      <c r="E55" s="624" t="str">
        <f>VLOOKUP(F55,'Baumaterialien Matériaux'!$A$10:$AD$432,7,FALSE)</f>
        <v>kg</v>
      </c>
      <c r="F55" s="624" t="s">
        <v>705</v>
      </c>
      <c r="G55" s="1138">
        <f>2/5*0.025*470</f>
        <v>4.7000000000000011</v>
      </c>
      <c r="H55" s="625"/>
      <c r="I55" s="634">
        <v>60</v>
      </c>
      <c r="J55" s="939"/>
      <c r="K55" s="939"/>
      <c r="L55" s="1051">
        <f>$G55*_xlfn.XLOOKUP($F55,'Baumaterialien Matériaux'!$A:$A,'Baumaterialien Matériaux'!AA:AA,0,0)</f>
        <v>1.9458000000000004</v>
      </c>
      <c r="M55" s="1051">
        <f>$G55*_xlfn.XLOOKUP($F55,'Baumaterialien Matériaux'!$A:$A,'Baumaterialien Matériaux'!AB:AB,0,0)</f>
        <v>0.25991000000000009</v>
      </c>
      <c r="N55" s="1051">
        <f>$G55*_xlfn.XLOOKUP($F55,'Baumaterialien Matériaux'!$A:$A,'Baumaterialien Matériaux'!AC:AC,0,0)*44/12</f>
        <v>7.4620333333333342</v>
      </c>
      <c r="O55" s="1051">
        <f>$G55*_xlfn.XLOOKUP($F55,'Baumaterialien Matériaux'!$A:$A,'Baumaterialien Matériaux'!AG:AG,0,0)</f>
        <v>0.65800000000000025</v>
      </c>
      <c r="P55" s="1051">
        <f>$G55*_xlfn.XLOOKUP($F55,'Baumaterialien Matériaux'!$A:$A,'Baumaterialien Matériaux'!AH:AH,0,0)</f>
        <v>0.18283000000000002</v>
      </c>
    </row>
    <row r="56" spans="1:19" s="626" customFormat="1">
      <c r="A56" s="922"/>
      <c r="B56" s="1552"/>
      <c r="C56" s="624" t="s">
        <v>711</v>
      </c>
      <c r="D56" s="624" t="str">
        <f>VLOOKUP(F56,'Baumaterialien Matériaux'!$A$10:$AD$432,30,FALSE)</f>
        <v>Émulsion de bitume, 1 couche</v>
      </c>
      <c r="E56" s="624" t="str">
        <f>VLOOKUP(F56,'Baumaterialien Matériaux'!$A$10:$AD$432,7,FALSE)</f>
        <v>m2</v>
      </c>
      <c r="F56" s="650" t="s">
        <v>691</v>
      </c>
      <c r="G56" s="1138">
        <v>1</v>
      </c>
      <c r="H56" s="625"/>
      <c r="I56" s="634">
        <v>60</v>
      </c>
      <c r="J56" s="939"/>
      <c r="K56" s="939"/>
      <c r="L56" s="1051">
        <f>$G56*_xlfn.XLOOKUP($F56,'Baumaterialien Matériaux'!$A:$A,'Baumaterialien Matériaux'!AA:AA,0,0)</f>
        <v>0.13400000000000001</v>
      </c>
      <c r="M56" s="1051">
        <f>$G56*_xlfn.XLOOKUP($F56,'Baumaterialien Matériaux'!$A:$A,'Baumaterialien Matériaux'!AB:AB,0,0)</f>
        <v>4.6800000000000001E-2</v>
      </c>
      <c r="N56" s="1051">
        <f>$G56*_xlfn.XLOOKUP($F56,'Baumaterialien Matériaux'!$A:$A,'Baumaterialien Matériaux'!AC:AC,0,0)*44/12</f>
        <v>0</v>
      </c>
      <c r="O56" s="1051">
        <f>$G56*_xlfn.XLOOKUP($F56,'Baumaterialien Matériaux'!$A:$A,'Baumaterialien Matériaux'!AG:AG,0,0)</f>
        <v>8.6699999999999999E-2</v>
      </c>
      <c r="P56" s="1051">
        <f>$G56*_xlfn.XLOOKUP($F56,'Baumaterialien Matériaux'!$A:$A,'Baumaterialien Matériaux'!AH:AH,0,0)</f>
        <v>0.58699999999999997</v>
      </c>
    </row>
    <row r="57" spans="1:19" s="626" customFormat="1">
      <c r="A57" s="922"/>
      <c r="B57" s="1552"/>
      <c r="C57" s="624" t="s">
        <v>712</v>
      </c>
      <c r="D57" s="624" t="str">
        <f>VLOOKUP(F57,'Baumaterialien Matériaux'!$A$10:$AD$432,30,FALSE)</f>
        <v>Lé d'étanchéité bitumineux, swissporBIKUTOP</v>
      </c>
      <c r="E57" s="624" t="str">
        <f>VLOOKUP(F57,'Baumaterialien Matériaux'!$A$10:$AD$432,7,FALSE)</f>
        <v>kg</v>
      </c>
      <c r="F57" s="624" t="s">
        <v>713</v>
      </c>
      <c r="G57" s="1138">
        <v>5.9</v>
      </c>
      <c r="H57" s="625"/>
      <c r="I57" s="634">
        <v>60</v>
      </c>
      <c r="J57" s="939"/>
      <c r="K57" s="939"/>
      <c r="L57" s="1051">
        <f>$G57*_xlfn.XLOOKUP($F57,'Baumaterialien Matériaux'!$A:$A,'Baumaterialien Matériaux'!AA:AA,0,0)</f>
        <v>5.3513000000000002</v>
      </c>
      <c r="M57" s="1051">
        <f>$G57*_xlfn.XLOOKUP($F57,'Baumaterialien Matériaux'!$A:$A,'Baumaterialien Matériaux'!AB:AB,0,0)</f>
        <v>13.747000000000002</v>
      </c>
      <c r="N57" s="1051">
        <f>$G57*_xlfn.XLOOKUP($F57,'Baumaterialien Matériaux'!$A:$A,'Baumaterialien Matériaux'!AC:AC,0,0)*44/12</f>
        <v>0</v>
      </c>
      <c r="O57" s="1051">
        <f>$G57*_xlfn.XLOOKUP($F57,'Baumaterialien Matériaux'!$A:$A,'Baumaterialien Matériaux'!AG:AG,0,0)</f>
        <v>0</v>
      </c>
      <c r="P57" s="1051">
        <f>$G57*_xlfn.XLOOKUP($F57,'Baumaterialien Matériaux'!$A:$A,'Baumaterialien Matériaux'!AH:AH,0,0)</f>
        <v>0</v>
      </c>
    </row>
    <row r="58" spans="1:19" s="626" customFormat="1">
      <c r="A58" s="922"/>
      <c r="B58" s="1552"/>
      <c r="C58" s="624" t="s">
        <v>714</v>
      </c>
      <c r="D58" s="624" t="str">
        <f>VLOOKUP(F58,'Baumaterialien Matériaux'!$A$10:$AD$432,30,FALSE)</f>
        <v>Voile de polyéthylène (PE)</v>
      </c>
      <c r="E58" s="624" t="str">
        <f>VLOOKUP(F58,'Baumaterialien Matériaux'!$A$10:$AD$432,7,FALSE)</f>
        <v>kg</v>
      </c>
      <c r="F58" s="624" t="s">
        <v>715</v>
      </c>
      <c r="G58" s="1138">
        <v>0.4</v>
      </c>
      <c r="H58" s="625"/>
      <c r="I58" s="634">
        <v>60</v>
      </c>
      <c r="J58" s="939"/>
      <c r="K58" s="939"/>
      <c r="L58" s="1051">
        <f>$G58*_xlfn.XLOOKUP($F58,'Baumaterialien Matériaux'!$A:$A,'Baumaterialien Matériaux'!AA:AA,0,0)</f>
        <v>1.1839999999999999</v>
      </c>
      <c r="M58" s="1051">
        <f>$G58*_xlfn.XLOOKUP($F58,'Baumaterialien Matériaux'!$A:$A,'Baumaterialien Matériaux'!AB:AB,0,0)</f>
        <v>1.0680000000000001</v>
      </c>
      <c r="N58" s="1051">
        <f>$G58*_xlfn.XLOOKUP($F58,'Baumaterialien Matériaux'!$A:$A,'Baumaterialien Matériaux'!AC:AC,0,0)*44/12</f>
        <v>0</v>
      </c>
      <c r="O58" s="1051">
        <f>$G58*_xlfn.XLOOKUP($F58,'Baumaterialien Matériaux'!$A:$A,'Baumaterialien Matériaux'!AG:AG,0,0)</f>
        <v>1.1199999999999999</v>
      </c>
      <c r="P58" s="1051">
        <f>$G58*_xlfn.XLOOKUP($F58,'Baumaterialien Matériaux'!$A:$A,'Baumaterialien Matériaux'!AH:AH,0,0)</f>
        <v>1.028</v>
      </c>
    </row>
    <row r="59" spans="1:19" s="626" customFormat="1">
      <c r="A59" s="1130"/>
      <c r="B59" s="1555"/>
      <c r="C59" s="624" t="s">
        <v>716</v>
      </c>
      <c r="D59" s="624" t="str">
        <f>VLOOKUP(F59,'Baumaterialien Matériaux'!$A$10:$AD$432,30,FALSE)</f>
        <v>Gravier rond</v>
      </c>
      <c r="E59" s="624" t="str">
        <f>VLOOKUP(F59,'Baumaterialien Matériaux'!$A$10:$AD$432,7,FALSE)</f>
        <v>kg</v>
      </c>
      <c r="F59" s="651" t="s">
        <v>717</v>
      </c>
      <c r="G59" s="1138">
        <f>0.03*2000</f>
        <v>60</v>
      </c>
      <c r="H59" s="625"/>
      <c r="I59" s="634">
        <v>60</v>
      </c>
      <c r="J59" s="939"/>
      <c r="K59" s="939"/>
      <c r="L59" s="1051">
        <f>$G59*_xlfn.XLOOKUP($F59,'Baumaterialien Matériaux'!$A:$A,'Baumaterialien Matériaux'!AA:AA,0,0)</f>
        <v>0.18300000000000002</v>
      </c>
      <c r="M59" s="1051">
        <f>$G59*_xlfn.XLOOKUP($F59,'Baumaterialien Matériaux'!$A:$A,'Baumaterialien Matériaux'!AB:AB,0,0)</f>
        <v>0.75600000000000001</v>
      </c>
      <c r="N59" s="1051">
        <f>$G59*_xlfn.XLOOKUP($F59,'Baumaterialien Matériaux'!$A:$A,'Baumaterialien Matériaux'!AC:AC,0,0)*44/12</f>
        <v>0</v>
      </c>
      <c r="O59" s="1051">
        <f>$G59*_xlfn.XLOOKUP($F59,'Baumaterialien Matériaux'!$A:$A,'Baumaterialien Matériaux'!AG:AG,0,0)</f>
        <v>6.1800000000000008E-2</v>
      </c>
      <c r="P59" s="1051">
        <f>$G59*_xlfn.XLOOKUP($F59,'Baumaterialien Matériaux'!$A:$A,'Baumaterialien Matériaux'!AH:AH,0,0)</f>
        <v>0.1416</v>
      </c>
    </row>
    <row r="60" spans="1:19" s="637" customFormat="1" ht="12.75" customHeight="1" thickBot="1">
      <c r="B60" s="1122"/>
      <c r="G60" s="1140"/>
      <c r="H60" s="1123"/>
      <c r="I60" s="1127">
        <v>60</v>
      </c>
      <c r="J60" s="1128"/>
      <c r="K60" s="1128"/>
      <c r="L60" s="1129">
        <f>SUM(L53:L59)</f>
        <v>95.21273694267515</v>
      </c>
      <c r="M60" s="1129">
        <f>SUM(M53:M59)</f>
        <v>24.858864458598728</v>
      </c>
      <c r="N60" s="1129">
        <f>SUM(N53:N59)</f>
        <v>7.4620333333333342</v>
      </c>
      <c r="O60" s="1129">
        <f>SUM(O53:O59)</f>
        <v>25.894068471337579</v>
      </c>
      <c r="P60" s="1129">
        <f>SUM(P53:P59)</f>
        <v>3.762128726114649</v>
      </c>
      <c r="R60" s="823">
        <f>(L60+M60)/I60</f>
        <v>2.0011933566878981</v>
      </c>
      <c r="S60" s="637">
        <v>1.91</v>
      </c>
    </row>
    <row r="61" spans="1:19" ht="15">
      <c r="J61" s="763"/>
      <c r="K61" s="763"/>
      <c r="L61" s="162"/>
      <c r="M61" s="162"/>
      <c r="N61" s="162"/>
      <c r="O61" s="162"/>
      <c r="P61" s="162"/>
    </row>
    <row r="62" spans="1:19" s="626" customFormat="1">
      <c r="A62" s="646" t="s">
        <v>688</v>
      </c>
      <c r="B62" s="1551" t="s">
        <v>718</v>
      </c>
      <c r="C62" s="624" t="s">
        <v>684</v>
      </c>
      <c r="D62" s="624" t="str">
        <f>VLOOKUP(F62,'Baumaterialien Matériaux'!$A$10:$AD$432,30,FALSE)</f>
        <v>Béton pour bâtiment (sans armature)</v>
      </c>
      <c r="E62" s="624" t="str">
        <f>VLOOKUP(F62,'Baumaterialien Matériaux'!$A$10:$AD$432,7,FALSE)</f>
        <v>kg</v>
      </c>
      <c r="F62" s="647" t="s">
        <v>685</v>
      </c>
      <c r="G62" s="1138">
        <f>(0.3-G63/7850)*2300</f>
        <v>680.11146496815275</v>
      </c>
      <c r="H62" s="625"/>
      <c r="I62" s="624">
        <v>60</v>
      </c>
      <c r="J62" s="939"/>
      <c r="K62" s="939"/>
      <c r="L62" s="1045">
        <f>$G62*_xlfn.XLOOKUP($F62,'Baumaterialien Matériaux'!$A:$A,'Baumaterialien Matériaux'!AA:AA,0,0)</f>
        <v>60.325886942675147</v>
      </c>
      <c r="M62" s="1045">
        <f>$G62*_xlfn.XLOOKUP($F62,'Baumaterialien Matériaux'!$A:$A,'Baumaterialien Matériaux'!AB:AB,0,0)</f>
        <v>8.5694044585987239</v>
      </c>
      <c r="N62" s="1045">
        <f>$G62*_xlfn.XLOOKUP($F62,'Baumaterialien Matériaux'!$A:$A,'Baumaterialien Matériaux'!AC:AC,0,0)*44/12</f>
        <v>0</v>
      </c>
      <c r="O62" s="1045">
        <f>$G62*_xlfn.XLOOKUP($F62,'Baumaterialien Matériaux'!$A:$A,'Baumaterialien Matériaux'!AG:AG,0,0)</f>
        <v>14.146318471337576</v>
      </c>
      <c r="P62" s="1045">
        <f>$G62*_xlfn.XLOOKUP($F62,'Baumaterialien Matériaux'!$A:$A,'Baumaterialien Matériaux'!AH:AH,0,0)</f>
        <v>1.8226987261146494</v>
      </c>
    </row>
    <row r="63" spans="1:19" s="626" customFormat="1">
      <c r="A63" s="922"/>
      <c r="B63" s="1552"/>
      <c r="C63" s="624" t="s">
        <v>686</v>
      </c>
      <c r="D63" s="624" t="str">
        <f>VLOOKUP(F63,'Baumaterialien Matériaux'!$A$10:$AD$432,30,FALSE)</f>
        <v>Acier d'armature</v>
      </c>
      <c r="E63" s="624" t="str">
        <f>VLOOKUP(F63,'Baumaterialien Matériaux'!$A$10:$AD$432,7,FALSE)</f>
        <v>kg</v>
      </c>
      <c r="F63" s="624" t="s">
        <v>687</v>
      </c>
      <c r="G63" s="1138">
        <f>112.5*0.3</f>
        <v>33.75</v>
      </c>
      <c r="H63" s="625"/>
      <c r="I63" s="624">
        <v>60</v>
      </c>
      <c r="J63" s="939"/>
      <c r="K63" s="939"/>
      <c r="L63" s="1045">
        <f>$G63*_xlfn.XLOOKUP($F63,'Baumaterialien Matériaux'!$A:$A,'Baumaterialien Matériaux'!AA:AA,0,0)</f>
        <v>26.088750000000001</v>
      </c>
      <c r="M63" s="1045">
        <f>$G63*_xlfn.XLOOKUP($F63,'Baumaterialien Matériaux'!$A:$A,'Baumaterialien Matériaux'!AB:AB,0,0)</f>
        <v>0.41175</v>
      </c>
      <c r="N63" s="1045">
        <f>$G63*_xlfn.XLOOKUP($F63,'Baumaterialien Matériaux'!$A:$A,'Baumaterialien Matériaux'!AC:AC,0,0)*44/12</f>
        <v>0</v>
      </c>
      <c r="O63" s="1045">
        <f>$G63*_xlfn.XLOOKUP($F63,'Baumaterialien Matériaux'!$A:$A,'Baumaterialien Matériaux'!AG:AG,0,0)</f>
        <v>9.8212499999999991</v>
      </c>
      <c r="P63" s="1045">
        <f>$G63*_xlfn.XLOOKUP($F63,'Baumaterialien Matériaux'!$A:$A,'Baumaterialien Matériaux'!AH:AH,0,0)</f>
        <v>0</v>
      </c>
    </row>
    <row r="64" spans="1:19" s="626" customFormat="1">
      <c r="A64" s="922"/>
      <c r="B64" s="1552"/>
      <c r="C64" s="624" t="s">
        <v>704</v>
      </c>
      <c r="D64" s="624" t="str">
        <f>VLOOKUP(F64,'Baumaterialien Matériaux'!$A$10:$AD$432,30,FALSE)</f>
        <v>Bois massif 3 et 5 plis</v>
      </c>
      <c r="E64" s="624" t="str">
        <f>VLOOKUP(F64,'Baumaterialien Matériaux'!$A$10:$AD$432,7,FALSE)</f>
        <v>kg</v>
      </c>
      <c r="F64" s="624" t="s">
        <v>705</v>
      </c>
      <c r="G64" s="1138">
        <f>2/5*0.025*470</f>
        <v>4.7000000000000011</v>
      </c>
      <c r="H64" s="625"/>
      <c r="I64" s="624">
        <v>60</v>
      </c>
      <c r="J64" s="939"/>
      <c r="K64" s="939"/>
      <c r="L64" s="1045">
        <f>$G64*_xlfn.XLOOKUP($F64,'Baumaterialien Matériaux'!$A:$A,'Baumaterialien Matériaux'!AA:AA,0,0)</f>
        <v>1.9458000000000004</v>
      </c>
      <c r="M64" s="1045">
        <f>$G64*_xlfn.XLOOKUP($F64,'Baumaterialien Matériaux'!$A:$A,'Baumaterialien Matériaux'!AB:AB,0,0)</f>
        <v>0.25991000000000009</v>
      </c>
      <c r="N64" s="1045">
        <f>$G64*_xlfn.XLOOKUP($F64,'Baumaterialien Matériaux'!$A:$A,'Baumaterialien Matériaux'!AC:AC,0,0)*44/12</f>
        <v>7.4620333333333342</v>
      </c>
      <c r="O64" s="1045">
        <f>$G64*_xlfn.XLOOKUP($F64,'Baumaterialien Matériaux'!$A:$A,'Baumaterialien Matériaux'!AG:AG,0,0)</f>
        <v>0.65800000000000025</v>
      </c>
      <c r="P64" s="1045">
        <f>$G64*_xlfn.XLOOKUP($F64,'Baumaterialien Matériaux'!$A:$A,'Baumaterialien Matériaux'!AH:AH,0,0)</f>
        <v>0.18283000000000002</v>
      </c>
    </row>
    <row r="65" spans="1:19" s="626" customFormat="1">
      <c r="A65" s="922"/>
      <c r="B65" s="1552"/>
      <c r="C65" s="624" t="s">
        <v>719</v>
      </c>
      <c r="D65" s="624" t="str">
        <f>VLOOKUP(F65,'Baumaterialien Matériaux'!$A$10:$AD$432,30,FALSE)</f>
        <v>Émulsion de bitume, 1 couche</v>
      </c>
      <c r="E65" s="624" t="str">
        <f>VLOOKUP(F65,'Baumaterialien Matériaux'!$A$10:$AD$432,7,FALSE)</f>
        <v>m2</v>
      </c>
      <c r="F65" s="650" t="s">
        <v>691</v>
      </c>
      <c r="G65" s="1138">
        <v>1</v>
      </c>
      <c r="H65" s="625"/>
      <c r="I65" s="624">
        <v>60</v>
      </c>
      <c r="J65" s="939"/>
      <c r="K65" s="939"/>
      <c r="L65" s="1045">
        <f>$G65*_xlfn.XLOOKUP($F65,'Baumaterialien Matériaux'!$A:$A,'Baumaterialien Matériaux'!AA:AA,0,0)</f>
        <v>0.13400000000000001</v>
      </c>
      <c r="M65" s="1045">
        <f>$G65*_xlfn.XLOOKUP($F65,'Baumaterialien Matériaux'!$A:$A,'Baumaterialien Matériaux'!AB:AB,0,0)</f>
        <v>4.6800000000000001E-2</v>
      </c>
      <c r="N65" s="1045">
        <f>$G65*_xlfn.XLOOKUP($F65,'Baumaterialien Matériaux'!$A:$A,'Baumaterialien Matériaux'!AC:AC,0,0)*44/12</f>
        <v>0</v>
      </c>
      <c r="O65" s="1045">
        <f>$G65*_xlfn.XLOOKUP($F65,'Baumaterialien Matériaux'!$A:$A,'Baumaterialien Matériaux'!AG:AG,0,0)</f>
        <v>8.6699999999999999E-2</v>
      </c>
      <c r="P65" s="1045">
        <f>$G65*_xlfn.XLOOKUP($F65,'Baumaterialien Matériaux'!$A:$A,'Baumaterialien Matériaux'!AH:AH,0,0)</f>
        <v>0.58699999999999997</v>
      </c>
    </row>
    <row r="66" spans="1:19" s="626" customFormat="1">
      <c r="A66" s="922"/>
      <c r="B66" s="1552"/>
      <c r="C66" s="624" t="s">
        <v>720</v>
      </c>
      <c r="D66" s="624" t="str">
        <f>VLOOKUP(F66,'Baumaterialien Matériaux'!$A$10:$AD$432,30,FALSE)</f>
        <v>Lé d'étanchéité bitumineux, swissporBIKUTOP</v>
      </c>
      <c r="E66" s="624" t="str">
        <f>VLOOKUP(F66,'Baumaterialien Matériaux'!$A$10:$AD$432,7,FALSE)</f>
        <v>kg</v>
      </c>
      <c r="F66" s="624" t="s">
        <v>721</v>
      </c>
      <c r="G66" s="1138">
        <v>4.7</v>
      </c>
      <c r="H66" s="625"/>
      <c r="I66" s="624">
        <v>60</v>
      </c>
      <c r="J66" s="939"/>
      <c r="K66" s="939"/>
      <c r="L66" s="1045">
        <f>$G66*_xlfn.XLOOKUP($F66,'Baumaterialien Matériaux'!$A:$A,'Baumaterialien Matériaux'!AA:AA,0,0)</f>
        <v>4.2629000000000001</v>
      </c>
      <c r="M66" s="1045">
        <f>$G66*_xlfn.XLOOKUP($F66,'Baumaterialien Matériaux'!$A:$A,'Baumaterialien Matériaux'!AB:AB,0,0)</f>
        <v>10.951000000000001</v>
      </c>
      <c r="N66" s="1045">
        <f>$G66*_xlfn.XLOOKUP($F66,'Baumaterialien Matériaux'!$A:$A,'Baumaterialien Matériaux'!AC:AC,0,0)*44/12</f>
        <v>0</v>
      </c>
      <c r="O66" s="1045">
        <f>$G66*_xlfn.XLOOKUP($F66,'Baumaterialien Matériaux'!$A:$A,'Baumaterialien Matériaux'!AG:AG,0,0)</f>
        <v>0</v>
      </c>
      <c r="P66" s="1045">
        <f>$G66*_xlfn.XLOOKUP($F66,'Baumaterialien Matériaux'!$A:$A,'Baumaterialien Matériaux'!AH:AH,0,0)</f>
        <v>0</v>
      </c>
    </row>
    <row r="67" spans="1:19" s="626" customFormat="1">
      <c r="A67" s="922"/>
      <c r="B67" s="1552"/>
      <c r="C67" s="624" t="s">
        <v>695</v>
      </c>
      <c r="D67" s="624" t="str">
        <f>VLOOKUP(F67,'Baumaterialien Matériaux'!$A$10:$AD$432,30,FALSE)</f>
        <v>Polystyrène extrudé (XPS)</v>
      </c>
      <c r="E67" s="624" t="str">
        <f>VLOOKUP(F67,'Baumaterialien Matériaux'!$A$10:$AD$432,7,FALSE)</f>
        <v>kg</v>
      </c>
      <c r="F67" s="624" t="s">
        <v>696</v>
      </c>
      <c r="G67" s="1138">
        <f>0.2*33</f>
        <v>6.6000000000000005</v>
      </c>
      <c r="H67" s="625"/>
      <c r="I67" s="624">
        <v>60</v>
      </c>
      <c r="J67" s="939"/>
      <c r="K67" s="939"/>
      <c r="L67" s="1045">
        <f>$G67*_xlfn.XLOOKUP($F67,'Baumaterialien Matériaux'!$A:$A,'Baumaterialien Matériaux'!AA:AA,0,0)</f>
        <v>74.580000000000013</v>
      </c>
      <c r="M67" s="1045">
        <f>$G67*_xlfn.XLOOKUP($F67,'Baumaterialien Matériaux'!$A:$A,'Baumaterialien Matériaux'!AB:AB,0,0)</f>
        <v>20.394000000000002</v>
      </c>
      <c r="N67" s="1045">
        <f>$G67*_xlfn.XLOOKUP($F67,'Baumaterialien Matériaux'!$A:$A,'Baumaterialien Matériaux'!AC:AC,0,0)*44/12</f>
        <v>0</v>
      </c>
      <c r="O67" s="1045">
        <f>$G67*_xlfn.XLOOKUP($F67,'Baumaterialien Matériaux'!$A:$A,'Baumaterialien Matériaux'!AG:AG,0,0)</f>
        <v>11.55</v>
      </c>
      <c r="P67" s="1045">
        <f>$G67*_xlfn.XLOOKUP($F67,'Baumaterialien Matériaux'!$A:$A,'Baumaterialien Matériaux'!AH:AH,0,0)</f>
        <v>4.6596000000000002</v>
      </c>
    </row>
    <row r="68" spans="1:19" s="626" customFormat="1">
      <c r="A68" s="922"/>
      <c r="B68" s="1552"/>
      <c r="C68" s="624" t="s">
        <v>722</v>
      </c>
      <c r="D68" s="624" t="str">
        <f>VLOOKUP(F68,'Baumaterialien Matériaux'!$A$10:$AD$432,30,FALSE)</f>
        <v>Lé d'étanchéité bitumineux, swissporBIKUTOP</v>
      </c>
      <c r="E68" s="624" t="str">
        <f>VLOOKUP(F68,'Baumaterialien Matériaux'!$A$10:$AD$432,7,FALSE)</f>
        <v>kg</v>
      </c>
      <c r="F68" s="624" t="s">
        <v>723</v>
      </c>
      <c r="G68" s="1138">
        <f>2*3.6</f>
        <v>7.2</v>
      </c>
      <c r="H68" s="625"/>
      <c r="I68" s="624">
        <v>60</v>
      </c>
      <c r="J68" s="939"/>
      <c r="K68" s="939"/>
      <c r="L68" s="1045">
        <f>$G68*_xlfn.XLOOKUP($F68,'Baumaterialien Matériaux'!$A:$A,'Baumaterialien Matériaux'!AA:AA,0,0)</f>
        <v>6.5304000000000002</v>
      </c>
      <c r="M68" s="1045">
        <f>$G68*_xlfn.XLOOKUP($F68,'Baumaterialien Matériaux'!$A:$A,'Baumaterialien Matériaux'!AB:AB,0,0)</f>
        <v>16.776</v>
      </c>
      <c r="N68" s="1045">
        <f>$G68*_xlfn.XLOOKUP($F68,'Baumaterialien Matériaux'!$A:$A,'Baumaterialien Matériaux'!AC:AC,0,0)*44/12</f>
        <v>0</v>
      </c>
      <c r="O68" s="1045">
        <f>$G68*_xlfn.XLOOKUP($F68,'Baumaterialien Matériaux'!$A:$A,'Baumaterialien Matériaux'!AG:AG,0,0)</f>
        <v>0</v>
      </c>
      <c r="P68" s="1045">
        <f>$G68*_xlfn.XLOOKUP($F68,'Baumaterialien Matériaux'!$A:$A,'Baumaterialien Matériaux'!AH:AH,0,0)</f>
        <v>0</v>
      </c>
    </row>
    <row r="69" spans="1:19" s="626" customFormat="1">
      <c r="A69" s="922"/>
      <c r="B69" s="1552"/>
      <c r="C69" s="624" t="s">
        <v>714</v>
      </c>
      <c r="D69" s="624" t="str">
        <f>VLOOKUP(F69,'Baumaterialien Matériaux'!$A$10:$AD$432,30,FALSE)</f>
        <v>Voile de polyéthylène (PE)</v>
      </c>
      <c r="E69" s="624" t="str">
        <f>VLOOKUP(F69,'Baumaterialien Matériaux'!$A$10:$AD$432,7,FALSE)</f>
        <v>kg</v>
      </c>
      <c r="F69" s="624" t="s">
        <v>715</v>
      </c>
      <c r="G69" s="1138">
        <v>0.4</v>
      </c>
      <c r="H69" s="625"/>
      <c r="I69" s="624">
        <v>60</v>
      </c>
      <c r="J69" s="939"/>
      <c r="K69" s="939"/>
      <c r="L69" s="1045">
        <f>$G69*_xlfn.XLOOKUP($F69,'Baumaterialien Matériaux'!$A:$A,'Baumaterialien Matériaux'!AA:AA,0,0)</f>
        <v>1.1839999999999999</v>
      </c>
      <c r="M69" s="1045">
        <f>$G69*_xlfn.XLOOKUP($F69,'Baumaterialien Matériaux'!$A:$A,'Baumaterialien Matériaux'!AB:AB,0,0)</f>
        <v>1.0680000000000001</v>
      </c>
      <c r="N69" s="1045">
        <f>$G69*_xlfn.XLOOKUP($F69,'Baumaterialien Matériaux'!$A:$A,'Baumaterialien Matériaux'!AC:AC,0,0)*44/12</f>
        <v>0</v>
      </c>
      <c r="O69" s="1045">
        <f>$G69*_xlfn.XLOOKUP($F69,'Baumaterialien Matériaux'!$A:$A,'Baumaterialien Matériaux'!AG:AG,0,0)</f>
        <v>1.1199999999999999</v>
      </c>
      <c r="P69" s="1045">
        <f>$G69*_xlfn.XLOOKUP($F69,'Baumaterialien Matériaux'!$A:$A,'Baumaterialien Matériaux'!AH:AH,0,0)</f>
        <v>1.028</v>
      </c>
    </row>
    <row r="70" spans="1:19" s="626" customFormat="1">
      <c r="A70" s="1130"/>
      <c r="B70" s="1553"/>
      <c r="C70" s="624" t="s">
        <v>716</v>
      </c>
      <c r="D70" s="624" t="str">
        <f>VLOOKUP(F70,'Baumaterialien Matériaux'!$A$10:$AD$432,30,FALSE)</f>
        <v>Gravier rond</v>
      </c>
      <c r="E70" s="624" t="str">
        <f>VLOOKUP(F70,'Baumaterialien Matériaux'!$A$10:$AD$432,7,FALSE)</f>
        <v>kg</v>
      </c>
      <c r="F70" s="651" t="s">
        <v>717</v>
      </c>
      <c r="G70" s="1138">
        <f>0.03*2000</f>
        <v>60</v>
      </c>
      <c r="H70" s="625"/>
      <c r="I70" s="624">
        <v>60</v>
      </c>
      <c r="J70" s="939"/>
      <c r="K70" s="939"/>
      <c r="L70" s="1045">
        <f>$G70*_xlfn.XLOOKUP($F70,'Baumaterialien Matériaux'!$A:$A,'Baumaterialien Matériaux'!AA:AA,0,0)</f>
        <v>0.18300000000000002</v>
      </c>
      <c r="M70" s="1045">
        <f>$G70*_xlfn.XLOOKUP($F70,'Baumaterialien Matériaux'!$A:$A,'Baumaterialien Matériaux'!AB:AB,0,0)</f>
        <v>0.75600000000000001</v>
      </c>
      <c r="N70" s="1045">
        <f>$G70*_xlfn.XLOOKUP($F70,'Baumaterialien Matériaux'!$A:$A,'Baumaterialien Matériaux'!AC:AC,0,0)*44/12</f>
        <v>0</v>
      </c>
      <c r="O70" s="1045">
        <f>$G70*_xlfn.XLOOKUP($F70,'Baumaterialien Matériaux'!$A:$A,'Baumaterialien Matériaux'!AG:AG,0,0)</f>
        <v>6.1800000000000008E-2</v>
      </c>
      <c r="P70" s="1045">
        <f>$G70*_xlfn.XLOOKUP($F70,'Baumaterialien Matériaux'!$A:$A,'Baumaterialien Matériaux'!AH:AH,0,0)</f>
        <v>0.1416</v>
      </c>
    </row>
    <row r="71" spans="1:19" s="637" customFormat="1" ht="12.75" customHeight="1" thickBot="1">
      <c r="B71" s="1122"/>
      <c r="G71" s="1140"/>
      <c r="H71" s="1123"/>
      <c r="I71" s="1127">
        <v>60</v>
      </c>
      <c r="J71" s="1128"/>
      <c r="K71" s="1128"/>
      <c r="L71" s="1129">
        <f>SUM(L62:L70)</f>
        <v>175.23473694267514</v>
      </c>
      <c r="M71" s="1129">
        <f>SUM(M62:M70)</f>
        <v>59.232864458598726</v>
      </c>
      <c r="N71" s="1129">
        <f>SUM(N62:N70)</f>
        <v>7.4620333333333342</v>
      </c>
      <c r="O71" s="1129">
        <f>SUM(O62:O70)</f>
        <v>37.444068471337573</v>
      </c>
      <c r="P71" s="1129">
        <f>SUM(P62:P70)</f>
        <v>8.4217287261146492</v>
      </c>
      <c r="R71" s="823">
        <f>(L71+M71)/I71</f>
        <v>3.9077933566878977</v>
      </c>
      <c r="S71" s="637">
        <v>3.62</v>
      </c>
    </row>
    <row r="72" spans="1:19">
      <c r="L72" s="162"/>
      <c r="M72" s="162"/>
      <c r="N72" s="162"/>
      <c r="O72" s="162"/>
      <c r="P72" s="162"/>
    </row>
    <row r="73" spans="1:19" s="626" customFormat="1" ht="14.25" customHeight="1">
      <c r="A73" s="646" t="s">
        <v>697</v>
      </c>
      <c r="B73" s="1549" t="s">
        <v>724</v>
      </c>
      <c r="C73" s="624" t="s">
        <v>684</v>
      </c>
      <c r="D73" s="624" t="str">
        <f>VLOOKUP(F73,'Baumaterialien Matériaux'!$A$10:$AD$432,30,FALSE)</f>
        <v>Béton pour bâtiment (sans armature)</v>
      </c>
      <c r="E73" s="624" t="str">
        <f>VLOOKUP(F73,'Baumaterialien Matériaux'!$A$10:$AD$432,7,FALSE)</f>
        <v>kg</v>
      </c>
      <c r="F73" s="647" t="s">
        <v>685</v>
      </c>
      <c r="G73" s="1138">
        <f>(0.3-G74/7850)*2300</f>
        <v>680.11146496815275</v>
      </c>
      <c r="H73" s="625"/>
      <c r="I73" s="624">
        <v>60</v>
      </c>
      <c r="J73" s="939"/>
      <c r="K73" s="939"/>
      <c r="L73" s="1045">
        <f>$G73*_xlfn.XLOOKUP($F73,'Baumaterialien Matériaux'!$A:$A,'Baumaterialien Matériaux'!AA:AA,0,0)</f>
        <v>60.325886942675147</v>
      </c>
      <c r="M73" s="1045">
        <f>$G73*_xlfn.XLOOKUP($F73,'Baumaterialien Matériaux'!$A:$A,'Baumaterialien Matériaux'!AB:AB,0,0)</f>
        <v>8.5694044585987239</v>
      </c>
      <c r="N73" s="1045">
        <f>$G73*_xlfn.XLOOKUP($F73,'Baumaterialien Matériaux'!$A:$A,'Baumaterialien Matériaux'!AC:AC,0,0)*44/12</f>
        <v>0</v>
      </c>
      <c r="O73" s="1045">
        <f>$G73*_xlfn.XLOOKUP($F73,'Baumaterialien Matériaux'!$A:$A,'Baumaterialien Matériaux'!AG:AG,0,0)</f>
        <v>14.146318471337576</v>
      </c>
      <c r="P73" s="1045">
        <f>$G73*_xlfn.XLOOKUP($F73,'Baumaterialien Matériaux'!$A:$A,'Baumaterialien Matériaux'!AH:AH,0,0)</f>
        <v>1.8226987261146494</v>
      </c>
    </row>
    <row r="74" spans="1:19" s="626" customFormat="1">
      <c r="A74" s="922"/>
      <c r="B74" s="1550"/>
      <c r="C74" s="624" t="s">
        <v>686</v>
      </c>
      <c r="D74" s="624" t="str">
        <f>VLOOKUP(F74,'Baumaterialien Matériaux'!$A$10:$AD$432,30,FALSE)</f>
        <v>Acier d'armature</v>
      </c>
      <c r="E74" s="624" t="str">
        <f>VLOOKUP(F74,'Baumaterialien Matériaux'!$A$10:$AD$432,7,FALSE)</f>
        <v>kg</v>
      </c>
      <c r="F74" s="624" t="s">
        <v>687</v>
      </c>
      <c r="G74" s="1138">
        <f>112.5*0.3</f>
        <v>33.75</v>
      </c>
      <c r="H74" s="625"/>
      <c r="I74" s="624">
        <v>60</v>
      </c>
      <c r="J74" s="939"/>
      <c r="K74" s="939"/>
      <c r="L74" s="1045">
        <f>$G74*_xlfn.XLOOKUP($F74,'Baumaterialien Matériaux'!$A:$A,'Baumaterialien Matériaux'!AA:AA,0,0)</f>
        <v>26.088750000000001</v>
      </c>
      <c r="M74" s="1045">
        <f>$G74*_xlfn.XLOOKUP($F74,'Baumaterialien Matériaux'!$A:$A,'Baumaterialien Matériaux'!AB:AB,0,0)</f>
        <v>0.41175</v>
      </c>
      <c r="N74" s="1045">
        <f>$G74*_xlfn.XLOOKUP($F74,'Baumaterialien Matériaux'!$A:$A,'Baumaterialien Matériaux'!AC:AC,0,0)*44/12</f>
        <v>0</v>
      </c>
      <c r="O74" s="1045">
        <f>$G74*_xlfn.XLOOKUP($F74,'Baumaterialien Matériaux'!$A:$A,'Baumaterialien Matériaux'!AG:AG,0,0)</f>
        <v>9.8212499999999991</v>
      </c>
      <c r="P74" s="1045">
        <f>$G74*_xlfn.XLOOKUP($F74,'Baumaterialien Matériaux'!$A:$A,'Baumaterialien Matériaux'!AH:AH,0,0)</f>
        <v>0</v>
      </c>
    </row>
    <row r="75" spans="1:19" s="626" customFormat="1">
      <c r="A75" s="922"/>
      <c r="B75" s="1550"/>
      <c r="C75" s="624" t="s">
        <v>704</v>
      </c>
      <c r="D75" s="624" t="str">
        <f>VLOOKUP(F75,'Baumaterialien Matériaux'!$A$10:$AD$432,30,FALSE)</f>
        <v>Bois massif 3 et 5 plis</v>
      </c>
      <c r="E75" s="624" t="str">
        <f>VLOOKUP(F75,'Baumaterialien Matériaux'!$A$10:$AD$432,7,FALSE)</f>
        <v>kg</v>
      </c>
      <c r="F75" s="624" t="s">
        <v>705</v>
      </c>
      <c r="G75" s="1138">
        <f>2/5*0.025*470</f>
        <v>4.7000000000000011</v>
      </c>
      <c r="H75" s="625"/>
      <c r="I75" s="624">
        <v>60</v>
      </c>
      <c r="J75" s="939"/>
      <c r="K75" s="939"/>
      <c r="L75" s="1045">
        <f>$G75*_xlfn.XLOOKUP($F75,'Baumaterialien Matériaux'!$A:$A,'Baumaterialien Matériaux'!AA:AA,0,0)</f>
        <v>1.9458000000000004</v>
      </c>
      <c r="M75" s="1045">
        <f>$G75*_xlfn.XLOOKUP($F75,'Baumaterialien Matériaux'!$A:$A,'Baumaterialien Matériaux'!AB:AB,0,0)</f>
        <v>0.25991000000000009</v>
      </c>
      <c r="N75" s="1045">
        <f>$G75*_xlfn.XLOOKUP($F75,'Baumaterialien Matériaux'!$A:$A,'Baumaterialien Matériaux'!AC:AC,0,0)*44/12</f>
        <v>7.4620333333333342</v>
      </c>
      <c r="O75" s="1045">
        <f>$G75*_xlfn.XLOOKUP($F75,'Baumaterialien Matériaux'!$A:$A,'Baumaterialien Matériaux'!AG:AG,0,0)</f>
        <v>0.65800000000000025</v>
      </c>
      <c r="P75" s="1045">
        <f>$G75*_xlfn.XLOOKUP($F75,'Baumaterialien Matériaux'!$A:$A,'Baumaterialien Matériaux'!AH:AH,0,0)</f>
        <v>0.18283000000000002</v>
      </c>
    </row>
    <row r="76" spans="1:19" s="626" customFormat="1">
      <c r="A76" s="922"/>
      <c r="B76" s="1550"/>
      <c r="C76" s="624" t="s">
        <v>719</v>
      </c>
      <c r="D76" s="624" t="str">
        <f>VLOOKUP(F76,'Baumaterialien Matériaux'!$A$10:$AD$432,30,FALSE)</f>
        <v>Émulsion de bitume, 1 couche</v>
      </c>
      <c r="E76" s="624" t="str">
        <f>VLOOKUP(F76,'Baumaterialien Matériaux'!$A$10:$AD$432,7,FALSE)</f>
        <v>m2</v>
      </c>
      <c r="F76" s="650" t="s">
        <v>691</v>
      </c>
      <c r="G76" s="1138">
        <v>1</v>
      </c>
      <c r="H76" s="625"/>
      <c r="I76" s="624">
        <v>60</v>
      </c>
      <c r="J76" s="939"/>
      <c r="K76" s="939"/>
      <c r="L76" s="1045">
        <f>$G76*_xlfn.XLOOKUP($F76,'Baumaterialien Matériaux'!$A:$A,'Baumaterialien Matériaux'!AA:AA,0,0)</f>
        <v>0.13400000000000001</v>
      </c>
      <c r="M76" s="1045">
        <f>$G76*_xlfn.XLOOKUP($F76,'Baumaterialien Matériaux'!$A:$A,'Baumaterialien Matériaux'!AB:AB,0,0)</f>
        <v>4.6800000000000001E-2</v>
      </c>
      <c r="N76" s="1045">
        <f>$G76*_xlfn.XLOOKUP($F76,'Baumaterialien Matériaux'!$A:$A,'Baumaterialien Matériaux'!AC:AC,0,0)*44/12</f>
        <v>0</v>
      </c>
      <c r="O76" s="1045">
        <f>$G76*_xlfn.XLOOKUP($F76,'Baumaterialien Matériaux'!$A:$A,'Baumaterialien Matériaux'!AG:AG,0,0)</f>
        <v>8.6699999999999999E-2</v>
      </c>
      <c r="P76" s="1045">
        <f>$G76*_xlfn.XLOOKUP($F76,'Baumaterialien Matériaux'!$A:$A,'Baumaterialien Matériaux'!AH:AH,0,0)</f>
        <v>0.58699999999999997</v>
      </c>
    </row>
    <row r="77" spans="1:19" s="626" customFormat="1">
      <c r="A77" s="922"/>
      <c r="B77" s="1550"/>
      <c r="C77" s="624" t="s">
        <v>720</v>
      </c>
      <c r="D77" s="624" t="str">
        <f>VLOOKUP(F77,'Baumaterialien Matériaux'!$A$10:$AD$432,30,FALSE)</f>
        <v>Lé d'étanchéité bitumineux, swissporBIKUTOP</v>
      </c>
      <c r="E77" s="624" t="str">
        <f>VLOOKUP(F77,'Baumaterialien Matériaux'!$A$10:$AD$432,7,FALSE)</f>
        <v>kg</v>
      </c>
      <c r="F77" s="624" t="s">
        <v>721</v>
      </c>
      <c r="G77" s="1138">
        <v>4.7</v>
      </c>
      <c r="H77" s="625"/>
      <c r="I77" s="624">
        <v>60</v>
      </c>
      <c r="J77" s="939"/>
      <c r="K77" s="939"/>
      <c r="L77" s="1045">
        <f>$G77*_xlfn.XLOOKUP($F77,'Baumaterialien Matériaux'!$A:$A,'Baumaterialien Matériaux'!AA:AA,0,0)</f>
        <v>4.2629000000000001</v>
      </c>
      <c r="M77" s="1045">
        <f>$G77*_xlfn.XLOOKUP($F77,'Baumaterialien Matériaux'!$A:$A,'Baumaterialien Matériaux'!AB:AB,0,0)</f>
        <v>10.951000000000001</v>
      </c>
      <c r="N77" s="1045">
        <f>$G77*_xlfn.XLOOKUP($F77,'Baumaterialien Matériaux'!$A:$A,'Baumaterialien Matériaux'!AC:AC,0,0)*44/12</f>
        <v>0</v>
      </c>
      <c r="O77" s="1045">
        <f>$G77*_xlfn.XLOOKUP($F77,'Baumaterialien Matériaux'!$A:$A,'Baumaterialien Matériaux'!AG:AG,0,0)</f>
        <v>0</v>
      </c>
      <c r="P77" s="1045">
        <f>$G77*_xlfn.XLOOKUP($F77,'Baumaterialien Matériaux'!$A:$A,'Baumaterialien Matériaux'!AH:AH,0,0)</f>
        <v>0</v>
      </c>
    </row>
    <row r="78" spans="1:19" s="626" customFormat="1">
      <c r="A78" s="922"/>
      <c r="B78" s="1550"/>
      <c r="C78" s="624" t="s">
        <v>699</v>
      </c>
      <c r="D78" s="624" t="str">
        <f>VLOOKUP(F78,'Baumaterialien Matériaux'!$A$10:$AD$432,30,FALSE)</f>
        <v>Verre cellulaire</v>
      </c>
      <c r="E78" s="624" t="str">
        <f>VLOOKUP(F78,'Baumaterialien Matériaux'!$A$10:$AD$432,7,FALSE)</f>
        <v>kg</v>
      </c>
      <c r="F78" s="624" t="s">
        <v>700</v>
      </c>
      <c r="G78" s="1138">
        <f>0.25*115</f>
        <v>28.75</v>
      </c>
      <c r="H78" s="625"/>
      <c r="I78" s="624">
        <v>60</v>
      </c>
      <c r="J78" s="939"/>
      <c r="K78" s="939"/>
      <c r="L78" s="1045">
        <f>$G78*_xlfn.XLOOKUP($F78,'Baumaterialien Matériaux'!$A:$A,'Baumaterialien Matériaux'!AA:AA,0,0)</f>
        <v>33.637499999999996</v>
      </c>
      <c r="M78" s="1045">
        <f>$G78*_xlfn.XLOOKUP($F78,'Baumaterialien Matériaux'!$A:$A,'Baumaterialien Matériaux'!AB:AB,0,0)</f>
        <v>0.36512499999999998</v>
      </c>
      <c r="N78" s="1045">
        <f>$G78*_xlfn.XLOOKUP($F78,'Baumaterialien Matériaux'!$A:$A,'Baumaterialien Matériaux'!AC:AC,0,0)*44/12</f>
        <v>0</v>
      </c>
      <c r="O78" s="1045">
        <f>$G78*_xlfn.XLOOKUP($F78,'Baumaterialien Matériaux'!$A:$A,'Baumaterialien Matériaux'!AG:AG,0,0)</f>
        <v>28.66375</v>
      </c>
      <c r="P78" s="1045">
        <f>$G78*_xlfn.XLOOKUP($F78,'Baumaterialien Matériaux'!$A:$A,'Baumaterialien Matériaux'!AH:AH,0,0)</f>
        <v>0.10005</v>
      </c>
    </row>
    <row r="79" spans="1:19" s="626" customFormat="1">
      <c r="A79" s="922"/>
      <c r="B79" s="1550"/>
      <c r="C79" s="624" t="s">
        <v>725</v>
      </c>
      <c r="D79" s="624" t="str">
        <f>VLOOKUP(F79,'Baumaterialien Matériaux'!$A$10:$AD$432,30,FALSE)</f>
        <v>Masse bitumeuse, chaude</v>
      </c>
      <c r="E79" s="624" t="str">
        <f>VLOOKUP(F79,'Baumaterialien Matériaux'!$A$10:$AD$432,7,FALSE)</f>
        <v>kg</v>
      </c>
      <c r="F79" s="624" t="s">
        <v>708</v>
      </c>
      <c r="G79" s="1138">
        <f>13</f>
        <v>13</v>
      </c>
      <c r="H79" s="625"/>
      <c r="I79" s="624">
        <v>60</v>
      </c>
      <c r="J79" s="939"/>
      <c r="K79" s="939"/>
      <c r="L79" s="1045">
        <f>$G79*_xlfn.XLOOKUP($F79,'Baumaterialien Matériaux'!$A:$A,'Baumaterialien Matériaux'!AA:AA,0,0)</f>
        <v>11.778</v>
      </c>
      <c r="M79" s="1045">
        <f>$G79*_xlfn.XLOOKUP($F79,'Baumaterialien Matériaux'!$A:$A,'Baumaterialien Matériaux'!AB:AB,0,0)</f>
        <v>2.431</v>
      </c>
      <c r="N79" s="1045">
        <f>$G79*_xlfn.XLOOKUP($F79,'Baumaterialien Matériaux'!$A:$A,'Baumaterialien Matériaux'!AC:AC,0,0)*44/12</f>
        <v>0</v>
      </c>
      <c r="O79" s="1045">
        <f>$G79*_xlfn.XLOOKUP($F79,'Baumaterialien Matériaux'!$A:$A,'Baumaterialien Matériaux'!AG:AG,0,0)</f>
        <v>7.2410000000000005</v>
      </c>
      <c r="P79" s="1045">
        <f>$G79*_xlfn.XLOOKUP($F79,'Baumaterialien Matériaux'!$A:$A,'Baumaterialien Matériaux'!AH:AH,0,0)</f>
        <v>30.55</v>
      </c>
    </row>
    <row r="80" spans="1:19" s="626" customFormat="1">
      <c r="A80" s="922"/>
      <c r="B80" s="1550"/>
      <c r="C80" s="624" t="s">
        <v>722</v>
      </c>
      <c r="D80" s="624" t="str">
        <f>VLOOKUP(F80,'Baumaterialien Matériaux'!$A$10:$AD$432,30,FALSE)</f>
        <v>Lé d'étanchéité bitumineux, swissporBIKUTOP</v>
      </c>
      <c r="E80" s="624" t="str">
        <f>VLOOKUP(F80,'Baumaterialien Matériaux'!$A$10:$AD$432,7,FALSE)</f>
        <v>kg</v>
      </c>
      <c r="F80" s="624" t="s">
        <v>723</v>
      </c>
      <c r="G80" s="1138">
        <f>2*3.6</f>
        <v>7.2</v>
      </c>
      <c r="H80" s="625"/>
      <c r="I80" s="624">
        <v>60</v>
      </c>
      <c r="J80" s="939"/>
      <c r="K80" s="939"/>
      <c r="L80" s="1045">
        <f>$G80*_xlfn.XLOOKUP($F80,'Baumaterialien Matériaux'!$A:$A,'Baumaterialien Matériaux'!AA:AA,0,0)</f>
        <v>6.5304000000000002</v>
      </c>
      <c r="M80" s="1045">
        <f>$G80*_xlfn.XLOOKUP($F80,'Baumaterialien Matériaux'!$A:$A,'Baumaterialien Matériaux'!AB:AB,0,0)</f>
        <v>16.776</v>
      </c>
      <c r="N80" s="1045">
        <f>$G80*_xlfn.XLOOKUP($F80,'Baumaterialien Matériaux'!$A:$A,'Baumaterialien Matériaux'!AC:AC,0,0)*44/12</f>
        <v>0</v>
      </c>
      <c r="O80" s="1045">
        <f>$G80*_xlfn.XLOOKUP($F80,'Baumaterialien Matériaux'!$A:$A,'Baumaterialien Matériaux'!AG:AG,0,0)</f>
        <v>0</v>
      </c>
      <c r="P80" s="1045">
        <f>$G80*_xlfn.XLOOKUP($F80,'Baumaterialien Matériaux'!$A:$A,'Baumaterialien Matériaux'!AH:AH,0,0)</f>
        <v>0</v>
      </c>
    </row>
    <row r="81" spans="1:19" s="626" customFormat="1">
      <c r="A81" s="1130"/>
      <c r="B81" s="1550"/>
      <c r="C81" s="624" t="s">
        <v>714</v>
      </c>
      <c r="D81" s="624" t="str">
        <f>VLOOKUP(F81,'Baumaterialien Matériaux'!$A$10:$AD$432,30,FALSE)</f>
        <v>Voile de polyéthylène (PE)</v>
      </c>
      <c r="E81" s="624" t="str">
        <f>VLOOKUP(F81,'Baumaterialien Matériaux'!$A$10:$AD$432,7,FALSE)</f>
        <v>kg</v>
      </c>
      <c r="F81" s="651" t="s">
        <v>715</v>
      </c>
      <c r="G81" s="1138">
        <v>0.4</v>
      </c>
      <c r="H81" s="625"/>
      <c r="I81" s="624">
        <v>60</v>
      </c>
      <c r="J81" s="939"/>
      <c r="K81" s="939"/>
      <c r="L81" s="1045">
        <f>$G81*_xlfn.XLOOKUP($F81,'Baumaterialien Matériaux'!$A:$A,'Baumaterialien Matériaux'!AA:AA,0,0)</f>
        <v>1.1839999999999999</v>
      </c>
      <c r="M81" s="1045">
        <f>$G81*_xlfn.XLOOKUP($F81,'Baumaterialien Matériaux'!$A:$A,'Baumaterialien Matériaux'!AB:AB,0,0)</f>
        <v>1.0680000000000001</v>
      </c>
      <c r="N81" s="1045">
        <f>$G81*_xlfn.XLOOKUP($F81,'Baumaterialien Matériaux'!$A:$A,'Baumaterialien Matériaux'!AC:AC,0,0)*44/12</f>
        <v>0</v>
      </c>
      <c r="O81" s="1045">
        <f>$G81*_xlfn.XLOOKUP($F81,'Baumaterialien Matériaux'!$A:$A,'Baumaterialien Matériaux'!AG:AG,0,0)</f>
        <v>1.1199999999999999</v>
      </c>
      <c r="P81" s="1045">
        <f>$G81*_xlfn.XLOOKUP($F81,'Baumaterialien Matériaux'!$A:$A,'Baumaterialien Matériaux'!AH:AH,0,0)</f>
        <v>1.028</v>
      </c>
    </row>
    <row r="82" spans="1:19" s="626" customFormat="1">
      <c r="A82" s="634"/>
      <c r="B82" s="1550"/>
      <c r="C82" s="656" t="s">
        <v>716</v>
      </c>
      <c r="D82" s="624" t="str">
        <f>VLOOKUP(F82,'Baumaterialien Matériaux'!$A$10:$AD$432,30,FALSE)</f>
        <v>Gravier rond</v>
      </c>
      <c r="E82" s="624" t="str">
        <f>VLOOKUP(F82,'Baumaterialien Matériaux'!$A$10:$AD$432,7,FALSE)</f>
        <v>kg</v>
      </c>
      <c r="F82" s="651" t="s">
        <v>717</v>
      </c>
      <c r="G82" s="1138">
        <f>0.03*2000</f>
        <v>60</v>
      </c>
      <c r="H82" s="625"/>
      <c r="I82" s="624">
        <v>60</v>
      </c>
      <c r="J82" s="939"/>
      <c r="K82" s="939"/>
      <c r="L82" s="1045">
        <f>$G82*_xlfn.XLOOKUP($F82,'Baumaterialien Matériaux'!$A:$A,'Baumaterialien Matériaux'!AA:AA,0,0)</f>
        <v>0.18300000000000002</v>
      </c>
      <c r="M82" s="1045">
        <f>$G82*_xlfn.XLOOKUP($F82,'Baumaterialien Matériaux'!$A:$A,'Baumaterialien Matériaux'!AB:AB,0,0)</f>
        <v>0.75600000000000001</v>
      </c>
      <c r="N82" s="1045">
        <f>$G82*_xlfn.XLOOKUP($F82,'Baumaterialien Matériaux'!$A:$A,'Baumaterialien Matériaux'!AC:AC,0,0)*44/12</f>
        <v>0</v>
      </c>
      <c r="O82" s="1045">
        <f>$G82*_xlfn.XLOOKUP($F82,'Baumaterialien Matériaux'!$A:$A,'Baumaterialien Matériaux'!AG:AG,0,0)</f>
        <v>6.1800000000000008E-2</v>
      </c>
      <c r="P82" s="1045">
        <f>$G82*_xlfn.XLOOKUP($F82,'Baumaterialien Matériaux'!$A:$A,'Baumaterialien Matériaux'!AH:AH,0,0)</f>
        <v>0.1416</v>
      </c>
    </row>
    <row r="83" spans="1:19" s="637" customFormat="1" ht="12.75" customHeight="1" thickBot="1">
      <c r="B83" s="1122"/>
      <c r="G83" s="1140"/>
      <c r="H83" s="1123"/>
      <c r="I83" s="1127">
        <v>60</v>
      </c>
      <c r="J83" s="1128"/>
      <c r="K83" s="1128"/>
      <c r="L83" s="1129">
        <f>SUM(L73:L82)</f>
        <v>146.07023694267511</v>
      </c>
      <c r="M83" s="1129">
        <f>SUM(M73:M82)</f>
        <v>41.634989458598724</v>
      </c>
      <c r="N83" s="1129">
        <f>SUM(N73:N82)</f>
        <v>7.4620333333333342</v>
      </c>
      <c r="O83" s="1129">
        <f>SUM(O73:O82)</f>
        <v>61.798818471337569</v>
      </c>
      <c r="P83" s="1129">
        <f>SUM(P73:P82)</f>
        <v>34.412178726114647</v>
      </c>
      <c r="R83" s="823">
        <f>(L83+M83)/I83</f>
        <v>3.1284204400212303</v>
      </c>
      <c r="S83" s="637">
        <v>3.62</v>
      </c>
    </row>
    <row r="88" spans="1:19" s="738" customFormat="1" ht="15">
      <c r="A88" s="736" t="s">
        <v>656</v>
      </c>
      <c r="B88" s="736"/>
      <c r="C88" s="736"/>
      <c r="D88" s="736"/>
      <c r="E88" s="736"/>
      <c r="F88" s="736"/>
      <c r="G88" s="1141"/>
      <c r="H88" s="737"/>
      <c r="M88" s="1050"/>
      <c r="N88" s="1050"/>
      <c r="O88" s="1050"/>
      <c r="P88" s="1050"/>
    </row>
  </sheetData>
  <customSheetViews>
    <customSheetView guid="{B32447E2-AB5B-4CBB-881B-FF11349CA4D6}" scale="70">
      <pane ySplit="1" topLeftCell="A2" activePane="bottomLeft" state="frozen"/>
      <selection pane="bottomLeft" activeCell="A42" sqref="A42:A48"/>
      <pageMargins left="0" right="0" top="0" bottom="0" header="0" footer="0"/>
      <pageSetup paperSize="9" orientation="portrait" r:id="rId1"/>
    </customSheetView>
    <customSheetView guid="{9FA74287-E657-475B-BF4B-3C8C757714AE}" scale="70">
      <pane ySplit="1" topLeftCell="A2" activePane="bottomLeft" state="frozen"/>
      <selection pane="bottomLeft" activeCell="A42" sqref="A42:A48"/>
      <pageMargins left="0" right="0" top="0" bottom="0" header="0" footer="0"/>
      <pageSetup paperSize="9" orientation="portrait" r:id="rId2"/>
    </customSheetView>
    <customSheetView guid="{54A7C567-FA7D-467E-B353-ECB5E61AE756}">
      <selection activeCell="T13" sqref="T1:AS1048576"/>
      <pageMargins left="0" right="0" top="0" bottom="0" header="0" footer="0"/>
      <pageSetup paperSize="9" orientation="portrait" r:id="rId3"/>
    </customSheetView>
  </customSheetViews>
  <mergeCells count="17">
    <mergeCell ref="B34:B38"/>
    <mergeCell ref="B43:B47"/>
    <mergeCell ref="B4:B6"/>
    <mergeCell ref="J9:J11"/>
    <mergeCell ref="K9:K11"/>
    <mergeCell ref="B9:B11"/>
    <mergeCell ref="K17:K19"/>
    <mergeCell ref="B17:B19"/>
    <mergeCell ref="B27:B31"/>
    <mergeCell ref="J17:J19"/>
    <mergeCell ref="B20:B21"/>
    <mergeCell ref="B12:B13"/>
    <mergeCell ref="B73:B82"/>
    <mergeCell ref="B62:B70"/>
    <mergeCell ref="B53:B59"/>
    <mergeCell ref="B39:B40"/>
    <mergeCell ref="B48:B49"/>
  </mergeCells>
  <pageMargins left="0" right="0" top="0" bottom="0" header="0" footer="0"/>
  <pageSetup paperSize="9" orientation="portrait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6">
    <pageSetUpPr autoPageBreaks="0"/>
  </sheetPr>
  <dimension ref="A1:CA219"/>
  <sheetViews>
    <sheetView topLeftCell="A73" zoomScale="60" zoomScaleNormal="60" workbookViewId="0">
      <selection activeCell="F95" sqref="F95"/>
    </sheetView>
  </sheetViews>
  <sheetFormatPr baseColWidth="10" defaultColWidth="10.75" defaultRowHeight="14.25" outlineLevelCol="1"/>
  <cols>
    <col min="1" max="1" width="59.125" style="3" bestFit="1" customWidth="1"/>
    <col min="2" max="2" width="30.625" style="3" customWidth="1"/>
    <col min="3" max="3" width="47.125" style="3" customWidth="1"/>
    <col min="4" max="4" width="61.125" style="3" bestFit="1" customWidth="1"/>
    <col min="5" max="5" width="4.625" style="3" customWidth="1"/>
    <col min="6" max="6" width="9" style="588" bestFit="1" customWidth="1"/>
    <col min="7" max="7" width="8.375" style="3" customWidth="1"/>
    <col min="8" max="8" width="2.125" style="3" customWidth="1"/>
    <col min="9" max="9" width="10.75" style="3" bestFit="1" customWidth="1"/>
    <col min="10" max="10" width="10.125" style="1226" hidden="1" customWidth="1" outlineLevel="1"/>
    <col min="11" max="11" width="11.25" style="1226" hidden="1" customWidth="1" outlineLevel="1"/>
    <col min="12" max="12" width="11.25" style="3" bestFit="1" customWidth="1" collapsed="1"/>
    <col min="13" max="13" width="10.75" style="3" bestFit="1" customWidth="1"/>
    <col min="14" max="14" width="11.25" style="3" bestFit="1" customWidth="1"/>
    <col min="15" max="15" width="11.25" style="3" bestFit="1" customWidth="1" collapsed="1"/>
    <col min="16" max="16" width="10.75" style="3" bestFit="1"/>
    <col min="17" max="16384" width="10.75" style="3"/>
  </cols>
  <sheetData>
    <row r="1" spans="1:79" ht="75">
      <c r="B1" s="1" t="s">
        <v>617</v>
      </c>
      <c r="C1" s="1" t="s">
        <v>618</v>
      </c>
      <c r="D1" s="1" t="s">
        <v>619</v>
      </c>
      <c r="E1" s="1284" t="s">
        <v>620</v>
      </c>
      <c r="F1" s="1" t="s">
        <v>621</v>
      </c>
      <c r="G1" s="131" t="s">
        <v>680</v>
      </c>
      <c r="I1" s="131" t="s">
        <v>623</v>
      </c>
      <c r="J1" s="1318" t="s">
        <v>624</v>
      </c>
      <c r="K1" s="1318" t="s">
        <v>625</v>
      </c>
      <c r="L1" s="131" t="s">
        <v>626</v>
      </c>
      <c r="M1" s="131" t="s">
        <v>627</v>
      </c>
      <c r="N1" s="131" t="s">
        <v>628</v>
      </c>
      <c r="O1" s="131" t="s">
        <v>629</v>
      </c>
      <c r="P1" s="131" t="s">
        <v>630</v>
      </c>
      <c r="Q1"/>
      <c r="R1"/>
      <c r="S1"/>
      <c r="T1"/>
      <c r="U1"/>
      <c r="V1"/>
    </row>
    <row r="2" spans="1:79" s="1147" customFormat="1" ht="15.75">
      <c r="B2" s="1148"/>
      <c r="C2" s="1148"/>
      <c r="D2" s="1148"/>
      <c r="E2" s="1149"/>
      <c r="F2" s="1149">
        <v>0</v>
      </c>
      <c r="G2" s="1149">
        <v>0</v>
      </c>
      <c r="H2" s="1149">
        <v>0</v>
      </c>
      <c r="I2" s="1149">
        <v>0</v>
      </c>
      <c r="J2" s="1318">
        <v>0</v>
      </c>
      <c r="K2" s="1318">
        <v>0</v>
      </c>
      <c r="L2" s="1149">
        <v>0</v>
      </c>
      <c r="M2" s="1149">
        <v>0</v>
      </c>
      <c r="N2" s="1149">
        <v>0</v>
      </c>
      <c r="O2" s="1149">
        <v>0</v>
      </c>
      <c r="P2" s="1149">
        <v>0</v>
      </c>
      <c r="Q2" s="1150"/>
      <c r="R2" s="1150"/>
      <c r="S2" s="1150"/>
      <c r="T2" s="1150"/>
      <c r="U2" s="1150"/>
      <c r="V2" s="1150"/>
    </row>
    <row r="3" spans="1:79" s="145" customFormat="1" ht="15">
      <c r="A3" s="143" t="s">
        <v>533</v>
      </c>
      <c r="B3" s="143" t="str">
        <f>'Outil détaillé'!D17</f>
        <v>Parois extérieures hors terrain</v>
      </c>
      <c r="C3" s="143"/>
      <c r="D3" s="143"/>
      <c r="E3" s="143"/>
      <c r="F3" s="587"/>
      <c r="G3" s="144"/>
      <c r="H3" s="143"/>
      <c r="J3" s="1226"/>
      <c r="K3" s="1226"/>
    </row>
    <row r="4" spans="1:79" s="643" customFormat="1">
      <c r="A4" s="642" t="s">
        <v>726</v>
      </c>
      <c r="B4" s="1568" t="s">
        <v>727</v>
      </c>
      <c r="C4" s="624" t="s">
        <v>728</v>
      </c>
      <c r="D4" s="624" t="str">
        <f>VLOOKUP(F4,'Baumaterialien Matériaux'!$A$10:$AD$432,30,FALSE)</f>
        <v>Béton pour bâtiment (sans armature)</v>
      </c>
      <c r="E4" s="624" t="str">
        <f>VLOOKUP(F4,'Baumaterialien Matériaux'!$A$10:$AD$432,7,FALSE)</f>
        <v>kg</v>
      </c>
      <c r="F4" s="632" t="s">
        <v>685</v>
      </c>
      <c r="G4" s="652">
        <f>(0.2-G5/7850)*2300</f>
        <v>454.2866242038217</v>
      </c>
      <c r="H4" s="633"/>
      <c r="I4" s="624">
        <v>60</v>
      </c>
      <c r="J4" s="1319"/>
      <c r="K4" s="1319"/>
      <c r="L4" s="625">
        <f>$G4*_xlfn.XLOOKUP($F4,'Baumaterialien Matériaux'!$A:$A,'Baumaterialien Matériaux'!AA:AA,0,0)</f>
        <v>40.295223566878988</v>
      </c>
      <c r="M4" s="625">
        <f>$G4*_xlfn.XLOOKUP($F4,'Baumaterialien Matériaux'!$A:$A,'Baumaterialien Matériaux'!AB:AB,0,0)</f>
        <v>5.7240114649681537</v>
      </c>
      <c r="N4" s="625">
        <f>$G4*_xlfn.XLOOKUP($F4,'Baumaterialien Matériaux'!$A:$A,'Baumaterialien Matériaux'!AC:AC,0,0)*44/12</f>
        <v>0</v>
      </c>
      <c r="O4" s="625">
        <f>$G4*_xlfn.XLOOKUP($F4,'Baumaterialien Matériaux'!$A:$A,'Baumaterialien Matériaux'!AG:AG,0,0)</f>
        <v>9.4491617834394912</v>
      </c>
      <c r="P4" s="625">
        <f>$G4*_xlfn.XLOOKUP($F4,'Baumaterialien Matériaux'!$A:$A,'Baumaterialien Matériaux'!AH:AH,0,0)</f>
        <v>1.2174881528662422</v>
      </c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6"/>
      <c r="BV4" s="626"/>
      <c r="BW4" s="626"/>
      <c r="BX4" s="626"/>
      <c r="BY4" s="626"/>
      <c r="BZ4" s="626"/>
      <c r="CA4" s="626"/>
    </row>
    <row r="5" spans="1:79" s="626" customFormat="1">
      <c r="B5" s="1568"/>
      <c r="C5" s="624" t="s">
        <v>729</v>
      </c>
      <c r="D5" s="624" t="str">
        <f>VLOOKUP(F5,'Baumaterialien Matériaux'!$A$10:$AD$432,30,FALSE)</f>
        <v>Acier d'armature</v>
      </c>
      <c r="E5" s="624" t="str">
        <f>VLOOKUP(F5,'Baumaterialien Matériaux'!$A$10:$AD$432,7,FALSE)</f>
        <v>kg</v>
      </c>
      <c r="F5" s="632" t="s">
        <v>687</v>
      </c>
      <c r="G5" s="652">
        <f>97.5*0.2</f>
        <v>19.5</v>
      </c>
      <c r="H5" s="633"/>
      <c r="I5" s="624">
        <v>60</v>
      </c>
      <c r="J5" s="1319"/>
      <c r="K5" s="1319"/>
      <c r="L5" s="625">
        <f>$G5*_xlfn.XLOOKUP($F5,'Baumaterialien Matériaux'!$A:$A,'Baumaterialien Matériaux'!AA:AA,0,0)</f>
        <v>15.073500000000001</v>
      </c>
      <c r="M5" s="625">
        <f>$G5*_xlfn.XLOOKUP($F5,'Baumaterialien Matériaux'!$A:$A,'Baumaterialien Matériaux'!AB:AB,0,0)</f>
        <v>0.23790000000000003</v>
      </c>
      <c r="N5" s="625">
        <f>$G5*_xlfn.XLOOKUP($F5,'Baumaterialien Matériaux'!$A:$A,'Baumaterialien Matériaux'!AC:AC,0,0)*44/12</f>
        <v>0</v>
      </c>
      <c r="O5" s="625">
        <f>$G5*_xlfn.XLOOKUP($F5,'Baumaterialien Matériaux'!$A:$A,'Baumaterialien Matériaux'!AG:AG,0,0)</f>
        <v>5.6744999999999992</v>
      </c>
      <c r="P5" s="625">
        <f>$G5*_xlfn.XLOOKUP($F5,'Baumaterialien Matériaux'!$A:$A,'Baumaterialien Matériaux'!AH:AH,0,0)</f>
        <v>0</v>
      </c>
    </row>
    <row r="6" spans="1:79" s="626" customFormat="1">
      <c r="B6" s="1568"/>
      <c r="C6" s="624" t="s">
        <v>730</v>
      </c>
      <c r="D6" s="624" t="str">
        <f>VLOOKUP(F6,'Baumaterialien Matériaux'!$A$10:$AD$432,30,FALSE)</f>
        <v>Bois massif 3 et 5 plis</v>
      </c>
      <c r="E6" s="624" t="str">
        <f>VLOOKUP(F6,'Baumaterialien Matériaux'!$A$10:$AD$432,7,FALSE)</f>
        <v>kg</v>
      </c>
      <c r="F6" s="632" t="s">
        <v>705</v>
      </c>
      <c r="G6" s="625">
        <f>2/5*0.025*470</f>
        <v>4.7000000000000011</v>
      </c>
      <c r="H6" s="625"/>
      <c r="I6" s="624">
        <v>60</v>
      </c>
      <c r="J6" s="1319"/>
      <c r="K6" s="1319"/>
      <c r="L6" s="625">
        <f>$G6*_xlfn.XLOOKUP($F6,'Baumaterialien Matériaux'!$A:$A,'Baumaterialien Matériaux'!AA:AA,0,0)</f>
        <v>1.9458000000000004</v>
      </c>
      <c r="M6" s="625">
        <f>$G6*_xlfn.XLOOKUP($F6,'Baumaterialien Matériaux'!$A:$A,'Baumaterialien Matériaux'!AB:AB,0,0)</f>
        <v>0.25991000000000009</v>
      </c>
      <c r="N6" s="625">
        <f>$G6*_xlfn.XLOOKUP($F6,'Baumaterialien Matériaux'!$A:$A,'Baumaterialien Matériaux'!AC:AC,0,0)*44/12</f>
        <v>7.4620333333333342</v>
      </c>
      <c r="O6" s="625">
        <f>$G6*_xlfn.XLOOKUP($F6,'Baumaterialien Matériaux'!$A:$A,'Baumaterialien Matériaux'!AG:AG,0,0)</f>
        <v>0.65800000000000025</v>
      </c>
      <c r="P6" s="625">
        <f>$G6*_xlfn.XLOOKUP($F6,'Baumaterialien Matériaux'!$A:$A,'Baumaterialien Matériaux'!AH:AH,0,0)</f>
        <v>0.18283000000000002</v>
      </c>
    </row>
    <row r="7" spans="1:79" s="663" customFormat="1" ht="15.75" thickBot="1">
      <c r="B7" s="674"/>
      <c r="C7" s="666"/>
      <c r="F7" s="665"/>
      <c r="I7" s="666"/>
      <c r="J7" s="1320"/>
      <c r="K7" s="1320"/>
      <c r="L7" s="1002">
        <f t="shared" ref="L7:N7" si="0">SUM(L4:L6)</f>
        <v>57.314523566878989</v>
      </c>
      <c r="M7" s="1002">
        <f t="shared" si="0"/>
        <v>6.2218214649681531</v>
      </c>
      <c r="N7" s="1002">
        <f t="shared" si="0"/>
        <v>7.4620333333333342</v>
      </c>
      <c r="O7" s="1002">
        <f t="shared" ref="O7:P7" si="1">SUM(O4:O6)</f>
        <v>15.781661783439491</v>
      </c>
      <c r="P7" s="1002">
        <f t="shared" si="1"/>
        <v>1.4003181528662423</v>
      </c>
      <c r="Q7" s="626"/>
      <c r="R7" s="626">
        <f>(L7+M7)/I6</f>
        <v>1.0589390838641191</v>
      </c>
      <c r="S7" s="626">
        <v>1.23</v>
      </c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6"/>
      <c r="AL7" s="626"/>
      <c r="AM7" s="626"/>
      <c r="AN7" s="626"/>
      <c r="AO7" s="626"/>
      <c r="AP7" s="626"/>
      <c r="AQ7" s="626"/>
      <c r="AR7" s="626"/>
      <c r="AS7" s="626"/>
      <c r="AT7" s="626"/>
      <c r="AU7" s="626"/>
      <c r="AV7" s="626"/>
      <c r="AW7" s="626"/>
      <c r="AX7" s="626"/>
      <c r="AY7" s="626"/>
      <c r="AZ7" s="626"/>
      <c r="BA7" s="626"/>
      <c r="BB7" s="626"/>
      <c r="BC7" s="626"/>
      <c r="BD7" s="626"/>
      <c r="BE7" s="626"/>
      <c r="BF7" s="626"/>
      <c r="BG7" s="626"/>
      <c r="BH7" s="626"/>
      <c r="BI7" s="626"/>
      <c r="BJ7" s="626"/>
      <c r="BK7" s="626"/>
      <c r="BL7" s="626"/>
      <c r="BM7" s="626"/>
      <c r="BN7" s="626"/>
      <c r="BO7" s="626"/>
      <c r="BP7" s="626"/>
      <c r="BQ7" s="626"/>
      <c r="BR7" s="626"/>
      <c r="BS7" s="626"/>
      <c r="BT7" s="626"/>
      <c r="BU7" s="626"/>
      <c r="BV7" s="626"/>
      <c r="BW7" s="626"/>
      <c r="BX7" s="626"/>
      <c r="BY7" s="626"/>
      <c r="BZ7" s="626"/>
      <c r="CA7" s="626"/>
    </row>
    <row r="8" spans="1:79" ht="15" thickTop="1">
      <c r="L8" s="132">
        <f>$G8*_xlfn.XLOOKUP($F8,'Baumaterialien Matériaux'!$A:$A,'Baumaterialien Matériaux'!AA:AA,0,0)</f>
        <v>0</v>
      </c>
      <c r="M8" s="132">
        <f>$G8*_xlfn.XLOOKUP($F8,'Baumaterialien Matériaux'!$A:$A,'Baumaterialien Matériaux'!AB:AB,0,0)</f>
        <v>0</v>
      </c>
      <c r="N8" s="132">
        <f>$G8*_xlfn.XLOOKUP($F8,'Baumaterialien Matériaux'!$A:$A,'Baumaterialien Matériaux'!AC:AC,0,0)*44/12</f>
        <v>0</v>
      </c>
      <c r="O8" s="132">
        <f>$G8*_xlfn.XLOOKUP($F8,'Baumaterialien Matériaux'!$A:$A,'Baumaterialien Matériaux'!AG:AG,0,0)</f>
        <v>0</v>
      </c>
      <c r="P8" s="132">
        <f>$G8*_xlfn.XLOOKUP($F8,'Baumaterialien Matériaux'!$A:$A,'Baumaterialien Matériaux'!AH:AH,0,0)</f>
        <v>0</v>
      </c>
      <c r="R8" s="626"/>
    </row>
    <row r="9" spans="1:79" s="643" customFormat="1">
      <c r="A9" s="1282" t="s">
        <v>731</v>
      </c>
      <c r="B9" s="641" t="s">
        <v>732</v>
      </c>
      <c r="C9" s="624" t="s">
        <v>733</v>
      </c>
      <c r="D9" s="624" t="str">
        <f>VLOOKUP(F9,'Baumaterialien Matériaux'!$A$10:$AD$432,30,FALSE)</f>
        <v>Bois massif épicéa / sapin / mélèze, séché à l'air, brut</v>
      </c>
      <c r="E9" s="624" t="str">
        <f>VLOOKUP(F9,'Baumaterialien Matériaux'!$A$10:$AD$432,7,FALSE)</f>
        <v>kg</v>
      </c>
      <c r="F9" s="632" t="s">
        <v>734</v>
      </c>
      <c r="G9" s="625">
        <f>0.1*485</f>
        <v>48.5</v>
      </c>
      <c r="H9" s="624"/>
      <c r="I9" s="624">
        <v>60</v>
      </c>
      <c r="J9" s="1319"/>
      <c r="K9" s="1319"/>
      <c r="L9" s="625">
        <f>$G9*_xlfn.XLOOKUP($F9,'Baumaterialien Matériaux'!$A:$A,'Baumaterialien Matériaux'!AA:AA,0,0)</f>
        <v>4.3843999999999994</v>
      </c>
      <c r="M9" s="625">
        <f>$G9*_xlfn.XLOOKUP($F9,'Baumaterialien Matériaux'!$A:$A,'Baumaterialien Matériaux'!AB:AB,0,0)</f>
        <v>1.8915</v>
      </c>
      <c r="N9" s="625">
        <f>$G9*_xlfn.XLOOKUP($F9,'Baumaterialien Matériaux'!$A:$A,'Baumaterialien Matériaux'!AC:AC,0,0)*44/12</f>
        <v>73.445166666666665</v>
      </c>
      <c r="O9" s="625">
        <f>$G9*_xlfn.XLOOKUP($F9,'Baumaterialien Matériaux'!$A:$A,'Baumaterialien Matériaux'!AG:AG,0,0)</f>
        <v>1.3386</v>
      </c>
      <c r="P9" s="625">
        <f>$G9*_xlfn.XLOOKUP($F9,'Baumaterialien Matériaux'!$A:$A,'Baumaterialien Matériaux'!AH:AH,0,0)</f>
        <v>0.32349499999999998</v>
      </c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  <c r="AN9" s="626"/>
      <c r="AO9" s="626"/>
      <c r="AP9" s="626"/>
      <c r="AQ9" s="626"/>
      <c r="AR9" s="626"/>
      <c r="AS9" s="626"/>
      <c r="AT9" s="626"/>
      <c r="AU9" s="626"/>
      <c r="AV9" s="626"/>
      <c r="AW9" s="626"/>
      <c r="AX9" s="626"/>
      <c r="AY9" s="626"/>
      <c r="AZ9" s="626"/>
      <c r="BA9" s="626"/>
      <c r="BB9" s="626"/>
      <c r="BC9" s="626"/>
      <c r="BD9" s="626"/>
      <c r="BE9" s="626"/>
      <c r="BF9" s="626"/>
      <c r="BG9" s="626"/>
      <c r="BH9" s="626"/>
      <c r="BI9" s="626"/>
      <c r="BJ9" s="626"/>
      <c r="BK9" s="626"/>
      <c r="BL9" s="626"/>
      <c r="BM9" s="626"/>
      <c r="BN9" s="626"/>
      <c r="BO9" s="626"/>
      <c r="BP9" s="626"/>
      <c r="BQ9" s="626"/>
      <c r="BR9" s="626"/>
      <c r="BS9" s="626"/>
      <c r="BT9" s="626"/>
      <c r="BU9" s="626"/>
      <c r="BV9" s="626"/>
      <c r="BW9" s="626"/>
      <c r="BX9" s="626"/>
      <c r="BY9" s="626"/>
      <c r="BZ9" s="626"/>
      <c r="CA9" s="626"/>
    </row>
    <row r="10" spans="1:79" s="663" customFormat="1" ht="15.75" thickBot="1">
      <c r="A10" s="664"/>
      <c r="B10" s="664"/>
      <c r="F10" s="665"/>
      <c r="I10" s="666"/>
      <c r="J10" s="1321"/>
      <c r="K10" s="1321"/>
      <c r="L10" s="1002">
        <f t="shared" ref="L10:N10" si="2">SUM(L9:L9)</f>
        <v>4.3843999999999994</v>
      </c>
      <c r="M10" s="1002">
        <f t="shared" si="2"/>
        <v>1.8915</v>
      </c>
      <c r="N10" s="1002">
        <f t="shared" si="2"/>
        <v>73.445166666666665</v>
      </c>
      <c r="O10" s="1002">
        <f t="shared" ref="O10:P10" si="3">SUM(O9:O9)</f>
        <v>1.3386</v>
      </c>
      <c r="P10" s="1002">
        <f t="shared" si="3"/>
        <v>0.32349499999999998</v>
      </c>
      <c r="Q10" s="626"/>
      <c r="R10" s="626">
        <f>(L10+M10)/I9</f>
        <v>0.10459833333333332</v>
      </c>
      <c r="S10" s="626">
        <v>0.27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  <c r="AN10" s="626"/>
      <c r="AO10" s="626"/>
      <c r="AP10" s="626"/>
      <c r="AQ10" s="626"/>
      <c r="AR10" s="626"/>
      <c r="AS10" s="626"/>
      <c r="AT10" s="626"/>
      <c r="AU10" s="626"/>
      <c r="AV10" s="626"/>
      <c r="AW10" s="626"/>
      <c r="AX10" s="626"/>
      <c r="AY10" s="626"/>
      <c r="AZ10" s="626"/>
      <c r="BA10" s="626"/>
      <c r="BB10" s="626"/>
      <c r="BC10" s="626"/>
      <c r="BD10" s="626"/>
      <c r="BE10" s="626"/>
      <c r="BF10" s="626"/>
      <c r="BG10" s="626"/>
      <c r="BH10" s="626"/>
      <c r="BI10" s="626"/>
      <c r="BJ10" s="626"/>
      <c r="BK10" s="626"/>
      <c r="BL10" s="626"/>
      <c r="BM10" s="626"/>
      <c r="BN10" s="626"/>
      <c r="BO10" s="626"/>
      <c r="BP10" s="626"/>
      <c r="BQ10" s="626"/>
      <c r="BR10" s="626"/>
      <c r="BS10" s="626"/>
      <c r="BT10" s="626"/>
      <c r="BU10" s="626"/>
      <c r="BV10" s="626"/>
      <c r="BW10" s="626"/>
      <c r="BX10" s="626"/>
      <c r="BY10" s="626"/>
      <c r="BZ10" s="626"/>
      <c r="CA10" s="626"/>
    </row>
    <row r="11" spans="1:79" ht="15.75" customHeight="1" thickTop="1">
      <c r="L11" s="132"/>
      <c r="M11" s="132"/>
      <c r="N11" s="132"/>
      <c r="O11" s="132"/>
      <c r="P11" s="132"/>
    </row>
    <row r="12" spans="1:79" s="160" customFormat="1">
      <c r="A12" s="1341" t="s">
        <v>735</v>
      </c>
      <c r="B12" s="1569" t="s">
        <v>736</v>
      </c>
      <c r="C12" s="181" t="s">
        <v>737</v>
      </c>
      <c r="D12" s="181" t="str">
        <f>VLOOKUP(F12,'Baumaterialien Matériaux'!$A$10:$AD$432,30,FALSE)</f>
        <v>Brique en terre cuite</v>
      </c>
      <c r="E12" s="181" t="str">
        <f>VLOOKUP(F12,'Baumaterialien Matériaux'!$A$10:$AD$432,7,FALSE)</f>
        <v>kg</v>
      </c>
      <c r="F12" s="314" t="s">
        <v>738</v>
      </c>
      <c r="G12" s="182">
        <f>16.7*10.7</f>
        <v>178.68999999999997</v>
      </c>
      <c r="H12" s="181"/>
      <c r="I12" s="181">
        <v>60</v>
      </c>
      <c r="J12" s="1319"/>
      <c r="K12" s="1319"/>
      <c r="L12" s="182">
        <f>$G12*_xlfn.XLOOKUP($F12,'Baumaterialien Matériaux'!$A:$A,'Baumaterialien Matériaux'!AA:AA,0,0)</f>
        <v>45.387259999999991</v>
      </c>
      <c r="M12" s="182">
        <f>$G12*_xlfn.XLOOKUP($F12,'Baumaterialien Matériaux'!$A:$A,'Baumaterialien Matériaux'!AB:AB,0,0)</f>
        <v>2.2693629999999994</v>
      </c>
      <c r="N12" s="182">
        <f>$G12*_xlfn.XLOOKUP($F12,'Baumaterialien Matériaux'!$A:$A,'Baumaterialien Matériaux'!AC:AC,0,0)*44/12</f>
        <v>0</v>
      </c>
      <c r="O12" s="182">
        <f>$G12*_xlfn.XLOOKUP($F12,'Baumaterialien Matériaux'!$A:$A,'Baumaterialien Matériaux'!AG:AG,0,0)</f>
        <v>6.8616959999999985</v>
      </c>
      <c r="P12" s="182">
        <f>$G12*_xlfn.XLOOKUP($F12,'Baumaterialien Matériaux'!$A:$A,'Baumaterialien Matériaux'!AH:AH,0,0)</f>
        <v>0.45565949999999994</v>
      </c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</row>
    <row r="13" spans="1:79">
      <c r="A13" s="172"/>
      <c r="B13" s="1569"/>
      <c r="C13" s="181" t="s">
        <v>739</v>
      </c>
      <c r="D13" s="181" t="str">
        <f>VLOOKUP(F13,'Baumaterialien Matériaux'!$A$10:$AD$432,30,FALSE)</f>
        <v>Enduit de ciment</v>
      </c>
      <c r="E13" s="181" t="str">
        <f>VLOOKUP(F13,'Baumaterialien Matériaux'!$A$10:$AD$432,7,FALSE)</f>
        <v>kg</v>
      </c>
      <c r="F13" s="589" t="s">
        <v>740</v>
      </c>
      <c r="G13" s="182">
        <f>41*1.6</f>
        <v>65.600000000000009</v>
      </c>
      <c r="H13" s="181"/>
      <c r="I13" s="181">
        <v>60</v>
      </c>
      <c r="J13" s="1319"/>
      <c r="K13" s="1319"/>
      <c r="L13" s="182">
        <f>$G13*_xlfn.XLOOKUP($F13,'Baumaterialien Matériaux'!$A:$A,'Baumaterialien Matériaux'!AA:AA,0,0)</f>
        <v>16.268800000000002</v>
      </c>
      <c r="M13" s="182">
        <f>$G13*_xlfn.XLOOKUP($F13,'Baumaterialien Matériaux'!$A:$A,'Baumaterialien Matériaux'!AB:AB,0,0)</f>
        <v>0.83312000000000008</v>
      </c>
      <c r="N13" s="182">
        <f>$G13*_xlfn.XLOOKUP($F13,'Baumaterialien Matériaux'!$A:$A,'Baumaterialien Matériaux'!AC:AC,0,0)*44/12</f>
        <v>0</v>
      </c>
      <c r="O13" s="182">
        <f>$G13*_xlfn.XLOOKUP($F13,'Baumaterialien Matériaux'!$A:$A,'Baumaterialien Matériaux'!AG:AG,0,0)</f>
        <v>6.1336000000000004</v>
      </c>
      <c r="P13" s="182">
        <f>$G13*_xlfn.XLOOKUP($F13,'Baumaterialien Matériaux'!$A:$A,'Baumaterialien Matériaux'!AH:AH,0,0)</f>
        <v>0.21451200000000001</v>
      </c>
    </row>
    <row r="14" spans="1:79" s="658" customFormat="1" ht="15.75" thickBot="1">
      <c r="A14" s="669"/>
      <c r="B14" s="662"/>
      <c r="F14" s="659"/>
      <c r="I14" s="661"/>
      <c r="J14" s="1321"/>
      <c r="K14" s="1321"/>
      <c r="L14" s="1003">
        <f t="shared" ref="L14:N14" si="4">SUM(L12:L13)</f>
        <v>61.656059999999997</v>
      </c>
      <c r="M14" s="1003">
        <f t="shared" si="4"/>
        <v>3.1024829999999994</v>
      </c>
      <c r="N14" s="1003">
        <f t="shared" si="4"/>
        <v>0</v>
      </c>
      <c r="O14" s="1003">
        <f t="shared" ref="O14:P14" si="5">SUM(O12:O13)</f>
        <v>12.995296</v>
      </c>
      <c r="P14" s="1003">
        <f t="shared" si="5"/>
        <v>0.67017149999999992</v>
      </c>
      <c r="Q14" s="3"/>
      <c r="R14" s="626">
        <f>(L14+M14)/I13</f>
        <v>1.07930905</v>
      </c>
      <c r="S14" s="3">
        <v>1.0900000000000001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</row>
    <row r="15" spans="1:79" ht="15.75" thickTop="1">
      <c r="J15" s="1228"/>
      <c r="K15" s="1228"/>
      <c r="L15" s="132"/>
      <c r="M15" s="132"/>
      <c r="N15" s="132"/>
      <c r="O15" s="132"/>
      <c r="P15" s="132"/>
    </row>
    <row r="16" spans="1:79" s="160" customFormat="1">
      <c r="A16" s="1341" t="s">
        <v>741</v>
      </c>
      <c r="B16" s="1569" t="s">
        <v>742</v>
      </c>
      <c r="C16" s="181" t="s">
        <v>737</v>
      </c>
      <c r="D16" s="181" t="str">
        <f>VLOOKUP(F16,'Baumaterialien Matériaux'!$A$10:$AD$432,30,FALSE)</f>
        <v>Brique en terre cuite</v>
      </c>
      <c r="E16" s="181" t="str">
        <f>VLOOKUP(F16,'Baumaterialien Matériaux'!$A$10:$AD$432,7,FALSE)</f>
        <v>kg</v>
      </c>
      <c r="F16" s="314" t="s">
        <v>738</v>
      </c>
      <c r="G16" s="182">
        <f>16.7*7.1</f>
        <v>118.57</v>
      </c>
      <c r="H16" s="181"/>
      <c r="I16" s="181">
        <v>60</v>
      </c>
      <c r="J16" s="1319"/>
      <c r="K16" s="1319"/>
      <c r="L16" s="182">
        <f>$G16*_xlfn.XLOOKUP($F16,'Baumaterialien Matériaux'!$A:$A,'Baumaterialien Matériaux'!AA:AA,0,0)</f>
        <v>30.116779999999999</v>
      </c>
      <c r="M16" s="182">
        <f>$G16*_xlfn.XLOOKUP($F16,'Baumaterialien Matériaux'!$A:$A,'Baumaterialien Matériaux'!AB:AB,0,0)</f>
        <v>1.5058389999999999</v>
      </c>
      <c r="N16" s="182">
        <f>$G16*_xlfn.XLOOKUP($F16,'Baumaterialien Matériaux'!$A:$A,'Baumaterialien Matériaux'!AC:AC,0,0)*44/12</f>
        <v>0</v>
      </c>
      <c r="O16" s="182">
        <f>$G16*_xlfn.XLOOKUP($F16,'Baumaterialien Matériaux'!$A:$A,'Baumaterialien Matériaux'!AG:AG,0,0)</f>
        <v>4.5530879999999989</v>
      </c>
      <c r="P16" s="182">
        <f>$G16*_xlfn.XLOOKUP($F16,'Baumaterialien Matériaux'!$A:$A,'Baumaterialien Matériaux'!AH:AH,0,0)</f>
        <v>0.3023535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</row>
    <row r="17" spans="1:79">
      <c r="A17" s="172"/>
      <c r="B17" s="1569"/>
      <c r="C17" s="181" t="s">
        <v>739</v>
      </c>
      <c r="D17" s="181" t="str">
        <f>VLOOKUP(F17,'Baumaterialien Matériaux'!$A$10:$AD$432,30,FALSE)</f>
        <v>Enduit de ciment</v>
      </c>
      <c r="E17" s="181" t="str">
        <f>VLOOKUP(F17,'Baumaterialien Matériaux'!$A$10:$AD$432,7,FALSE)</f>
        <v>kg</v>
      </c>
      <c r="F17" s="589" t="s">
        <v>740</v>
      </c>
      <c r="G17" s="182">
        <f>41*1.6</f>
        <v>65.600000000000009</v>
      </c>
      <c r="H17" s="181"/>
      <c r="I17" s="181">
        <v>60</v>
      </c>
      <c r="J17" s="1319"/>
      <c r="K17" s="1319"/>
      <c r="L17" s="182">
        <f>$G17*_xlfn.XLOOKUP($F17,'Baumaterialien Matériaux'!$A:$A,'Baumaterialien Matériaux'!AA:AA,0,0)</f>
        <v>16.268800000000002</v>
      </c>
      <c r="M17" s="182">
        <f>$G17*_xlfn.XLOOKUP($F17,'Baumaterialien Matériaux'!$A:$A,'Baumaterialien Matériaux'!AB:AB,0,0)</f>
        <v>0.83312000000000008</v>
      </c>
      <c r="N17" s="182">
        <f>$G17*_xlfn.XLOOKUP($F17,'Baumaterialien Matériaux'!$A:$A,'Baumaterialien Matériaux'!AC:AC,0,0)*44/12</f>
        <v>0</v>
      </c>
      <c r="O17" s="182">
        <f>$G17*_xlfn.XLOOKUP($F17,'Baumaterialien Matériaux'!$A:$A,'Baumaterialien Matériaux'!AG:AG,0,0)</f>
        <v>6.1336000000000004</v>
      </c>
      <c r="P17" s="182">
        <f>$G17*_xlfn.XLOOKUP($F17,'Baumaterialien Matériaux'!$A:$A,'Baumaterialien Matériaux'!AH:AH,0,0)</f>
        <v>0.21451200000000001</v>
      </c>
    </row>
    <row r="18" spans="1:79" s="658" customFormat="1" ht="15.75" thickBot="1">
      <c r="A18" s="669"/>
      <c r="B18" s="662"/>
      <c r="F18" s="659"/>
      <c r="I18" s="661"/>
      <c r="J18" s="1321"/>
      <c r="K18" s="1321"/>
      <c r="L18" s="1003">
        <f t="shared" ref="L18:P18" si="6">SUM(L16:L17)</f>
        <v>46.385580000000004</v>
      </c>
      <c r="M18" s="1003">
        <f t="shared" si="6"/>
        <v>2.338959</v>
      </c>
      <c r="N18" s="1003">
        <f t="shared" si="6"/>
        <v>0</v>
      </c>
      <c r="O18" s="1003">
        <f t="shared" si="6"/>
        <v>10.686688</v>
      </c>
      <c r="P18" s="1003">
        <f t="shared" si="6"/>
        <v>0.51686549999999998</v>
      </c>
      <c r="Q18" s="3"/>
      <c r="R18" s="626">
        <f>(L18+M18)/I17</f>
        <v>0.81207565000000015</v>
      </c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</row>
    <row r="19" spans="1:79" ht="15" thickTop="1">
      <c r="A19" s="172"/>
      <c r="B19" s="604"/>
      <c r="C19" s="181"/>
      <c r="E19" s="1155"/>
      <c r="F19" s="181"/>
      <c r="G19" s="182"/>
      <c r="H19" s="182"/>
      <c r="I19" s="182"/>
      <c r="J19" s="1319"/>
      <c r="K19" s="1319"/>
      <c r="L19" s="181"/>
      <c r="M19" s="1018"/>
      <c r="N19" s="1018"/>
      <c r="O19" s="1159"/>
      <c r="P19" s="1160"/>
      <c r="Q19" s="1159"/>
      <c r="R19" s="1159"/>
      <c r="S19" s="1159"/>
      <c r="T19" s="1018"/>
    </row>
    <row r="20" spans="1:79" s="181" customFormat="1" ht="13.9" customHeight="1">
      <c r="A20" s="743" t="s">
        <v>743</v>
      </c>
      <c r="B20" s="1575" t="s">
        <v>744</v>
      </c>
      <c r="C20" s="181" t="s">
        <v>745</v>
      </c>
      <c r="D20" s="181" t="str">
        <f>VLOOKUP(F20,'Baumaterialien Matériaux'!$A$10:$AD$432,30,FALSE)</f>
        <v>Perlite expansée</v>
      </c>
      <c r="E20" s="181" t="str">
        <f>VLOOKUP(F20,'Baumaterialien Matériaux'!$A$10:$AD$432,7,FALSE)</f>
        <v>kg</v>
      </c>
      <c r="F20" s="314" t="s">
        <v>746</v>
      </c>
      <c r="G20" s="181">
        <f>0.49*0.78*100</f>
        <v>38.22</v>
      </c>
      <c r="I20" s="181">
        <v>60</v>
      </c>
      <c r="J20" s="1319"/>
      <c r="K20" s="1319"/>
      <c r="L20" s="182">
        <f>$G20*_xlfn.XLOOKUP($F20,'Baumaterialien Matériaux'!$A:$A,'Baumaterialien Matériaux'!AA:AA,0,0)</f>
        <v>39.748800000000003</v>
      </c>
      <c r="M20" s="182">
        <f>$G20*_xlfn.XLOOKUP($F20,'Baumaterialien Matériaux'!$A:$A,'Baumaterialien Matériaux'!AB:AB,0,0)</f>
        <v>0.48539399999999999</v>
      </c>
      <c r="N20" s="182">
        <f>$G20*_xlfn.XLOOKUP($F20,'Baumaterialien Matériaux'!$A:$A,'Baumaterialien Matériaux'!AC:AC,0,0)*44/12</f>
        <v>0</v>
      </c>
      <c r="O20" s="182">
        <f>$G20*_xlfn.XLOOKUP($F20,'Baumaterialien Matériaux'!$A:$A,'Baumaterialien Matériaux'!AG:AG,0,0)</f>
        <v>34.321559999999998</v>
      </c>
      <c r="P20" s="182">
        <f>$G20*_xlfn.XLOOKUP($F20,'Baumaterialien Matériaux'!$A:$A,'Baumaterialien Matériaux'!AH:AH,0,0)</f>
        <v>0.1330056</v>
      </c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</row>
    <row r="21" spans="1:79" s="181" customFormat="1">
      <c r="A21" s="670"/>
      <c r="B21" s="1575"/>
      <c r="C21" s="181" t="s">
        <v>737</v>
      </c>
      <c r="D21" s="181" t="str">
        <f>VLOOKUP(F21,'Baumaterialien Matériaux'!$A$10:$AD$432,30,FALSE)</f>
        <v>Brique en terre cuite</v>
      </c>
      <c r="E21" s="181" t="str">
        <f>VLOOKUP(F21,'Baumaterialien Matériaux'!$A$10:$AD$432,7,FALSE)</f>
        <v>kg</v>
      </c>
      <c r="F21" s="314" t="s">
        <v>738</v>
      </c>
      <c r="G21" s="181">
        <f>16*18.4-G20</f>
        <v>256.17999999999995</v>
      </c>
      <c r="I21" s="181">
        <v>60</v>
      </c>
      <c r="J21" s="1319"/>
      <c r="K21" s="1319"/>
      <c r="L21" s="182">
        <f>$G21*_xlfn.XLOOKUP($F21,'Baumaterialien Matériaux'!$A:$A,'Baumaterialien Matériaux'!AA:AA,0,0)</f>
        <v>65.06971999999999</v>
      </c>
      <c r="M21" s="182">
        <f>$G21*_xlfn.XLOOKUP($F21,'Baumaterialien Matériaux'!$A:$A,'Baumaterialien Matériaux'!AB:AB,0,0)</f>
        <v>3.2534859999999992</v>
      </c>
      <c r="N21" s="182">
        <f>$G21*_xlfn.XLOOKUP($F21,'Baumaterialien Matériaux'!$A:$A,'Baumaterialien Matériaux'!AC:AC,0,0)*44/12</f>
        <v>0</v>
      </c>
      <c r="O21" s="182">
        <f>$G21*_xlfn.XLOOKUP($F21,'Baumaterialien Matériaux'!$A:$A,'Baumaterialien Matériaux'!AG:AG,0,0)</f>
        <v>9.8373119999999972</v>
      </c>
      <c r="P21" s="182">
        <f>$G21*_xlfn.XLOOKUP($F21,'Baumaterialien Matériaux'!$A:$A,'Baumaterialien Matériaux'!AH:AH,0,0)</f>
        <v>0.65325899999999992</v>
      </c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</row>
    <row r="22" spans="1:79" s="181" customFormat="1">
      <c r="A22" s="670"/>
      <c r="B22" s="1575"/>
      <c r="C22" s="181" t="s">
        <v>747</v>
      </c>
      <c r="D22" s="181" t="str">
        <f>VLOOKUP(F22,'Baumaterialien Matériaux'!$A$10:$AD$432,30,FALSE)</f>
        <v xml:space="preserve">Colle de construction/mortier d'enrobage minéral(e) </v>
      </c>
      <c r="E22" s="181" t="str">
        <f>VLOOKUP(F22,'Baumaterialien Matériaux'!$A$10:$AD$432,7,FALSE)</f>
        <v>kg</v>
      </c>
      <c r="F22" s="314" t="s">
        <v>748</v>
      </c>
      <c r="G22" s="181">
        <f>0.0051*700</f>
        <v>3.5700000000000003</v>
      </c>
      <c r="I22" s="181">
        <v>60</v>
      </c>
      <c r="J22" s="1319"/>
      <c r="K22" s="1319"/>
      <c r="L22" s="182">
        <f>$G22*_xlfn.XLOOKUP($F22,'Baumaterialien Matériaux'!$A:$A,'Baumaterialien Matériaux'!AA:AA,0,0)</f>
        <v>1.4030100000000001</v>
      </c>
      <c r="M22" s="182">
        <f>$G22*_xlfn.XLOOKUP($F22,'Baumaterialien Matériaux'!$A:$A,'Baumaterialien Matériaux'!AB:AB,0,0)</f>
        <v>4.5339000000000004E-2</v>
      </c>
      <c r="N22" s="182">
        <f>$G22*_xlfn.XLOOKUP($F22,'Baumaterialien Matériaux'!$A:$A,'Baumaterialien Matériaux'!AC:AC,0,0)*44/12</f>
        <v>0</v>
      </c>
      <c r="O22" s="182">
        <f>$G22*_xlfn.XLOOKUP($F22,'Baumaterialien Matériaux'!$A:$A,'Baumaterialien Matériaux'!AG:AG,0,0)</f>
        <v>0.76041000000000003</v>
      </c>
      <c r="P22" s="182">
        <f>$G22*_xlfn.XLOOKUP($F22,'Baumaterialien Matériaux'!$A:$A,'Baumaterialien Matériaux'!AH:AH,0,0)</f>
        <v>1.1673900000000001E-2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1:79" s="658" customFormat="1" ht="16.5" thickBot="1">
      <c r="A23" s="739"/>
      <c r="B23" s="744"/>
      <c r="C23" s="739"/>
      <c r="D23" s="739"/>
      <c r="E23" s="739"/>
      <c r="F23" s="740"/>
      <c r="G23" s="739"/>
      <c r="H23" s="739"/>
      <c r="I23" s="705"/>
      <c r="J23" s="1322"/>
      <c r="K23" s="1322"/>
      <c r="L23" s="1004">
        <f t="shared" ref="L23:N23" si="7">SUM(L20:L22)</f>
        <v>106.22152999999999</v>
      </c>
      <c r="M23" s="1004">
        <f t="shared" si="7"/>
        <v>3.7842189999999989</v>
      </c>
      <c r="N23" s="1004">
        <f t="shared" si="7"/>
        <v>0</v>
      </c>
      <c r="O23" s="1004">
        <f t="shared" ref="O23" si="8">SUM(O20:O22)</f>
        <v>44.919281999999995</v>
      </c>
      <c r="P23" s="1004">
        <f t="shared" ref="P23" si="9">SUM(P20:P22)</f>
        <v>0.7979385</v>
      </c>
      <c r="Q23" s="3"/>
      <c r="R23" s="626">
        <f>(L23+M23)/I22</f>
        <v>1.8334291499999997</v>
      </c>
      <c r="S23" s="3">
        <v>1.98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1:79" ht="16.5" thickTop="1">
      <c r="A24"/>
      <c r="B24" s="1156"/>
      <c r="C24"/>
      <c r="D24"/>
      <c r="E24"/>
      <c r="F24" s="1154"/>
      <c r="G24"/>
      <c r="H24"/>
      <c r="I24" s="1157"/>
      <c r="J24" s="1323"/>
      <c r="K24" s="1323"/>
      <c r="L24" s="1158"/>
      <c r="M24" s="1158"/>
      <c r="N24" s="1158"/>
      <c r="O24" s="1158"/>
      <c r="P24" s="1158"/>
    </row>
    <row r="25" spans="1:79" s="145" customFormat="1" ht="17.25">
      <c r="A25" s="143" t="s">
        <v>749</v>
      </c>
      <c r="B25" s="143" t="str">
        <f>'Outil détaillé'!D19</f>
        <v>Revetements extérieurs de facades</v>
      </c>
      <c r="C25" s="143"/>
      <c r="D25" s="143"/>
      <c r="E25" s="143"/>
      <c r="F25" s="587"/>
      <c r="G25" s="143" t="s">
        <v>750</v>
      </c>
      <c r="H25" s="143"/>
      <c r="J25" s="1324"/>
      <c r="K25" s="1324"/>
      <c r="L25" s="935"/>
      <c r="M25" s="935"/>
      <c r="N25" s="935"/>
      <c r="O25" s="935"/>
      <c r="P25" s="935"/>
    </row>
    <row r="26" spans="1:79">
      <c r="L26" s="132"/>
      <c r="M26" s="132"/>
      <c r="N26" s="132"/>
      <c r="O26" s="132"/>
      <c r="P26" s="132"/>
    </row>
    <row r="27" spans="1:79" s="643" customFormat="1">
      <c r="A27" s="1341" t="s">
        <v>751</v>
      </c>
      <c r="B27" s="1568" t="s">
        <v>752</v>
      </c>
      <c r="C27" s="624" t="s">
        <v>753</v>
      </c>
      <c r="D27" s="624" t="str">
        <f>VLOOKUP(F27,'Baumaterialien Matériaux'!$A$10:$AD$432,30,FALSE)</f>
        <v xml:space="preserve">Colle de construction/mortier d'enrobage minéral(e) </v>
      </c>
      <c r="E27" s="624" t="str">
        <f>VLOOKUP(F27,'Baumaterialien Matériaux'!$A$10:$AD$432,7,FALSE)</f>
        <v>kg</v>
      </c>
      <c r="F27" s="632" t="s">
        <v>748</v>
      </c>
      <c r="G27" s="625">
        <v>5.5</v>
      </c>
      <c r="H27" s="624"/>
      <c r="I27" s="624">
        <v>30</v>
      </c>
      <c r="J27" s="1319"/>
      <c r="K27" s="1319"/>
      <c r="L27" s="625">
        <f>$G27*_xlfn.XLOOKUP($F27,'Baumaterialien Matériaux'!$A:$A,'Baumaterialien Matériaux'!AA:AA,0,0)</f>
        <v>2.1615000000000002</v>
      </c>
      <c r="M27" s="625">
        <f>$G27*_xlfn.XLOOKUP($F27,'Baumaterialien Matériaux'!$A:$A,'Baumaterialien Matériaux'!AB:AB,0,0)</f>
        <v>6.9849999999999995E-2</v>
      </c>
      <c r="N27" s="625">
        <f>$G27*_xlfn.XLOOKUP($F27,'Baumaterialien Matériaux'!$A:$A,'Baumaterialien Matériaux'!AC:AC,0,0)*44/12</f>
        <v>0</v>
      </c>
      <c r="O27" s="625">
        <f>$G27*_xlfn.XLOOKUP($F27,'Baumaterialien Matériaux'!$A:$A,'Baumaterialien Matériaux'!AG:AG,0,0)</f>
        <v>1.1715</v>
      </c>
      <c r="P27" s="625">
        <f>$G27*_xlfn.XLOOKUP($F27,'Baumaterialien Matériaux'!$A:$A,'Baumaterialien Matériaux'!AH:AH,0,0)</f>
        <v>1.7985000000000001E-2</v>
      </c>
      <c r="Q27" s="626"/>
      <c r="R27" s="626"/>
      <c r="S27" s="626"/>
      <c r="T27" s="626"/>
      <c r="U27" s="626"/>
      <c r="V27" s="626"/>
      <c r="W27" s="626"/>
      <c r="X27" s="626"/>
      <c r="Y27" s="626"/>
      <c r="Z27" s="626"/>
      <c r="AA27" s="626"/>
      <c r="AB27" s="626"/>
      <c r="AC27" s="626"/>
      <c r="AD27" s="626"/>
      <c r="AE27" s="626"/>
      <c r="AF27" s="626"/>
      <c r="AG27" s="626"/>
      <c r="AH27" s="626"/>
      <c r="AI27" s="626"/>
      <c r="AJ27" s="626"/>
      <c r="AK27" s="626"/>
      <c r="AL27" s="626"/>
      <c r="AM27" s="626"/>
      <c r="AN27" s="626"/>
      <c r="AO27" s="626"/>
      <c r="AP27" s="626"/>
      <c r="AQ27" s="626"/>
      <c r="AR27" s="626"/>
      <c r="AS27" s="626"/>
      <c r="AT27" s="626"/>
      <c r="AU27" s="626"/>
      <c r="AV27" s="626"/>
      <c r="AW27" s="626"/>
      <c r="AX27" s="626"/>
      <c r="AY27" s="626"/>
      <c r="AZ27" s="626"/>
      <c r="BA27" s="626"/>
      <c r="BB27" s="626"/>
      <c r="BC27" s="626"/>
      <c r="BD27" s="626"/>
      <c r="BE27" s="626"/>
      <c r="BF27" s="626"/>
      <c r="BG27" s="626"/>
      <c r="BH27" s="626"/>
      <c r="BI27" s="626"/>
      <c r="BJ27" s="626"/>
      <c r="BK27" s="626"/>
      <c r="BL27" s="626"/>
      <c r="BM27" s="626"/>
      <c r="BN27" s="626"/>
      <c r="BO27" s="626"/>
      <c r="BP27" s="626"/>
      <c r="BQ27" s="626"/>
      <c r="BR27" s="626"/>
      <c r="BS27" s="626"/>
      <c r="BT27" s="626"/>
      <c r="BU27" s="626"/>
      <c r="BV27" s="626"/>
      <c r="BW27" s="626"/>
      <c r="BX27" s="626"/>
      <c r="BY27" s="626"/>
      <c r="BZ27" s="626"/>
      <c r="CA27" s="626"/>
    </row>
    <row r="28" spans="1:79" s="626" customFormat="1">
      <c r="B28" s="1568"/>
      <c r="C28" s="624" t="s">
        <v>754</v>
      </c>
      <c r="D28" s="624" t="str">
        <f>VLOOKUP(F28,'Baumaterialien Matériaux'!$A$10:$AD$432,30,FALSE)</f>
        <v xml:space="preserve">Polyamide (PA) renforcé par des fibres de verre </v>
      </c>
      <c r="E28" s="624" t="str">
        <f>VLOOKUP(F28,'Baumaterialien Matériaux'!$A$10:$AD$432,7,FALSE)</f>
        <v>kg</v>
      </c>
      <c r="F28" s="632" t="s">
        <v>755</v>
      </c>
      <c r="G28" s="625">
        <v>0.12</v>
      </c>
      <c r="H28" s="624"/>
      <c r="I28" s="624">
        <v>30</v>
      </c>
      <c r="J28" s="1319"/>
      <c r="K28" s="1319"/>
      <c r="L28" s="625">
        <f>$G28*_xlfn.XLOOKUP($F28,'Baumaterialien Matériaux'!$A:$A,'Baumaterialien Matériaux'!AA:AA,0,0)</f>
        <v>1.0668</v>
      </c>
      <c r="M28" s="625">
        <f>$G28*_xlfn.XLOOKUP($F28,'Baumaterialien Matériaux'!$A:$A,'Baumaterialien Matériaux'!AB:AB,0,0)</f>
        <v>0.31440000000000001</v>
      </c>
      <c r="N28" s="625">
        <f>$G28*_xlfn.XLOOKUP($F28,'Baumaterialien Matériaux'!$A:$A,'Baumaterialien Matériaux'!AC:AC,0,0)*44/12</f>
        <v>0</v>
      </c>
      <c r="O28" s="625">
        <f>$G28*_xlfn.XLOOKUP($F28,'Baumaterialien Matériaux'!$A:$A,'Baumaterialien Matériaux'!AG:AG,0,0)</f>
        <v>0.98640000000000005</v>
      </c>
      <c r="P28" s="625">
        <f>$G28*_xlfn.XLOOKUP($F28,'Baumaterialien Matériaux'!$A:$A,'Baumaterialien Matériaux'!AH:AH,0,0)</f>
        <v>8.4119999999999986E-2</v>
      </c>
    </row>
    <row r="29" spans="1:79" s="626" customFormat="1">
      <c r="B29" s="1568"/>
      <c r="C29" s="624" t="s">
        <v>756</v>
      </c>
      <c r="D29" s="624" t="str">
        <f>VLOOKUP(F29,'Baumaterialien Matériaux'!$A$10:$AD$432,30,FALSE)</f>
        <v>Colle de construction/mortier d'enrobage minéral(e) avec agrégats légers</v>
      </c>
      <c r="E29" s="624" t="str">
        <f>VLOOKUP(F29,'Baumaterialien Matériaux'!$A$10:$AD$432,7,FALSE)</f>
        <v>kg</v>
      </c>
      <c r="F29" s="632" t="s">
        <v>757</v>
      </c>
      <c r="G29" s="625">
        <v>12</v>
      </c>
      <c r="H29" s="624"/>
      <c r="I29" s="624">
        <v>30</v>
      </c>
      <c r="J29" s="1319"/>
      <c r="K29" s="1319"/>
      <c r="L29" s="625">
        <f>$G29*_xlfn.XLOOKUP($F29,'Baumaterialien Matériaux'!$A:$A,'Baumaterialien Matériaux'!AA:AA,0,0)</f>
        <v>4.968</v>
      </c>
      <c r="M29" s="625">
        <f>$G29*_xlfn.XLOOKUP($F29,'Baumaterialien Matériaux'!$A:$A,'Baumaterialien Matériaux'!AB:AB,0,0)</f>
        <v>0.15239999999999998</v>
      </c>
      <c r="N29" s="625">
        <f>$G29*_xlfn.XLOOKUP($F29,'Baumaterialien Matériaux'!$A:$A,'Baumaterialien Matériaux'!AC:AC,0,0)*44/12</f>
        <v>0</v>
      </c>
      <c r="O29" s="625">
        <f>$G29*_xlfn.XLOOKUP($F29,'Baumaterialien Matériaux'!$A:$A,'Baumaterialien Matériaux'!AG:AG,0,0)</f>
        <v>2.544</v>
      </c>
      <c r="P29" s="625">
        <f>$G29*_xlfn.XLOOKUP($F29,'Baumaterialien Matériaux'!$A:$A,'Baumaterialien Matériaux'!AH:AH,0,0)</f>
        <v>3.9239999999999997E-2</v>
      </c>
    </row>
    <row r="30" spans="1:79" s="626" customFormat="1">
      <c r="B30" s="1568"/>
      <c r="C30" s="624" t="s">
        <v>758</v>
      </c>
      <c r="D30" s="624" t="str">
        <f>VLOOKUP(F30,'Baumaterialien Matériaux'!$A$10:$AD$432,30,FALSE)</f>
        <v xml:space="preserve">Polyamide (PA) renforcé par des fibres de verre </v>
      </c>
      <c r="E30" s="624" t="str">
        <f>VLOOKUP(F30,'Baumaterialien Matériaux'!$A$10:$AD$432,7,FALSE)</f>
        <v>kg</v>
      </c>
      <c r="F30" s="632" t="s">
        <v>755</v>
      </c>
      <c r="G30" s="625">
        <v>0.16</v>
      </c>
      <c r="H30" s="624"/>
      <c r="I30" s="624">
        <v>30</v>
      </c>
      <c r="J30" s="1319"/>
      <c r="K30" s="1319"/>
      <c r="L30" s="625">
        <f>$G30*_xlfn.XLOOKUP($F30,'Baumaterialien Matériaux'!$A:$A,'Baumaterialien Matériaux'!AA:AA,0,0)</f>
        <v>1.4224000000000001</v>
      </c>
      <c r="M30" s="625">
        <f>$G30*_xlfn.XLOOKUP($F30,'Baumaterialien Matériaux'!$A:$A,'Baumaterialien Matériaux'!AB:AB,0,0)</f>
        <v>0.41920000000000002</v>
      </c>
      <c r="N30" s="625">
        <f>$G30*_xlfn.XLOOKUP($F30,'Baumaterialien Matériaux'!$A:$A,'Baumaterialien Matériaux'!AC:AC,0,0)*44/12</f>
        <v>0</v>
      </c>
      <c r="O30" s="625">
        <f>$G30*_xlfn.XLOOKUP($F30,'Baumaterialien Matériaux'!$A:$A,'Baumaterialien Matériaux'!AG:AG,0,0)</f>
        <v>1.3152000000000001</v>
      </c>
      <c r="P30" s="625">
        <f>$G30*_xlfn.XLOOKUP($F30,'Baumaterialien Matériaux'!$A:$A,'Baumaterialien Matériaux'!AH:AH,0,0)</f>
        <v>0.11216</v>
      </c>
    </row>
    <row r="31" spans="1:79" s="626" customFormat="1">
      <c r="B31" s="1568"/>
      <c r="C31" s="624" t="s">
        <v>759</v>
      </c>
      <c r="D31" s="624" t="str">
        <f>VLOOKUP(F31,'Baumaterialien Matériaux'!$A$10:$AD$432,30,FALSE)</f>
        <v>Enduit en plâtre et en ciment</v>
      </c>
      <c r="E31" s="624" t="str">
        <f>VLOOKUP(F31,'Baumaterialien Matériaux'!$A$10:$AD$432,7,FALSE)</f>
        <v>kg</v>
      </c>
      <c r="F31" s="632" t="s">
        <v>760</v>
      </c>
      <c r="G31" s="625">
        <f>1550*0.0015</f>
        <v>2.3250000000000002</v>
      </c>
      <c r="H31" s="624"/>
      <c r="I31" s="624">
        <v>30</v>
      </c>
      <c r="J31" s="1319"/>
      <c r="K31" s="1319"/>
      <c r="L31" s="625">
        <f>$G31*_xlfn.XLOOKUP($F31,'Baumaterialien Matériaux'!$A:$A,'Baumaterialien Matériaux'!AA:AA,0,0)</f>
        <v>0.58357500000000007</v>
      </c>
      <c r="M31" s="625">
        <f>$G31*_xlfn.XLOOKUP($F31,'Baumaterialien Matériaux'!$A:$A,'Baumaterialien Matériaux'!AB:AB,0,0)</f>
        <v>2.9527500000000002E-2</v>
      </c>
      <c r="N31" s="625">
        <f>$G31*_xlfn.XLOOKUP($F31,'Baumaterialien Matériaux'!$A:$A,'Baumaterialien Matériaux'!AC:AC,0,0)*44/12</f>
        <v>0</v>
      </c>
      <c r="O31" s="625">
        <f>$G31*_xlfn.XLOOKUP($F31,'Baumaterialien Matériaux'!$A:$A,'Baumaterialien Matériaux'!AG:AG,0,0)</f>
        <v>0.36270000000000002</v>
      </c>
      <c r="P31" s="625">
        <f>$G31*_xlfn.XLOOKUP($F31,'Baumaterialien Matériaux'!$A:$A,'Baumaterialien Matériaux'!AH:AH,0,0)</f>
        <v>7.6027500000000001E-3</v>
      </c>
    </row>
    <row r="32" spans="1:79" s="626" customFormat="1">
      <c r="B32" s="1568"/>
      <c r="C32" s="624" t="s">
        <v>761</v>
      </c>
      <c r="D32" s="624" t="str">
        <f>VLOOKUP(F32,'Baumaterialien Matériaux'!$A$10:$AD$432,30,FALSE)</f>
        <v>Enduit, diluable à l'eau, 2 couches</v>
      </c>
      <c r="E32" s="624" t="str">
        <f>VLOOKUP(F32,'Baumaterialien Matériaux'!$A$10:$AD$432,7,FALSE)</f>
        <v>m2</v>
      </c>
      <c r="F32" s="632" t="s">
        <v>762</v>
      </c>
      <c r="G32" s="625">
        <v>1</v>
      </c>
      <c r="H32" s="624"/>
      <c r="I32" s="624">
        <v>30</v>
      </c>
      <c r="J32" s="1319"/>
      <c r="K32" s="1319"/>
      <c r="L32" s="625">
        <f>$G32*_xlfn.XLOOKUP($F32,'Baumaterialien Matériaux'!$A:$A,'Baumaterialien Matériaux'!AA:AA,0,0)</f>
        <v>0.64500000000000002</v>
      </c>
      <c r="M32" s="625">
        <f>$G32*_xlfn.XLOOKUP($F32,'Baumaterialien Matériaux'!$A:$A,'Baumaterialien Matériaux'!AB:AB,0,0)</f>
        <v>5.62E-2</v>
      </c>
      <c r="N32" s="625">
        <f>$G32*_xlfn.XLOOKUP($F32,'Baumaterialien Matériaux'!$A:$A,'Baumaterialien Matériaux'!AC:AC,0,0)*44/12</f>
        <v>0</v>
      </c>
      <c r="O32" s="625">
        <f>$G32*_xlfn.XLOOKUP($F32,'Baumaterialien Matériaux'!$A:$A,'Baumaterialien Matériaux'!AG:AG,0,0)</f>
        <v>0.54400000000000004</v>
      </c>
      <c r="P32" s="625">
        <f>$G32*_xlfn.XLOOKUP($F32,'Baumaterialien Matériaux'!$A:$A,'Baumaterialien Matériaux'!AH:AH,0,0)</f>
        <v>0.71599999999999997</v>
      </c>
    </row>
    <row r="33" spans="1:79" s="663" customFormat="1" ht="15.75" thickBot="1">
      <c r="B33" s="664"/>
      <c r="C33" s="674"/>
      <c r="F33" s="665"/>
      <c r="I33" s="675">
        <v>30</v>
      </c>
      <c r="J33" s="1321"/>
      <c r="K33" s="1321"/>
      <c r="L33" s="667">
        <f>SUM(L27:L32)</f>
        <v>10.847275</v>
      </c>
      <c r="M33" s="667">
        <f>SUM(M27:M32)</f>
        <v>1.0415775</v>
      </c>
      <c r="N33" s="667">
        <f>SUM(N27:N32)</f>
        <v>0</v>
      </c>
      <c r="O33" s="667">
        <f>SUM(O27:O32)</f>
        <v>6.9238</v>
      </c>
      <c r="P33" s="667">
        <f>SUM(P27:P32)</f>
        <v>0.97710774999999994</v>
      </c>
      <c r="Q33" s="626"/>
      <c r="R33" s="626">
        <f>(L33+M33)/I32</f>
        <v>0.39629508333333335</v>
      </c>
      <c r="S33" s="626">
        <v>1.1399999999999999</v>
      </c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  <c r="AN33" s="626"/>
      <c r="AO33" s="626"/>
      <c r="AP33" s="626"/>
      <c r="AQ33" s="626"/>
      <c r="AR33" s="626"/>
      <c r="AS33" s="626"/>
      <c r="AT33" s="626"/>
      <c r="AU33" s="626"/>
      <c r="AV33" s="626"/>
      <c r="AW33" s="626"/>
      <c r="AX33" s="626"/>
      <c r="AY33" s="626"/>
      <c r="AZ33" s="626"/>
      <c r="BA33" s="626"/>
      <c r="BB33" s="626"/>
      <c r="BC33" s="626"/>
      <c r="BD33" s="626"/>
      <c r="BE33" s="626"/>
      <c r="BF33" s="626"/>
      <c r="BG33" s="626"/>
      <c r="BH33" s="626"/>
      <c r="BI33" s="626"/>
      <c r="BJ33" s="626"/>
      <c r="BK33" s="626"/>
      <c r="BL33" s="626"/>
      <c r="BM33" s="626"/>
      <c r="BN33" s="626"/>
      <c r="BO33" s="626"/>
      <c r="BP33" s="626"/>
      <c r="BQ33" s="626"/>
      <c r="BR33" s="626"/>
      <c r="BS33" s="626"/>
      <c r="BT33" s="626"/>
      <c r="BU33" s="626"/>
      <c r="BV33" s="626"/>
      <c r="BW33" s="626"/>
      <c r="BX33" s="626"/>
      <c r="BY33" s="626"/>
      <c r="BZ33" s="626"/>
      <c r="CA33" s="626"/>
    </row>
    <row r="34" spans="1:79" ht="15.75" thickTop="1">
      <c r="C34" s="1157"/>
      <c r="D34" s="1157"/>
      <c r="E34" s="1157"/>
      <c r="F34" s="1428"/>
      <c r="G34" s="1158"/>
      <c r="J34" s="1228"/>
      <c r="K34" s="1228"/>
      <c r="L34" s="132"/>
      <c r="M34" s="132"/>
      <c r="N34" s="132"/>
      <c r="O34" s="132"/>
      <c r="P34" s="132"/>
    </row>
    <row r="35" spans="1:79" s="643" customFormat="1">
      <c r="A35" s="1282" t="s">
        <v>763</v>
      </c>
      <c r="B35" s="1568" t="s">
        <v>764</v>
      </c>
      <c r="C35" s="624" t="s">
        <v>765</v>
      </c>
      <c r="D35" s="624" t="str">
        <f>VLOOKUP(F35,'Baumaterialien Matériaux'!$A$10:$AD$432,30,FALSE)</f>
        <v>Bois massif épicéa / sapin / mélèze, séché en cellule, raboté</v>
      </c>
      <c r="E35" s="624" t="str">
        <f>VLOOKUP(F35,'Baumaterialien Matériaux'!$A$10:$AD$432,7,FALSE)</f>
        <v>kg</v>
      </c>
      <c r="F35" s="632" t="s">
        <v>766</v>
      </c>
      <c r="G35" s="625">
        <f>0.0285*465</f>
        <v>13.252500000000001</v>
      </c>
      <c r="H35" s="624"/>
      <c r="I35" s="642">
        <v>40</v>
      </c>
      <c r="J35" s="1319"/>
      <c r="K35" s="1319"/>
      <c r="L35" s="1013">
        <f>$G35*_xlfn.XLOOKUP($F35,'Baumaterialien Matériaux'!$A:$A,'Baumaterialien Matériaux'!AA:AA,0,0)</f>
        <v>1.7758350000000003</v>
      </c>
      <c r="M35" s="1013">
        <f>$G35*_xlfn.XLOOKUP($F35,'Baumaterialien Matériaux'!$A:$A,'Baumaterialien Matériaux'!AB:AB,0,0)</f>
        <v>0.51684750000000002</v>
      </c>
      <c r="N35" s="1013">
        <f>$G35*_xlfn.XLOOKUP($F35,'Baumaterialien Matériaux'!$A:$A,'Baumaterialien Matériaux'!AC:AC,0,0)*44/12</f>
        <v>21.915217500000001</v>
      </c>
      <c r="O35" s="1013">
        <f>$G35*_xlfn.XLOOKUP($F35,'Baumaterialien Matériaux'!$A:$A,'Baumaterialien Matériaux'!AG:AG,0,0)</f>
        <v>0.56985750000000002</v>
      </c>
      <c r="P35" s="1013">
        <f>$G35*_xlfn.XLOOKUP($F35,'Baumaterialien Matériaux'!$A:$A,'Baumaterialien Matériaux'!AH:AH,0,0)</f>
        <v>9.6478200000000014E-2</v>
      </c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  <c r="AN35" s="626"/>
      <c r="AO35" s="626"/>
      <c r="AP35" s="626"/>
      <c r="AQ35" s="626"/>
      <c r="AR35" s="626"/>
      <c r="AS35" s="626"/>
      <c r="AT35" s="626"/>
      <c r="AU35" s="626"/>
      <c r="AV35" s="626"/>
      <c r="AW35" s="626"/>
      <c r="AX35" s="626"/>
      <c r="AY35" s="626"/>
      <c r="AZ35" s="626"/>
      <c r="BA35" s="626"/>
      <c r="BB35" s="626"/>
      <c r="BC35" s="626"/>
      <c r="BD35" s="626"/>
      <c r="BE35" s="626"/>
      <c r="BF35" s="626"/>
      <c r="BG35" s="626"/>
      <c r="BH35" s="626"/>
      <c r="BI35" s="626"/>
      <c r="BJ35" s="626"/>
      <c r="BK35" s="626"/>
      <c r="BL35" s="626"/>
      <c r="BM35" s="626"/>
      <c r="BN35" s="626"/>
      <c r="BO35" s="626"/>
      <c r="BP35" s="626"/>
      <c r="BQ35" s="626"/>
      <c r="BR35" s="626"/>
      <c r="BS35" s="626"/>
      <c r="BT35" s="626"/>
      <c r="BU35" s="626"/>
      <c r="BV35" s="626"/>
      <c r="BW35" s="626"/>
      <c r="BX35" s="626"/>
      <c r="BY35" s="626"/>
      <c r="BZ35" s="626"/>
      <c r="CA35" s="626"/>
    </row>
    <row r="36" spans="1:79" s="626" customFormat="1">
      <c r="B36" s="1568"/>
      <c r="C36" s="624" t="s">
        <v>767</v>
      </c>
      <c r="D36" s="624" t="str">
        <f>VLOOKUP(F36,'Baumaterialien Matériaux'!$A$10:$AD$432,30,FALSE)</f>
        <v>Enduit, diluable à l'eau, 2 couches</v>
      </c>
      <c r="E36" s="624" t="str">
        <f>VLOOKUP(F36,'Baumaterialien Matériaux'!$A$10:$AD$432,7,FALSE)</f>
        <v>m2</v>
      </c>
      <c r="F36" s="632" t="s">
        <v>762</v>
      </c>
      <c r="G36" s="625">
        <v>1</v>
      </c>
      <c r="H36" s="624"/>
      <c r="I36" s="634">
        <v>40</v>
      </c>
      <c r="J36" s="1319"/>
      <c r="K36" s="1319"/>
      <c r="L36" s="1014">
        <f>$G36*_xlfn.XLOOKUP($F36,'Baumaterialien Matériaux'!$A:$A,'Baumaterialien Matériaux'!AA:AA,0,0)</f>
        <v>0.64500000000000002</v>
      </c>
      <c r="M36" s="1014">
        <f>$G36*_xlfn.XLOOKUP($F36,'Baumaterialien Matériaux'!$A:$A,'Baumaterialien Matériaux'!AB:AB,0,0)</f>
        <v>5.62E-2</v>
      </c>
      <c r="N36" s="1014">
        <f>$G36*_xlfn.XLOOKUP($F36,'Baumaterialien Matériaux'!$A:$A,'Baumaterialien Matériaux'!AC:AC,0,0)*44/12</f>
        <v>0</v>
      </c>
      <c r="O36" s="1014">
        <f>$G36*_xlfn.XLOOKUP($F36,'Baumaterialien Matériaux'!$A:$A,'Baumaterialien Matériaux'!AG:AG,0,0)</f>
        <v>0.54400000000000004</v>
      </c>
      <c r="P36" s="1014">
        <f>$G36*_xlfn.XLOOKUP($F36,'Baumaterialien Matériaux'!$A:$A,'Baumaterialien Matériaux'!AH:AH,0,0)</f>
        <v>0.71599999999999997</v>
      </c>
    </row>
    <row r="37" spans="1:79" s="626" customFormat="1">
      <c r="B37" s="1568"/>
      <c r="C37" s="624" t="s">
        <v>768</v>
      </c>
      <c r="D37" s="624" t="str">
        <f>VLOOKUP(F37,'Baumaterialien Matériaux'!$A$10:$AD$432,30,FALSE)</f>
        <v>Tôle d'acier nickel-chrome 18/8, nue</v>
      </c>
      <c r="E37" s="624" t="str">
        <f>VLOOKUP(F37,'Baumaterialien Matériaux'!$A$10:$AD$432,7,FALSE)</f>
        <v>kg</v>
      </c>
      <c r="F37" s="632" t="s">
        <v>769</v>
      </c>
      <c r="G37" s="625">
        <v>0.37064999999999998</v>
      </c>
      <c r="H37" s="624"/>
      <c r="I37" s="634">
        <v>40</v>
      </c>
      <c r="J37" s="1319"/>
      <c r="K37" s="1319"/>
      <c r="L37" s="1014">
        <f>$G37*_xlfn.XLOOKUP($F37,'Baumaterialien Matériaux'!$A:$A,'Baumaterialien Matériaux'!AA:AA,0,0)</f>
        <v>1.5233715000000001</v>
      </c>
      <c r="M37" s="1014">
        <f>$G37*_xlfn.XLOOKUP($F37,'Baumaterialien Matériaux'!$A:$A,'Baumaterialien Matériaux'!AB:AB,0,0)</f>
        <v>2.5686045000000001E-3</v>
      </c>
      <c r="N37" s="1014">
        <f>$G37*_xlfn.XLOOKUP($F37,'Baumaterialien Matériaux'!$A:$A,'Baumaterialien Matériaux'!AC:AC,0,0)*44/12</f>
        <v>0</v>
      </c>
      <c r="O37" s="1014">
        <f>$G37*_xlfn.XLOOKUP($F37,'Baumaterialien Matériaux'!$A:$A,'Baumaterialien Matériaux'!AG:AG,0,0)</f>
        <v>0.4114215</v>
      </c>
      <c r="P37" s="1014">
        <f>$G37*_xlfn.XLOOKUP($F37,'Baumaterialien Matériaux'!$A:$A,'Baumaterialien Matériaux'!AH:AH,0,0)</f>
        <v>0</v>
      </c>
    </row>
    <row r="38" spans="1:79" s="626" customFormat="1">
      <c r="B38" s="1568"/>
      <c r="C38" s="624" t="s">
        <v>770</v>
      </c>
      <c r="D38" s="624" t="str">
        <f>VLOOKUP(F38,'Baumaterialien Matériaux'!$A$10:$AD$432,30,FALSE)</f>
        <v xml:space="preserve">Polyamide (PA) renforcé par des fibres de verre </v>
      </c>
      <c r="E38" s="624" t="str">
        <f>VLOOKUP(F38,'Baumaterialien Matériaux'!$A$10:$AD$432,7,FALSE)</f>
        <v>kg</v>
      </c>
      <c r="F38" s="632" t="s">
        <v>755</v>
      </c>
      <c r="G38" s="625">
        <v>8.4400000000000003E-2</v>
      </c>
      <c r="H38" s="624"/>
      <c r="I38" s="634">
        <v>40</v>
      </c>
      <c r="J38" s="1319"/>
      <c r="K38" s="1319"/>
      <c r="L38" s="1014">
        <f>$G38*_xlfn.XLOOKUP($F38,'Baumaterialien Matériaux'!$A:$A,'Baumaterialien Matériaux'!AA:AA,0,0)</f>
        <v>0.75031600000000009</v>
      </c>
      <c r="M38" s="1014">
        <f>$G38*_xlfn.XLOOKUP($F38,'Baumaterialien Matériaux'!$A:$A,'Baumaterialien Matériaux'!AB:AB,0,0)</f>
        <v>0.22112800000000002</v>
      </c>
      <c r="N38" s="1014">
        <f>$G38*_xlfn.XLOOKUP($F38,'Baumaterialien Matériaux'!$A:$A,'Baumaterialien Matériaux'!AC:AC,0,0)*44/12</f>
        <v>0</v>
      </c>
      <c r="O38" s="1014">
        <f>$G38*_xlfn.XLOOKUP($F38,'Baumaterialien Matériaux'!$A:$A,'Baumaterialien Matériaux'!AG:AG,0,0)</f>
        <v>0.69376800000000005</v>
      </c>
      <c r="P38" s="1014">
        <f>$G38*_xlfn.XLOOKUP($F38,'Baumaterialien Matériaux'!$A:$A,'Baumaterialien Matériaux'!AH:AH,0,0)</f>
        <v>5.9164399999999999E-2</v>
      </c>
    </row>
    <row r="39" spans="1:79" s="626" customFormat="1">
      <c r="B39" s="1568"/>
      <c r="C39" s="624" t="s">
        <v>771</v>
      </c>
      <c r="D39" s="624" t="str">
        <f>VLOOKUP(F39,'Baumaterialien Matériaux'!$A$10:$AD$432,30,FALSE)</f>
        <v>Tôle d'acier, zinguée</v>
      </c>
      <c r="E39" s="624" t="str">
        <f>VLOOKUP(F39,'Baumaterialien Matériaux'!$A$10:$AD$432,7,FALSE)</f>
        <v>kg</v>
      </c>
      <c r="F39" s="632" t="s">
        <v>772</v>
      </c>
      <c r="G39" s="625">
        <v>0.54</v>
      </c>
      <c r="H39" s="624"/>
      <c r="I39" s="634">
        <v>40</v>
      </c>
      <c r="J39" s="1319"/>
      <c r="K39" s="1319"/>
      <c r="L39" s="1014">
        <f>$G39*_xlfn.XLOOKUP($F39,'Baumaterialien Matériaux'!$A:$A,'Baumaterialien Matériaux'!AA:AA,0,0)</f>
        <v>2.4192000000000005</v>
      </c>
      <c r="M39" s="1014">
        <f>$G39*_xlfn.XLOOKUP($F39,'Baumaterialien Matériaux'!$A:$A,'Baumaterialien Matériaux'!AB:AB,0,0)</f>
        <v>3.7422000000000006E-3</v>
      </c>
      <c r="N39" s="1014">
        <f>$G39*_xlfn.XLOOKUP($F39,'Baumaterialien Matériaux'!$A:$A,'Baumaterialien Matériaux'!AC:AC,0,0)*44/12</f>
        <v>0</v>
      </c>
      <c r="O39" s="1014">
        <f>$G39*_xlfn.XLOOKUP($F39,'Baumaterialien Matériaux'!$A:$A,'Baumaterialien Matériaux'!AG:AG,0,0)</f>
        <v>0.9396000000000001</v>
      </c>
      <c r="P39" s="1014">
        <f>$G39*_xlfn.XLOOKUP($F39,'Baumaterialien Matériaux'!$A:$A,'Baumaterialien Matériaux'!AH:AH,0,0)</f>
        <v>0</v>
      </c>
    </row>
    <row r="40" spans="1:79" s="626" customFormat="1">
      <c r="B40" s="1568"/>
      <c r="C40" s="624" t="s">
        <v>773</v>
      </c>
      <c r="D40" s="624" t="str">
        <f>VLOOKUP(F40,'Baumaterialien Matériaux'!$A$10:$AD$432,30,FALSE)</f>
        <v xml:space="preserve">Polyamide (PA) renforcé par des fibres de verre </v>
      </c>
      <c r="E40" s="624" t="str">
        <f>VLOOKUP(F40,'Baumaterialien Matériaux'!$A$10:$AD$432,7,FALSE)</f>
        <v>kg</v>
      </c>
      <c r="F40" s="632" t="s">
        <v>755</v>
      </c>
      <c r="G40" s="625">
        <v>0.12</v>
      </c>
      <c r="H40" s="624"/>
      <c r="I40" s="634">
        <v>40</v>
      </c>
      <c r="J40" s="1319"/>
      <c r="K40" s="1319"/>
      <c r="L40" s="1014">
        <f>$G40*_xlfn.XLOOKUP($F40,'Baumaterialien Matériaux'!$A:$A,'Baumaterialien Matériaux'!AA:AA,0,0)</f>
        <v>1.0668</v>
      </c>
      <c r="M40" s="1014">
        <f>$G40*_xlfn.XLOOKUP($F40,'Baumaterialien Matériaux'!$A:$A,'Baumaterialien Matériaux'!AB:AB,0,0)</f>
        <v>0.31440000000000001</v>
      </c>
      <c r="N40" s="1014">
        <f>$G40*_xlfn.XLOOKUP($F40,'Baumaterialien Matériaux'!$A:$A,'Baumaterialien Matériaux'!AC:AC,0,0)*44/12</f>
        <v>0</v>
      </c>
      <c r="O40" s="1014">
        <f>$G40*_xlfn.XLOOKUP($F40,'Baumaterialien Matériaux'!$A:$A,'Baumaterialien Matériaux'!AG:AG,0,0)</f>
        <v>0.98640000000000005</v>
      </c>
      <c r="P40" s="1014">
        <f>$G40*_xlfn.XLOOKUP($F40,'Baumaterialien Matériaux'!$A:$A,'Baumaterialien Matériaux'!AH:AH,0,0)</f>
        <v>8.4119999999999986E-2</v>
      </c>
    </row>
    <row r="41" spans="1:79" s="626" customFormat="1">
      <c r="B41" s="1568"/>
      <c r="C41" s="624" t="s">
        <v>774</v>
      </c>
      <c r="D41" s="624" t="str">
        <f>VLOOKUP(F41,'Baumaterialien Matériaux'!$A$10:$AD$432,30,FALSE)</f>
        <v>Voile de polyéthylène (PE)</v>
      </c>
      <c r="E41" s="624" t="str">
        <f>VLOOKUP(F41,'Baumaterialien Matériaux'!$A$10:$AD$432,7,FALSE)</f>
        <v>kg</v>
      </c>
      <c r="F41" s="632" t="s">
        <v>715</v>
      </c>
      <c r="G41" s="625">
        <v>0.22</v>
      </c>
      <c r="H41" s="624"/>
      <c r="I41" s="635">
        <v>40</v>
      </c>
      <c r="J41" s="1319"/>
      <c r="K41" s="1319"/>
      <c r="L41" s="1015">
        <f>$G41*_xlfn.XLOOKUP($F41,'Baumaterialien Matériaux'!$A:$A,'Baumaterialien Matériaux'!AA:AA,0,0)</f>
        <v>0.6512</v>
      </c>
      <c r="M41" s="1015">
        <f>$G41*_xlfn.XLOOKUP($F41,'Baumaterialien Matériaux'!$A:$A,'Baumaterialien Matériaux'!AB:AB,0,0)</f>
        <v>0.58740000000000003</v>
      </c>
      <c r="N41" s="1015">
        <f>$G41*_xlfn.XLOOKUP($F41,'Baumaterialien Matériaux'!$A:$A,'Baumaterialien Matériaux'!AC:AC,0,0)*44/12</f>
        <v>0</v>
      </c>
      <c r="O41" s="1015">
        <f>$G41*_xlfn.XLOOKUP($F41,'Baumaterialien Matériaux'!$A:$A,'Baumaterialien Matériaux'!AG:AG,0,0)</f>
        <v>0.61599999999999999</v>
      </c>
      <c r="P41" s="1015">
        <f>$G41*_xlfn.XLOOKUP($F41,'Baumaterialien Matériaux'!$A:$A,'Baumaterialien Matériaux'!AH:AH,0,0)</f>
        <v>0.56540000000000001</v>
      </c>
    </row>
    <row r="42" spans="1:79" s="663" customFormat="1" ht="15.75" thickBot="1">
      <c r="B42" s="664"/>
      <c r="F42" s="665"/>
      <c r="I42" s="675">
        <v>40</v>
      </c>
      <c r="J42" s="1321"/>
      <c r="K42" s="1321"/>
      <c r="L42" s="667">
        <f>SUM(L35:L41)</f>
        <v>8.8317225000000015</v>
      </c>
      <c r="M42" s="667">
        <f>SUM(M35:M41)</f>
        <v>1.7022863045000003</v>
      </c>
      <c r="N42" s="667">
        <f>SUM(N35:N41)</f>
        <v>21.915217500000001</v>
      </c>
      <c r="O42" s="667">
        <f>SUM(O35:O41)</f>
        <v>4.7610469999999996</v>
      </c>
      <c r="P42" s="667">
        <f>SUM(P35:P41)</f>
        <v>1.5211625999999998</v>
      </c>
      <c r="Q42" s="626"/>
      <c r="R42" s="626">
        <f>(L42+M42)/I41</f>
        <v>0.26335022011250003</v>
      </c>
      <c r="S42" s="626">
        <v>0.46</v>
      </c>
      <c r="T42" s="626"/>
      <c r="U42" s="626"/>
      <c r="V42" s="626"/>
      <c r="W42" s="626"/>
      <c r="X42" s="626"/>
      <c r="Y42" s="626"/>
      <c r="Z42" s="626"/>
      <c r="AA42" s="626"/>
      <c r="AB42" s="626"/>
      <c r="AC42" s="626"/>
      <c r="AD42" s="626"/>
      <c r="AE42" s="626"/>
      <c r="AF42" s="626"/>
      <c r="AG42" s="626"/>
      <c r="AH42" s="626"/>
      <c r="AI42" s="626"/>
      <c r="AJ42" s="626"/>
      <c r="AK42" s="626"/>
      <c r="AL42" s="626"/>
      <c r="AM42" s="626"/>
      <c r="AN42" s="626"/>
      <c r="AO42" s="626"/>
      <c r="AP42" s="626"/>
      <c r="AQ42" s="626"/>
      <c r="AR42" s="626"/>
      <c r="AS42" s="626"/>
      <c r="AT42" s="626"/>
      <c r="AU42" s="626"/>
      <c r="AV42" s="626"/>
      <c r="AW42" s="626"/>
      <c r="AX42" s="626"/>
      <c r="AY42" s="626"/>
      <c r="AZ42" s="626"/>
      <c r="BA42" s="626"/>
      <c r="BB42" s="626"/>
      <c r="BC42" s="626"/>
      <c r="BD42" s="626"/>
      <c r="BE42" s="626"/>
      <c r="BF42" s="626"/>
      <c r="BG42" s="626"/>
      <c r="BH42" s="626"/>
      <c r="BI42" s="626"/>
      <c r="BJ42" s="626"/>
      <c r="BK42" s="626"/>
      <c r="BL42" s="626"/>
      <c r="BM42" s="626"/>
      <c r="BN42" s="626"/>
      <c r="BO42" s="626"/>
      <c r="BP42" s="626"/>
      <c r="BQ42" s="626"/>
      <c r="BR42" s="626"/>
      <c r="BS42" s="626"/>
      <c r="BT42" s="626"/>
      <c r="BU42" s="626"/>
      <c r="BV42" s="626"/>
      <c r="BW42" s="626"/>
      <c r="BX42" s="626"/>
      <c r="BY42" s="626"/>
      <c r="BZ42" s="626"/>
      <c r="CA42" s="626"/>
    </row>
    <row r="43" spans="1:79" ht="15.75" thickTop="1">
      <c r="I43" s="1"/>
      <c r="J43" s="1228"/>
      <c r="K43" s="1228"/>
      <c r="L43" s="1008"/>
      <c r="M43" s="1008"/>
      <c r="N43" s="1008"/>
      <c r="O43" s="1008"/>
      <c r="P43" s="1008"/>
    </row>
    <row r="44" spans="1:79" s="643" customFormat="1">
      <c r="A44" s="1282" t="s">
        <v>775</v>
      </c>
      <c r="B44" s="1570" t="s">
        <v>776</v>
      </c>
      <c r="C44" s="694" t="s">
        <v>777</v>
      </c>
      <c r="D44" s="624" t="str">
        <f>VLOOKUP(F44,'Baumaterialien Matériaux'!$A$10:$AD$432,30,FALSE)</f>
        <v>Tuile en terre cuite</v>
      </c>
      <c r="E44" s="624" t="str">
        <f>VLOOKUP(F44,'Baumaterialien Matériaux'!$A$10:$AD$432,7,FALSE)</f>
        <v>kg</v>
      </c>
      <c r="F44" s="1097" t="s">
        <v>778</v>
      </c>
      <c r="G44" s="1098">
        <f>48*5.5</f>
        <v>264</v>
      </c>
      <c r="H44" s="624"/>
      <c r="I44" s="624">
        <v>40</v>
      </c>
      <c r="J44" s="1319"/>
      <c r="K44" s="1319"/>
      <c r="L44" s="625">
        <f>$G44*_xlfn.XLOOKUP($F44,'Baumaterialien Matériaux'!$A:$A,'Baumaterialien Matériaux'!AA:AA,0,0)</f>
        <v>98.471999999999994</v>
      </c>
      <c r="M44" s="625">
        <f>$G44*_xlfn.XLOOKUP($F44,'Baumaterialien Matériaux'!$A:$A,'Baumaterialien Matériaux'!AB:AB,0,0)</f>
        <v>3.3527999999999998</v>
      </c>
      <c r="N44" s="625">
        <f>$G44*_xlfn.XLOOKUP($F44,'Baumaterialien Matériaux'!$A:$A,'Baumaterialien Matériaux'!AC:AC,0,0)*44/12</f>
        <v>0</v>
      </c>
      <c r="O44" s="625">
        <f>$G44*_xlfn.XLOOKUP($F44,'Baumaterialien Matériaux'!$A:$A,'Baumaterialien Matériaux'!AG:AG,0,0)</f>
        <v>83.424000000000007</v>
      </c>
      <c r="P44" s="625">
        <f>$G44*_xlfn.XLOOKUP($F44,'Baumaterialien Matériaux'!$A:$A,'Baumaterialien Matériaux'!AH:AH,0,0)</f>
        <v>0.67320000000000002</v>
      </c>
      <c r="Q44" s="626"/>
      <c r="R44" s="626"/>
      <c r="S44" s="626"/>
      <c r="T44" s="626"/>
      <c r="U44" s="626"/>
      <c r="V44" s="626"/>
      <c r="W44" s="626"/>
      <c r="X44" s="626"/>
      <c r="Y44" s="626"/>
      <c r="Z44" s="626"/>
      <c r="AA44" s="626"/>
      <c r="AB44" s="626"/>
      <c r="AC44" s="626"/>
      <c r="AD44" s="626"/>
      <c r="AE44" s="626"/>
      <c r="AF44" s="626"/>
      <c r="AG44" s="626"/>
      <c r="AH44" s="626"/>
      <c r="AI44" s="626"/>
      <c r="AJ44" s="626"/>
      <c r="AK44" s="626"/>
      <c r="AL44" s="626"/>
      <c r="AM44" s="626"/>
      <c r="AN44" s="626"/>
      <c r="AO44" s="626"/>
      <c r="AP44" s="626"/>
      <c r="AQ44" s="626"/>
      <c r="AR44" s="626"/>
      <c r="AS44" s="626"/>
      <c r="AT44" s="626"/>
      <c r="AU44" s="626"/>
      <c r="AV44" s="626"/>
      <c r="AW44" s="626"/>
      <c r="AX44" s="626"/>
      <c r="AY44" s="626"/>
      <c r="AZ44" s="626"/>
      <c r="BA44" s="626"/>
      <c r="BB44" s="626"/>
      <c r="BC44" s="626"/>
      <c r="BD44" s="626"/>
      <c r="BE44" s="626"/>
      <c r="BF44" s="626"/>
      <c r="BG44" s="626"/>
      <c r="BH44" s="626"/>
      <c r="BI44" s="626"/>
      <c r="BJ44" s="626"/>
      <c r="BK44" s="626"/>
      <c r="BL44" s="626"/>
      <c r="BM44" s="626"/>
      <c r="BN44" s="626"/>
      <c r="BO44" s="626"/>
      <c r="BP44" s="626"/>
      <c r="BQ44" s="626"/>
      <c r="BR44" s="626"/>
      <c r="BS44" s="626"/>
      <c r="BT44" s="626"/>
      <c r="BU44" s="626"/>
      <c r="BV44" s="626"/>
      <c r="BW44" s="626"/>
      <c r="BX44" s="626"/>
      <c r="BY44" s="626"/>
      <c r="BZ44" s="626"/>
      <c r="CA44" s="626"/>
    </row>
    <row r="45" spans="1:79" s="626" customFormat="1">
      <c r="B45" s="1570"/>
      <c r="C45" s="624" t="s">
        <v>739</v>
      </c>
      <c r="D45" s="624" t="str">
        <f>VLOOKUP(F45,'Baumaterialien Matériaux'!$A$10:$AD$432,30,FALSE)</f>
        <v>Enduit de ciment</v>
      </c>
      <c r="E45" s="624" t="str">
        <f>VLOOKUP(F45,'Baumaterialien Matériaux'!$A$10:$AD$432,7,FALSE)</f>
        <v>kg</v>
      </c>
      <c r="F45" s="1099" t="s">
        <v>740</v>
      </c>
      <c r="G45" s="1098">
        <f>39*1.6</f>
        <v>62.400000000000006</v>
      </c>
      <c r="H45" s="624"/>
      <c r="I45" s="624">
        <v>40</v>
      </c>
      <c r="J45" s="1319"/>
      <c r="K45" s="1319"/>
      <c r="L45" s="625">
        <f>$G45*_xlfn.XLOOKUP($F45,'Baumaterialien Matériaux'!$A:$A,'Baumaterialien Matériaux'!AA:AA,0,0)</f>
        <v>15.475200000000001</v>
      </c>
      <c r="M45" s="625">
        <f>$G45*_xlfn.XLOOKUP($F45,'Baumaterialien Matériaux'!$A:$A,'Baumaterialien Matériaux'!AB:AB,0,0)</f>
        <v>0.79248000000000007</v>
      </c>
      <c r="N45" s="625">
        <f>$G45*_xlfn.XLOOKUP($F45,'Baumaterialien Matériaux'!$A:$A,'Baumaterialien Matériaux'!AC:AC,0,0)*44/12</f>
        <v>0</v>
      </c>
      <c r="O45" s="625">
        <f>$G45*_xlfn.XLOOKUP($F45,'Baumaterialien Matériaux'!$A:$A,'Baumaterialien Matériaux'!AG:AG,0,0)</f>
        <v>5.8344000000000005</v>
      </c>
      <c r="P45" s="625">
        <f>$G45*_xlfn.XLOOKUP($F45,'Baumaterialien Matériaux'!$A:$A,'Baumaterialien Matériaux'!AH:AH,0,0)</f>
        <v>0.20404800000000001</v>
      </c>
    </row>
    <row r="46" spans="1:79" s="626" customFormat="1">
      <c r="B46" s="1570"/>
      <c r="C46" s="624" t="s">
        <v>779</v>
      </c>
      <c r="D46" s="624" t="str">
        <f>VLOOKUP(F46,'Baumaterialien Matériaux'!$A$10:$AD$432,30,FALSE)</f>
        <v>Tôle d'acier nickel-chrome 18/8, nue</v>
      </c>
      <c r="E46" s="624" t="str">
        <f>VLOOKUP(F46,'Baumaterialien Matériaux'!$A$10:$AD$432,7,FALSE)</f>
        <v>kg</v>
      </c>
      <c r="F46" s="1100" t="s">
        <v>769</v>
      </c>
      <c r="G46" s="625">
        <v>2</v>
      </c>
      <c r="H46" s="624"/>
      <c r="I46" s="624">
        <v>40</v>
      </c>
      <c r="J46" s="1319"/>
      <c r="K46" s="1319"/>
      <c r="L46" s="625">
        <f>$G46*_xlfn.XLOOKUP($F46,'Baumaterialien Matériaux'!$A:$A,'Baumaterialien Matériaux'!AA:AA,0,0)</f>
        <v>8.2200000000000006</v>
      </c>
      <c r="M46" s="625">
        <f>$G46*_xlfn.XLOOKUP($F46,'Baumaterialien Matériaux'!$A:$A,'Baumaterialien Matériaux'!AB:AB,0,0)</f>
        <v>1.3860000000000001E-2</v>
      </c>
      <c r="N46" s="625">
        <f>$G46*_xlfn.XLOOKUP($F46,'Baumaterialien Matériaux'!$A:$A,'Baumaterialien Matériaux'!AC:AC,0,0)*44/12</f>
        <v>0</v>
      </c>
      <c r="O46" s="625">
        <f>$G46*_xlfn.XLOOKUP($F46,'Baumaterialien Matériaux'!$A:$A,'Baumaterialien Matériaux'!AG:AG,0,0)</f>
        <v>2.2200000000000002</v>
      </c>
      <c r="P46" s="625">
        <f>$G46*_xlfn.XLOOKUP($F46,'Baumaterialien Matériaux'!$A:$A,'Baumaterialien Matériaux'!AH:AH,0,0)</f>
        <v>0</v>
      </c>
    </row>
    <row r="47" spans="1:79" s="626" customFormat="1">
      <c r="B47" s="1570"/>
      <c r="C47" s="624" t="s">
        <v>754</v>
      </c>
      <c r="D47" s="624" t="str">
        <f>VLOOKUP(F47,'Baumaterialien Matériaux'!$A$10:$AD$432,30,FALSE)</f>
        <v xml:space="preserve">Polyamide (PA) renforcé par des fibres de verre </v>
      </c>
      <c r="E47" s="624" t="str">
        <f>VLOOKUP(F47,'Baumaterialien Matériaux'!$A$10:$AD$432,7,FALSE)</f>
        <v>kg</v>
      </c>
      <c r="F47" s="1101" t="s">
        <v>755</v>
      </c>
      <c r="G47" s="625">
        <v>0.12</v>
      </c>
      <c r="H47" s="624"/>
      <c r="I47" s="624">
        <v>40</v>
      </c>
      <c r="J47" s="1319"/>
      <c r="K47" s="1319"/>
      <c r="L47" s="625">
        <f>$G47*_xlfn.XLOOKUP($F47,'Baumaterialien Matériaux'!$A:$A,'Baumaterialien Matériaux'!AA:AA,0,0)</f>
        <v>1.0668</v>
      </c>
      <c r="M47" s="625">
        <f>$G47*_xlfn.XLOOKUP($F47,'Baumaterialien Matériaux'!$A:$A,'Baumaterialien Matériaux'!AB:AB,0,0)</f>
        <v>0.31440000000000001</v>
      </c>
      <c r="N47" s="625">
        <f>$G47*_xlfn.XLOOKUP($F47,'Baumaterialien Matériaux'!$A:$A,'Baumaterialien Matériaux'!AC:AC,0,0)*44/12</f>
        <v>0</v>
      </c>
      <c r="O47" s="625">
        <f>$G47*_xlfn.XLOOKUP($F47,'Baumaterialien Matériaux'!$A:$A,'Baumaterialien Matériaux'!AG:AG,0,0)</f>
        <v>0.98640000000000005</v>
      </c>
      <c r="P47" s="625">
        <f>$G47*_xlfn.XLOOKUP($F47,'Baumaterialien Matériaux'!$A:$A,'Baumaterialien Matériaux'!AH:AH,0,0)</f>
        <v>8.4119999999999986E-2</v>
      </c>
    </row>
    <row r="48" spans="1:79" s="626" customFormat="1">
      <c r="B48" s="1570"/>
      <c r="C48" s="624" t="s">
        <v>780</v>
      </c>
      <c r="D48" s="624" t="str">
        <f>VLOOKUP(F48,'Baumaterialien Matériaux'!$A$10:$AD$432,30,FALSE)</f>
        <v>Voile de polyéthylène (PE)</v>
      </c>
      <c r="E48" s="624" t="str">
        <f>VLOOKUP(F48,'Baumaterialien Matériaux'!$A$10:$AD$432,7,FALSE)</f>
        <v>kg</v>
      </c>
      <c r="F48" s="1102" t="s">
        <v>715</v>
      </c>
      <c r="G48" s="625">
        <v>0.22</v>
      </c>
      <c r="H48" s="624"/>
      <c r="I48" s="624">
        <v>40</v>
      </c>
      <c r="J48" s="1319"/>
      <c r="K48" s="1319"/>
      <c r="L48" s="625">
        <f>$G48*_xlfn.XLOOKUP($F48,'Baumaterialien Matériaux'!$A:$A,'Baumaterialien Matériaux'!AA:AA,0,0)</f>
        <v>0.6512</v>
      </c>
      <c r="M48" s="625">
        <f>$G48*_xlfn.XLOOKUP($F48,'Baumaterialien Matériaux'!$A:$A,'Baumaterialien Matériaux'!AB:AB,0,0)</f>
        <v>0.58740000000000003</v>
      </c>
      <c r="N48" s="625">
        <f>$G48*_xlfn.XLOOKUP($F48,'Baumaterialien Matériaux'!$A:$A,'Baumaterialien Matériaux'!AC:AC,0,0)*44/12</f>
        <v>0</v>
      </c>
      <c r="O48" s="625">
        <f>$G48*_xlfn.XLOOKUP($F48,'Baumaterialien Matériaux'!$A:$A,'Baumaterialien Matériaux'!AG:AG,0,0)</f>
        <v>0.61599999999999999</v>
      </c>
      <c r="P48" s="625">
        <f>$G48*_xlfn.XLOOKUP($F48,'Baumaterialien Matériaux'!$A:$A,'Baumaterialien Matériaux'!AH:AH,0,0)</f>
        <v>0.56540000000000001</v>
      </c>
    </row>
    <row r="49" spans="1:79" s="663" customFormat="1" ht="15.75" thickBot="1">
      <c r="A49" s="1103"/>
      <c r="B49" s="1104"/>
      <c r="F49" s="665"/>
      <c r="G49" s="695"/>
      <c r="I49" s="675">
        <v>40</v>
      </c>
      <c r="J49" s="1321"/>
      <c r="K49" s="1321"/>
      <c r="L49" s="667">
        <f>SUM(L44:L48)</f>
        <v>123.8852</v>
      </c>
      <c r="M49" s="667">
        <f>SUM(M44:M48)</f>
        <v>5.0609399999999996</v>
      </c>
      <c r="N49" s="667">
        <f>SUM(N44:N48)</f>
        <v>0</v>
      </c>
      <c r="O49" s="667">
        <f>SUM(O44:O48)</f>
        <v>93.080800000000011</v>
      </c>
      <c r="P49" s="667">
        <f>SUM(P44:P48)</f>
        <v>1.5267680000000001</v>
      </c>
      <c r="Q49" s="626"/>
      <c r="R49" s="626">
        <f>(L49+M49)/I48</f>
        <v>3.2236534999999997</v>
      </c>
      <c r="S49" s="626">
        <v>2.54</v>
      </c>
      <c r="T49" s="626"/>
      <c r="U49" s="626"/>
      <c r="V49" s="626"/>
      <c r="W49" s="626"/>
      <c r="X49" s="626"/>
      <c r="Y49" s="626"/>
      <c r="Z49" s="626"/>
      <c r="AA49" s="626"/>
      <c r="AB49" s="626"/>
      <c r="AC49" s="626"/>
      <c r="AD49" s="626"/>
      <c r="AE49" s="626"/>
      <c r="AF49" s="626"/>
      <c r="AG49" s="626"/>
      <c r="AH49" s="626"/>
      <c r="AI49" s="626"/>
      <c r="AJ49" s="626"/>
      <c r="AK49" s="626"/>
      <c r="AL49" s="626"/>
      <c r="AM49" s="626"/>
      <c r="AN49" s="626"/>
      <c r="AO49" s="626"/>
      <c r="AP49" s="626"/>
      <c r="AQ49" s="626"/>
      <c r="AR49" s="626"/>
      <c r="AS49" s="626"/>
      <c r="AT49" s="626"/>
      <c r="AU49" s="626"/>
      <c r="AV49" s="626"/>
      <c r="AW49" s="626"/>
      <c r="AX49" s="626"/>
      <c r="AY49" s="626"/>
      <c r="AZ49" s="626"/>
      <c r="BA49" s="626"/>
      <c r="BB49" s="626"/>
      <c r="BC49" s="626"/>
      <c r="BD49" s="626"/>
      <c r="BE49" s="626"/>
      <c r="BF49" s="626"/>
      <c r="BG49" s="626"/>
      <c r="BH49" s="626"/>
      <c r="BI49" s="626"/>
      <c r="BJ49" s="626"/>
      <c r="BK49" s="626"/>
      <c r="BL49" s="626"/>
      <c r="BM49" s="626"/>
      <c r="BN49" s="626"/>
      <c r="BO49" s="626"/>
      <c r="BP49" s="626"/>
      <c r="BQ49" s="626"/>
      <c r="BR49" s="626"/>
      <c r="BS49" s="626"/>
      <c r="BT49" s="626"/>
      <c r="BU49" s="626"/>
      <c r="BV49" s="626"/>
      <c r="BW49" s="626"/>
      <c r="BX49" s="626"/>
      <c r="BY49" s="626"/>
      <c r="BZ49" s="626"/>
      <c r="CA49" s="626"/>
    </row>
    <row r="50" spans="1:79" ht="15" thickTop="1">
      <c r="L50" s="132"/>
      <c r="M50" s="132"/>
      <c r="N50" s="132"/>
      <c r="O50" s="132"/>
      <c r="P50" s="132"/>
    </row>
    <row r="51" spans="1:79" s="160" customFormat="1">
      <c r="A51" s="677" t="s">
        <v>781</v>
      </c>
      <c r="B51" s="1571" t="s">
        <v>782</v>
      </c>
      <c r="C51" s="181" t="s">
        <v>783</v>
      </c>
      <c r="D51" s="181" t="str">
        <f>VLOOKUP(F51,'Baumaterialien Matériaux'!$A$10:$AD$432,30,FALSE)</f>
        <v>Dalle de fibrociment, grande</v>
      </c>
      <c r="E51" s="181" t="str">
        <f>VLOOKUP(F51,'Baumaterialien Matériaux'!$A$10:$AD$432,7,FALSE)</f>
        <v>kg</v>
      </c>
      <c r="F51" s="314" t="s">
        <v>784</v>
      </c>
      <c r="G51" s="182">
        <v>15.7</v>
      </c>
      <c r="H51" s="181"/>
      <c r="I51" s="617">
        <v>40</v>
      </c>
      <c r="J51" s="1319"/>
      <c r="K51" s="1319"/>
      <c r="L51" s="1005">
        <f>$G51*_xlfn.XLOOKUP($F51,'Baumaterialien Matériaux'!$A:$A,'Baumaterialien Matériaux'!AA:AA,0,0)</f>
        <v>16.013999999999999</v>
      </c>
      <c r="M51" s="1005">
        <f>$G51*_xlfn.XLOOKUP($F51,'Baumaterialien Matériaux'!$A:$A,'Baumaterialien Matériaux'!AB:AB,0,0)</f>
        <v>0.20723999999999998</v>
      </c>
      <c r="N51" s="1005">
        <f>$G51*_xlfn.XLOOKUP($F51,'Baumaterialien Matériaux'!$A:$A,'Baumaterialien Matériaux'!AC:AC,0,0)*44/12</f>
        <v>0</v>
      </c>
      <c r="O51" s="1005">
        <f>$G51*_xlfn.XLOOKUP($F51,'Baumaterialien Matériaux'!$A:$A,'Baumaterialien Matériaux'!AG:AG,0,0)</f>
        <v>5.8717999999999995</v>
      </c>
      <c r="P51" s="1005">
        <f>$G51*_xlfn.XLOOKUP($F51,'Baumaterialien Matériaux'!$A:$A,'Baumaterialien Matériaux'!AH:AH,0,0)</f>
        <v>4.1133999999999997E-2</v>
      </c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1:79">
      <c r="A52" s="678"/>
      <c r="B52" s="1572"/>
      <c r="C52" s="181" t="s">
        <v>785</v>
      </c>
      <c r="D52" s="181" t="str">
        <f>VLOOKUP(F52,'Baumaterialien Matériaux'!$A$10:$AD$432,30,FALSE)</f>
        <v>Profil d'aluminium, nu</v>
      </c>
      <c r="E52" s="181" t="str">
        <f>VLOOKUP(F52,'Baumaterialien Matériaux'!$A$10:$AD$432,7,FALSE)</f>
        <v>kg</v>
      </c>
      <c r="F52" s="314" t="s">
        <v>786</v>
      </c>
      <c r="G52" s="182">
        <v>2.2076923076923078</v>
      </c>
      <c r="H52" s="181"/>
      <c r="I52" s="617">
        <v>40</v>
      </c>
      <c r="J52" s="1319"/>
      <c r="K52" s="1319"/>
      <c r="L52" s="1005">
        <f>$G52*_xlfn.XLOOKUP($F52,'Baumaterialien Matériaux'!$A:$A,'Baumaterialien Matériaux'!AA:AA,0,0)</f>
        <v>12.561769230769233</v>
      </c>
      <c r="M52" s="1005">
        <f>$G52*_xlfn.XLOOKUP($F52,'Baumaterialien Matériaux'!$A:$A,'Baumaterialien Matériaux'!AB:AB,0,0)</f>
        <v>1.7484923076923078E-2</v>
      </c>
      <c r="N52" s="1005">
        <f>$G52*_xlfn.XLOOKUP($F52,'Baumaterialien Matériaux'!$A:$A,'Baumaterialien Matériaux'!AC:AC,0,0)*44/12</f>
        <v>0</v>
      </c>
      <c r="O52" s="1005">
        <f>$G52*_xlfn.XLOOKUP($F52,'Baumaterialien Matériaux'!$A:$A,'Baumaterialien Matériaux'!AG:AG,0,0)</f>
        <v>5.585461538461538</v>
      </c>
      <c r="P52" s="1005">
        <f>$G52*_xlfn.XLOOKUP($F52,'Baumaterialien Matériaux'!$A:$A,'Baumaterialien Matériaux'!AH:AH,0,0)</f>
        <v>0</v>
      </c>
    </row>
    <row r="53" spans="1:79">
      <c r="A53" s="678"/>
      <c r="B53" s="1572"/>
      <c r="C53" s="181" t="s">
        <v>787</v>
      </c>
      <c r="D53" s="181" t="str">
        <f>VLOOKUP(F53,'Baumaterialien Matériaux'!$A$10:$AD$432,30,FALSE)</f>
        <v>Tôle d'acier nickel-chrome 18/8, nue</v>
      </c>
      <c r="E53" s="181" t="str">
        <f>VLOOKUP(F53,'Baumaterialien Matériaux'!$A$10:$AD$432,7,FALSE)</f>
        <v>kg</v>
      </c>
      <c r="F53" s="314" t="s">
        <v>769</v>
      </c>
      <c r="G53" s="182">
        <v>4.9000000000000002E-2</v>
      </c>
      <c r="H53" s="181"/>
      <c r="I53" s="617">
        <v>40</v>
      </c>
      <c r="J53" s="1319"/>
      <c r="K53" s="1319"/>
      <c r="L53" s="1005">
        <f>$G53*_xlfn.XLOOKUP($F53,'Baumaterialien Matériaux'!$A:$A,'Baumaterialien Matériaux'!AA:AA,0,0)</f>
        <v>0.20139000000000001</v>
      </c>
      <c r="M53" s="1005">
        <f>$G53*_xlfn.XLOOKUP($F53,'Baumaterialien Matériaux'!$A:$A,'Baumaterialien Matériaux'!AB:AB,0,0)</f>
        <v>3.3957000000000003E-4</v>
      </c>
      <c r="N53" s="1005">
        <f>$G53*_xlfn.XLOOKUP($F53,'Baumaterialien Matériaux'!$A:$A,'Baumaterialien Matériaux'!AC:AC,0,0)*44/12</f>
        <v>0</v>
      </c>
      <c r="O53" s="1005">
        <f>$G53*_xlfn.XLOOKUP($F53,'Baumaterialien Matériaux'!$A:$A,'Baumaterialien Matériaux'!AG:AG,0,0)</f>
        <v>5.4390000000000008E-2</v>
      </c>
      <c r="P53" s="1005">
        <f>$G53*_xlfn.XLOOKUP($F53,'Baumaterialien Matériaux'!$A:$A,'Baumaterialien Matériaux'!AH:AH,0,0)</f>
        <v>0</v>
      </c>
    </row>
    <row r="54" spans="1:79">
      <c r="A54" s="678"/>
      <c r="B54" s="1572"/>
      <c r="C54" s="181" t="s">
        <v>788</v>
      </c>
      <c r="D54" s="181" t="str">
        <f>VLOOKUP(F54,'Baumaterialien Matériaux'!$A$10:$AD$432,30,FALSE)</f>
        <v>Chlorure de polyvinyle (PVC)</v>
      </c>
      <c r="E54" s="181" t="str">
        <f>VLOOKUP(F54,'Baumaterialien Matériaux'!$A$10:$AD$432,7,FALSE)</f>
        <v>kg</v>
      </c>
      <c r="F54" s="314" t="s">
        <v>789</v>
      </c>
      <c r="G54" s="182">
        <v>1.2E-2</v>
      </c>
      <c r="H54" s="181"/>
      <c r="I54" s="617">
        <v>40</v>
      </c>
      <c r="J54" s="1319"/>
      <c r="K54" s="1319"/>
      <c r="L54" s="1005">
        <f>$G54*_xlfn.XLOOKUP($F54,'Baumaterialien Matériaux'!$A:$A,'Baumaterialien Matériaux'!AA:AA,0,0)</f>
        <v>2.8559999999999999E-2</v>
      </c>
      <c r="M54" s="1005">
        <f>$G54*_xlfn.XLOOKUP($F54,'Baumaterialien Matériaux'!$A:$A,'Baumaterialien Matériaux'!AB:AB,0,0)</f>
        <v>2.52E-2</v>
      </c>
      <c r="N54" s="1005">
        <f>$G54*_xlfn.XLOOKUP($F54,'Baumaterialien Matériaux'!$A:$A,'Baumaterialien Matériaux'!AC:AC,0,0)*44/12</f>
        <v>0</v>
      </c>
      <c r="O54" s="1005">
        <f>$G54*_xlfn.XLOOKUP($F54,'Baumaterialien Matériaux'!$A:$A,'Baumaterialien Matériaux'!AG:AG,0,0)</f>
        <v>8.3759999999999998E-3</v>
      </c>
      <c r="P54" s="1005">
        <f>$G54*_xlfn.XLOOKUP($F54,'Baumaterialien Matériaux'!$A:$A,'Baumaterialien Matériaux'!AH:AH,0,0)</f>
        <v>7.8960000000000002E-3</v>
      </c>
    </row>
    <row r="55" spans="1:79">
      <c r="A55" s="678"/>
      <c r="B55" s="1572"/>
      <c r="C55" s="181" t="s">
        <v>754</v>
      </c>
      <c r="D55" s="181" t="str">
        <f>VLOOKUP(F55,'Baumaterialien Matériaux'!$A$10:$AD$432,30,FALSE)</f>
        <v xml:space="preserve">Polyamide (PA) renforcé par des fibres de verre </v>
      </c>
      <c r="E55" s="181" t="str">
        <f>VLOOKUP(F55,'Baumaterialien Matériaux'!$A$10:$AD$432,7,FALSE)</f>
        <v>kg</v>
      </c>
      <c r="F55" s="314" t="s">
        <v>755</v>
      </c>
      <c r="G55" s="182">
        <v>0.12</v>
      </c>
      <c r="H55" s="181"/>
      <c r="I55" s="617">
        <v>40</v>
      </c>
      <c r="J55" s="1319"/>
      <c r="K55" s="1319"/>
      <c r="L55" s="1005">
        <f>$G55*_xlfn.XLOOKUP($F55,'Baumaterialien Matériaux'!$A:$A,'Baumaterialien Matériaux'!AA:AA,0,0)</f>
        <v>1.0668</v>
      </c>
      <c r="M55" s="1005">
        <f>$G55*_xlfn.XLOOKUP($F55,'Baumaterialien Matériaux'!$A:$A,'Baumaterialien Matériaux'!AB:AB,0,0)</f>
        <v>0.31440000000000001</v>
      </c>
      <c r="N55" s="1005">
        <f>$G55*_xlfn.XLOOKUP($F55,'Baumaterialien Matériaux'!$A:$A,'Baumaterialien Matériaux'!AC:AC,0,0)*44/12</f>
        <v>0</v>
      </c>
      <c r="O55" s="1005">
        <f>$G55*_xlfn.XLOOKUP($F55,'Baumaterialien Matériaux'!$A:$A,'Baumaterialien Matériaux'!AG:AG,0,0)</f>
        <v>0.98640000000000005</v>
      </c>
      <c r="P55" s="1005">
        <f>$G55*_xlfn.XLOOKUP($F55,'Baumaterialien Matériaux'!$A:$A,'Baumaterialien Matériaux'!AH:AH,0,0)</f>
        <v>8.4119999999999986E-2</v>
      </c>
    </row>
    <row r="56" spans="1:79">
      <c r="A56" s="172"/>
      <c r="B56" s="1573"/>
      <c r="C56" s="181" t="s">
        <v>774</v>
      </c>
      <c r="D56" s="181" t="str">
        <f>VLOOKUP(F56,'Baumaterialien Matériaux'!$A$10:$AD$432,30,FALSE)</f>
        <v>Voile de polyéthylène (PE)</v>
      </c>
      <c r="E56" s="181" t="str">
        <f>VLOOKUP(F56,'Baumaterialien Matériaux'!$A$10:$AD$432,7,FALSE)</f>
        <v>kg</v>
      </c>
      <c r="F56" s="314" t="s">
        <v>715</v>
      </c>
      <c r="G56" s="182">
        <v>0.22</v>
      </c>
      <c r="H56" s="181"/>
      <c r="I56" s="617">
        <v>40</v>
      </c>
      <c r="J56" s="1319"/>
      <c r="K56" s="1319"/>
      <c r="L56" s="1005">
        <f>$G56*_xlfn.XLOOKUP($F56,'Baumaterialien Matériaux'!$A:$A,'Baumaterialien Matériaux'!AA:AA,0,0)</f>
        <v>0.6512</v>
      </c>
      <c r="M56" s="1005">
        <f>$G56*_xlfn.XLOOKUP($F56,'Baumaterialien Matériaux'!$A:$A,'Baumaterialien Matériaux'!AB:AB,0,0)</f>
        <v>0.58740000000000003</v>
      </c>
      <c r="N56" s="1005">
        <f>$G56*_xlfn.XLOOKUP($F56,'Baumaterialien Matériaux'!$A:$A,'Baumaterialien Matériaux'!AC:AC,0,0)*44/12</f>
        <v>0</v>
      </c>
      <c r="O56" s="1005">
        <f>$G56*_xlfn.XLOOKUP($F56,'Baumaterialien Matériaux'!$A:$A,'Baumaterialien Matériaux'!AG:AG,0,0)</f>
        <v>0.61599999999999999</v>
      </c>
      <c r="P56" s="1005">
        <f>$G56*_xlfn.XLOOKUP($F56,'Baumaterialien Matériaux'!$A:$A,'Baumaterialien Matériaux'!AH:AH,0,0)</f>
        <v>0.56540000000000001</v>
      </c>
    </row>
    <row r="57" spans="1:79" s="658" customFormat="1" ht="15.75" thickBot="1">
      <c r="A57" s="676"/>
      <c r="B57" s="662"/>
      <c r="F57" s="659"/>
      <c r="I57" s="672">
        <v>40</v>
      </c>
      <c r="J57" s="1321"/>
      <c r="K57" s="1321"/>
      <c r="L57" s="660">
        <f>SUM(L51:L56)</f>
        <v>30.523719230769231</v>
      </c>
      <c r="M57" s="660">
        <f>SUM(M51:M56)</f>
        <v>1.152064493076923</v>
      </c>
      <c r="N57" s="660">
        <f>SUM(N51:N56)</f>
        <v>0</v>
      </c>
      <c r="O57" s="660">
        <f>SUM(O51:O56)</f>
        <v>13.122427538461537</v>
      </c>
      <c r="P57" s="660">
        <f>SUM(P51:P56)</f>
        <v>0.69855</v>
      </c>
      <c r="Q57" s="3"/>
      <c r="R57" s="626">
        <f>(L57+M57)/I56</f>
        <v>0.79189459309615384</v>
      </c>
      <c r="S57" s="3">
        <v>1.04</v>
      </c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</row>
    <row r="58" spans="1:79" ht="15" thickTop="1">
      <c r="L58" s="132"/>
      <c r="M58" s="132"/>
      <c r="N58" s="132"/>
      <c r="O58" s="132"/>
      <c r="P58" s="132"/>
    </row>
    <row r="59" spans="1:79" s="160" customFormat="1">
      <c r="A59" s="1341" t="s">
        <v>790</v>
      </c>
      <c r="B59" s="1575" t="s">
        <v>791</v>
      </c>
      <c r="C59" s="181" t="s">
        <v>792</v>
      </c>
      <c r="D59" s="181" t="str">
        <f>VLOOKUP(F59,'Baumaterialien Matériaux'!$A$10:$AD$432,30,FALSE)</f>
        <v>Plaque de grès dur</v>
      </c>
      <c r="E59" s="181" t="str">
        <f>VLOOKUP(F59,'Baumaterialien Matériaux'!$A$10:$AD$432,7,FALSE)</f>
        <v>kg</v>
      </c>
      <c r="F59" s="314" t="s">
        <v>793</v>
      </c>
      <c r="G59" s="182">
        <f>0.03*2500</f>
        <v>75</v>
      </c>
      <c r="H59" s="1340"/>
      <c r="I59" s="620">
        <v>40</v>
      </c>
      <c r="J59" s="1319"/>
      <c r="K59" s="1319"/>
      <c r="L59" s="1009">
        <f>$G59*_xlfn.XLOOKUP($F59,'Baumaterialien Matériaux'!$A:$A,'Baumaterialien Matériaux'!AA:AA,0,0)</f>
        <v>2.0925000000000002</v>
      </c>
      <c r="M59" s="1009">
        <f>$G59*_xlfn.XLOOKUP($F59,'Baumaterialien Matériaux'!$A:$A,'Baumaterialien Matériaux'!AB:AB,0,0)</f>
        <v>0.95250000000000001</v>
      </c>
      <c r="N59" s="1009">
        <f>$G59*_xlfn.XLOOKUP($F59,'Baumaterialien Matériaux'!$A:$A,'Baumaterialien Matériaux'!AC:AC,0,0)*44/12</f>
        <v>0</v>
      </c>
      <c r="O59" s="1009">
        <f>$G59*_xlfn.XLOOKUP($F59,'Baumaterialien Matériaux'!$A:$A,'Baumaterialien Matériaux'!AG:AG,0,0)</f>
        <v>0.80249999999999999</v>
      </c>
      <c r="P59" s="1009">
        <f>$G59*_xlfn.XLOOKUP($F59,'Baumaterialien Matériaux'!$A:$A,'Baumaterialien Matériaux'!AH:AH,0,0)</f>
        <v>0.18074999999999999</v>
      </c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</row>
    <row r="60" spans="1:79">
      <c r="A60" s="172"/>
      <c r="B60" s="1575"/>
      <c r="C60" s="181" t="s">
        <v>794</v>
      </c>
      <c r="D60" s="181" t="str">
        <f>VLOOKUP(F60,'Baumaterialien Matériaux'!$A$10:$AD$432,30,FALSE)</f>
        <v>Profil d'aluminium, nu</v>
      </c>
      <c r="E60" s="181" t="str">
        <f>VLOOKUP(F60,'Baumaterialien Matériaux'!$A$10:$AD$432,7,FALSE)</f>
        <v>kg</v>
      </c>
      <c r="F60" s="314" t="s">
        <v>786</v>
      </c>
      <c r="G60" s="182">
        <v>4.443194444444444</v>
      </c>
      <c r="I60" s="620">
        <v>40</v>
      </c>
      <c r="J60" s="1319"/>
      <c r="K60" s="1319"/>
      <c r="L60" s="1009">
        <f>$G60*_xlfn.XLOOKUP($F60,'Baumaterialien Matériaux'!$A:$A,'Baumaterialien Matériaux'!AA:AA,0,0)</f>
        <v>25.28177638888889</v>
      </c>
      <c r="M60" s="1009">
        <f>$G60*_xlfn.XLOOKUP($F60,'Baumaterialien Matériaux'!$A:$A,'Baumaterialien Matériaux'!AB:AB,0,0)</f>
        <v>3.5190099999999995E-2</v>
      </c>
      <c r="N60" s="1009">
        <f>$G60*_xlfn.XLOOKUP($F60,'Baumaterialien Matériaux'!$A:$A,'Baumaterialien Matériaux'!AC:AC,0,0)*44/12</f>
        <v>0</v>
      </c>
      <c r="O60" s="1009">
        <f>$G60*_xlfn.XLOOKUP($F60,'Baumaterialien Matériaux'!$A:$A,'Baumaterialien Matériaux'!AG:AG,0,0)</f>
        <v>11.241281944444442</v>
      </c>
      <c r="P60" s="1009">
        <f>$G60*_xlfn.XLOOKUP($F60,'Baumaterialien Matériaux'!$A:$A,'Baumaterialien Matériaux'!AH:AH,0,0)</f>
        <v>0</v>
      </c>
    </row>
    <row r="61" spans="1:79" ht="21" customHeight="1">
      <c r="A61" s="172"/>
      <c r="B61" s="1575"/>
      <c r="C61" s="181" t="s">
        <v>754</v>
      </c>
      <c r="D61" s="181" t="str">
        <f>VLOOKUP(F61,'Baumaterialien Matériaux'!$A$10:$AD$432,30,FALSE)</f>
        <v xml:space="preserve">Polyamide (PA) renforcé par des fibres de verre </v>
      </c>
      <c r="E61" s="181" t="str">
        <f>VLOOKUP(F61,'Baumaterialien Matériaux'!$A$10:$AD$432,7,FALSE)</f>
        <v>kg</v>
      </c>
      <c r="F61" s="314" t="s">
        <v>755</v>
      </c>
      <c r="G61" s="182">
        <v>0.12</v>
      </c>
      <c r="I61" s="620">
        <v>40</v>
      </c>
      <c r="J61" s="1319"/>
      <c r="K61" s="1319"/>
      <c r="L61" s="1009">
        <f>$G61*_xlfn.XLOOKUP($F61,'Baumaterialien Matériaux'!$A:$A,'Baumaterialien Matériaux'!AA:AA,0,0)</f>
        <v>1.0668</v>
      </c>
      <c r="M61" s="1009">
        <f>$G61*_xlfn.XLOOKUP($F61,'Baumaterialien Matériaux'!$A:$A,'Baumaterialien Matériaux'!AB:AB,0,0)</f>
        <v>0.31440000000000001</v>
      </c>
      <c r="N61" s="1009">
        <f>$G61*_xlfn.XLOOKUP($F61,'Baumaterialien Matériaux'!$A:$A,'Baumaterialien Matériaux'!AC:AC,0,0)*44/12</f>
        <v>0</v>
      </c>
      <c r="O61" s="1009">
        <f>$G61*_xlfn.XLOOKUP($F61,'Baumaterialien Matériaux'!$A:$A,'Baumaterialien Matériaux'!AG:AG,0,0)</f>
        <v>0.98640000000000005</v>
      </c>
      <c r="P61" s="1009">
        <f>$G61*_xlfn.XLOOKUP($F61,'Baumaterialien Matériaux'!$A:$A,'Baumaterialien Matériaux'!AH:AH,0,0)</f>
        <v>8.4119999999999986E-2</v>
      </c>
    </row>
    <row r="62" spans="1:79" ht="29.1" customHeight="1">
      <c r="A62" s="172"/>
      <c r="B62" s="1575"/>
      <c r="C62" s="181" t="s">
        <v>780</v>
      </c>
      <c r="D62" s="181" t="str">
        <f>VLOOKUP(F62,'Baumaterialien Matériaux'!$A$10:$AD$432,30,FALSE)</f>
        <v>Voile de polyéthylène (PE)</v>
      </c>
      <c r="E62" s="181" t="str">
        <f>VLOOKUP(F62,'Baumaterialien Matériaux'!$A$10:$AD$432,7,FALSE)</f>
        <v>kg</v>
      </c>
      <c r="F62" s="314" t="s">
        <v>715</v>
      </c>
      <c r="G62" s="182">
        <v>0.22</v>
      </c>
      <c r="I62" s="620">
        <v>40</v>
      </c>
      <c r="J62" s="1319"/>
      <c r="K62" s="1319"/>
      <c r="L62" s="1009">
        <f>$G62*_xlfn.XLOOKUP($F62,'Baumaterialien Matériaux'!$A:$A,'Baumaterialien Matériaux'!AA:AA,0,0)</f>
        <v>0.6512</v>
      </c>
      <c r="M62" s="1009">
        <f>$G62*_xlfn.XLOOKUP($F62,'Baumaterialien Matériaux'!$A:$A,'Baumaterialien Matériaux'!AB:AB,0,0)</f>
        <v>0.58740000000000003</v>
      </c>
      <c r="N62" s="1009">
        <f>$G62*_xlfn.XLOOKUP($F62,'Baumaterialien Matériaux'!$A:$A,'Baumaterialien Matériaux'!AC:AC,0,0)*44/12</f>
        <v>0</v>
      </c>
      <c r="O62" s="1009">
        <f>$G62*_xlfn.XLOOKUP($F62,'Baumaterialien Matériaux'!$A:$A,'Baumaterialien Matériaux'!AG:AG,0,0)</f>
        <v>0.61599999999999999</v>
      </c>
      <c r="P62" s="1009">
        <f>$G62*_xlfn.XLOOKUP($F62,'Baumaterialien Matériaux'!$A:$A,'Baumaterialien Matériaux'!AH:AH,0,0)</f>
        <v>0.56540000000000001</v>
      </c>
    </row>
    <row r="63" spans="1:79" s="658" customFormat="1" ht="15.75" thickBot="1">
      <c r="A63" s="676"/>
      <c r="B63" s="662"/>
      <c r="F63" s="659"/>
      <c r="G63" s="679"/>
      <c r="I63" s="672">
        <v>40</v>
      </c>
      <c r="J63" s="1321"/>
      <c r="K63" s="1321"/>
      <c r="L63" s="660">
        <f>SUM(L59:L62)</f>
        <v>29.092276388888891</v>
      </c>
      <c r="M63" s="660">
        <f>SUM(M59:M62)</f>
        <v>1.8894901000000002</v>
      </c>
      <c r="N63" s="660">
        <f>SUM(N59:N62)</f>
        <v>0</v>
      </c>
      <c r="O63" s="660">
        <f>SUM(O59:O62)</f>
        <v>13.646181944444441</v>
      </c>
      <c r="P63" s="660">
        <f>SUM(P59:P62)</f>
        <v>0.83027000000000006</v>
      </c>
      <c r="Q63" s="3"/>
      <c r="R63" s="626">
        <f>(L63+M63)/I62</f>
        <v>0.77454416222222222</v>
      </c>
      <c r="S63" s="3">
        <v>1.04</v>
      </c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</row>
    <row r="64" spans="1:79" ht="15.75" thickTop="1">
      <c r="J64" s="1228"/>
      <c r="K64" s="1228"/>
      <c r="L64" s="132"/>
      <c r="M64" s="132"/>
      <c r="N64" s="132"/>
      <c r="O64" s="132"/>
      <c r="P64" s="132"/>
    </row>
    <row r="65" spans="1:79" s="160" customFormat="1">
      <c r="A65" s="1341" t="s">
        <v>795</v>
      </c>
      <c r="B65" s="1575" t="s">
        <v>796</v>
      </c>
      <c r="C65" s="181" t="s">
        <v>797</v>
      </c>
      <c r="D65" s="181" t="str">
        <f>VLOOKUP(F65,'Baumaterialien Matériaux'!$A$10:$AD$432,30,FALSE)</f>
        <v>Panneau de façade, en aluminium, 4 mm</v>
      </c>
      <c r="E65" s="181" t="str">
        <f>VLOOKUP(F65,'Baumaterialien Matériaux'!$A$10:$AD$432,7,FALSE)</f>
        <v>m2</v>
      </c>
      <c r="F65" s="314" t="s">
        <v>798</v>
      </c>
      <c r="G65" s="182">
        <v>1</v>
      </c>
      <c r="H65" s="181"/>
      <c r="I65" s="620">
        <v>40</v>
      </c>
      <c r="J65" s="1319"/>
      <c r="K65" s="1319"/>
      <c r="L65" s="1009">
        <f>$G65*_xlfn.XLOOKUP($F65,'Baumaterialien Matériaux'!$A:$A,'Baumaterialien Matériaux'!AA:AA,0,0)</f>
        <v>35.700000000000003</v>
      </c>
      <c r="M65" s="1009">
        <f>$G65*_xlfn.XLOOKUP($F65,'Baumaterialien Matériaux'!$A:$A,'Baumaterialien Matériaux'!AB:AB,0,0)</f>
        <v>7.65</v>
      </c>
      <c r="N65" s="1009">
        <f>$G65*_xlfn.XLOOKUP($F65,'Baumaterialien Matériaux'!$A:$A,'Baumaterialien Matériaux'!AC:AC,0,0)*44/12</f>
        <v>0</v>
      </c>
      <c r="O65" s="1009">
        <f>$G65*_xlfn.XLOOKUP($F65,'Baumaterialien Matériaux'!$A:$A,'Baumaterialien Matériaux'!AG:AG,0,0)</f>
        <v>21.2</v>
      </c>
      <c r="P65" s="1009">
        <f>$G65*_xlfn.XLOOKUP($F65,'Baumaterialien Matériaux'!$A:$A,'Baumaterialien Matériaux'!AH:AH,0,0)</f>
        <v>8.5299999999999994</v>
      </c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</row>
    <row r="66" spans="1:79">
      <c r="A66" s="172"/>
      <c r="B66" s="1575"/>
      <c r="C66" s="181" t="s">
        <v>794</v>
      </c>
      <c r="D66" s="181" t="str">
        <f>VLOOKUP(F66,'Baumaterialien Matériaux'!$A$10:$AD$432,30,FALSE)</f>
        <v>Profil d'aluminium, nu</v>
      </c>
      <c r="E66" s="181" t="str">
        <f>VLOOKUP(F66,'Baumaterialien Matériaux'!$A$10:$AD$432,7,FALSE)</f>
        <v>kg</v>
      </c>
      <c r="F66" s="314" t="s">
        <v>786</v>
      </c>
      <c r="G66" s="182">
        <v>3.3583333333333298</v>
      </c>
      <c r="H66" s="181"/>
      <c r="I66" s="620">
        <v>40</v>
      </c>
      <c r="J66" s="1319"/>
      <c r="K66" s="1319"/>
      <c r="L66" s="1009">
        <f>$G66*_xlfn.XLOOKUP($F66,'Baumaterialien Matériaux'!$A:$A,'Baumaterialien Matériaux'!AA:AA,0,0)</f>
        <v>19.108916666666648</v>
      </c>
      <c r="M66" s="1009">
        <f>$G66*_xlfn.XLOOKUP($F66,'Baumaterialien Matériaux'!$A:$A,'Baumaterialien Matériaux'!AB:AB,0,0)</f>
        <v>2.6597999999999972E-2</v>
      </c>
      <c r="N66" s="1009">
        <f>$G66*_xlfn.XLOOKUP($F66,'Baumaterialien Matériaux'!$A:$A,'Baumaterialien Matériaux'!AC:AC,0,0)*44/12</f>
        <v>0</v>
      </c>
      <c r="O66" s="1009">
        <f>$G66*_xlfn.XLOOKUP($F66,'Baumaterialien Matériaux'!$A:$A,'Baumaterialien Matériaux'!AG:AG,0,0)</f>
        <v>8.4965833333333247</v>
      </c>
      <c r="P66" s="1009">
        <f>$G66*_xlfn.XLOOKUP($F66,'Baumaterialien Matériaux'!$A:$A,'Baumaterialien Matériaux'!AH:AH,0,0)</f>
        <v>0</v>
      </c>
    </row>
    <row r="67" spans="1:79">
      <c r="A67" s="172"/>
      <c r="B67" s="1575"/>
      <c r="C67" s="181" t="s">
        <v>799</v>
      </c>
      <c r="D67" s="181" t="str">
        <f>VLOOKUP(F67,'Baumaterialien Matériaux'!$A$10:$AD$432,30,FALSE)</f>
        <v xml:space="preserve">Polyamide (PA) renforcé par des fibres de verre </v>
      </c>
      <c r="E67" s="181" t="str">
        <f>VLOOKUP(F67,'Baumaterialien Matériaux'!$A$10:$AD$432,7,FALSE)</f>
        <v>kg</v>
      </c>
      <c r="F67" s="314" t="s">
        <v>755</v>
      </c>
      <c r="G67" s="182">
        <v>0.12</v>
      </c>
      <c r="H67" s="181"/>
      <c r="I67" s="620">
        <v>40</v>
      </c>
      <c r="J67" s="1319"/>
      <c r="K67" s="1319"/>
      <c r="L67" s="1009">
        <f>$G67*_xlfn.XLOOKUP($F67,'Baumaterialien Matériaux'!$A:$A,'Baumaterialien Matériaux'!AA:AA,0,0)</f>
        <v>1.0668</v>
      </c>
      <c r="M67" s="1009">
        <f>$G67*_xlfn.XLOOKUP($F67,'Baumaterialien Matériaux'!$A:$A,'Baumaterialien Matériaux'!AB:AB,0,0)</f>
        <v>0.31440000000000001</v>
      </c>
      <c r="N67" s="1009">
        <f>$G67*_xlfn.XLOOKUP($F67,'Baumaterialien Matériaux'!$A:$A,'Baumaterialien Matériaux'!AC:AC,0,0)*44/12</f>
        <v>0</v>
      </c>
      <c r="O67" s="1009">
        <f>$G67*_xlfn.XLOOKUP($F67,'Baumaterialien Matériaux'!$A:$A,'Baumaterialien Matériaux'!AG:AG,0,0)</f>
        <v>0.98640000000000005</v>
      </c>
      <c r="P67" s="1009">
        <f>$G67*_xlfn.XLOOKUP($F67,'Baumaterialien Matériaux'!$A:$A,'Baumaterialien Matériaux'!AH:AH,0,0)</f>
        <v>8.4119999999999986E-2</v>
      </c>
    </row>
    <row r="68" spans="1:79">
      <c r="A68" s="172"/>
      <c r="B68" s="1575"/>
      <c r="C68" s="181" t="s">
        <v>774</v>
      </c>
      <c r="D68" s="181" t="str">
        <f>VLOOKUP(F68,'Baumaterialien Matériaux'!$A$10:$AD$432,30,FALSE)</f>
        <v>Voile de polyéthylène (PE)</v>
      </c>
      <c r="E68" s="181" t="str">
        <f>VLOOKUP(F68,'Baumaterialien Matériaux'!$A$10:$AD$432,7,FALSE)</f>
        <v>kg</v>
      </c>
      <c r="F68" s="314" t="s">
        <v>715</v>
      </c>
      <c r="G68" s="182">
        <v>0.22</v>
      </c>
      <c r="H68" s="181"/>
      <c r="I68" s="620">
        <v>40</v>
      </c>
      <c r="J68" s="1319"/>
      <c r="K68" s="1319"/>
      <c r="L68" s="1009">
        <f>$G68*_xlfn.XLOOKUP($F68,'Baumaterialien Matériaux'!$A:$A,'Baumaterialien Matériaux'!AA:AA,0,0)</f>
        <v>0.6512</v>
      </c>
      <c r="M68" s="1009">
        <f>$G68*_xlfn.XLOOKUP($F68,'Baumaterialien Matériaux'!$A:$A,'Baumaterialien Matériaux'!AB:AB,0,0)</f>
        <v>0.58740000000000003</v>
      </c>
      <c r="N68" s="1009">
        <f>$G68*_xlfn.XLOOKUP($F68,'Baumaterialien Matériaux'!$A:$A,'Baumaterialien Matériaux'!AC:AC,0,0)*44/12</f>
        <v>0</v>
      </c>
      <c r="O68" s="1009">
        <f>$G68*_xlfn.XLOOKUP($F68,'Baumaterialien Matériaux'!$A:$A,'Baumaterialien Matériaux'!AG:AG,0,0)</f>
        <v>0.61599999999999999</v>
      </c>
      <c r="P68" s="1009">
        <f>$G68*_xlfn.XLOOKUP($F68,'Baumaterialien Matériaux'!$A:$A,'Baumaterialien Matériaux'!AH:AH,0,0)</f>
        <v>0.56540000000000001</v>
      </c>
    </row>
    <row r="69" spans="1:79" s="658" customFormat="1" ht="15.75" thickBot="1">
      <c r="A69" s="676"/>
      <c r="B69" s="662"/>
      <c r="F69" s="659"/>
      <c r="I69" s="672">
        <v>40</v>
      </c>
      <c r="J69" s="1321"/>
      <c r="K69" s="1321"/>
      <c r="L69" s="660">
        <f>SUM(L65:L68)</f>
        <v>56.526916666666651</v>
      </c>
      <c r="M69" s="660">
        <f>SUM(M65:M68)</f>
        <v>8.578398</v>
      </c>
      <c r="N69" s="660">
        <f>SUM(N65:N68)</f>
        <v>0</v>
      </c>
      <c r="O69" s="660">
        <f>SUM(O65:O68)</f>
        <v>31.298983333333322</v>
      </c>
      <c r="P69" s="660">
        <f>SUM(P65:P68)</f>
        <v>9.1795200000000001</v>
      </c>
      <c r="Q69" s="3"/>
      <c r="R69" s="626">
        <f>(L69+M69)/I68</f>
        <v>1.6276328666666664</v>
      </c>
      <c r="S69" s="3">
        <v>2.54</v>
      </c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1:79" ht="15" thickTop="1">
      <c r="L70" s="132"/>
      <c r="M70" s="132"/>
      <c r="N70" s="132"/>
      <c r="O70" s="132"/>
      <c r="P70" s="132"/>
    </row>
    <row r="71" spans="1:79" s="160" customFormat="1">
      <c r="A71" s="1341" t="s">
        <v>800</v>
      </c>
      <c r="B71" s="1575" t="s">
        <v>801</v>
      </c>
      <c r="C71" s="181" t="s">
        <v>802</v>
      </c>
      <c r="D71" s="181" t="str">
        <f>VLOOKUP(F71,'Baumaterialien Matériaux'!$A$10:$AD$432,30,FALSE)</f>
        <v>Verre plat, enduit</v>
      </c>
      <c r="E71" s="181" t="str">
        <f>VLOOKUP(F71,'Baumaterialien Matériaux'!$A$10:$AD$432,7,FALSE)</f>
        <v>kg</v>
      </c>
      <c r="F71" s="314" t="s">
        <v>803</v>
      </c>
      <c r="G71" s="182">
        <v>25</v>
      </c>
      <c r="H71" s="181"/>
      <c r="I71" s="620">
        <v>40</v>
      </c>
      <c r="J71" s="1319"/>
      <c r="K71" s="1319"/>
      <c r="L71" s="1009">
        <f>$G71*_xlfn.XLOOKUP($F71,'Baumaterialien Matériaux'!$A:$A,'Baumaterialien Matériaux'!AA:AA,0,0)</f>
        <v>29.5</v>
      </c>
      <c r="M71" s="1009">
        <f>$G71*_xlfn.XLOOKUP($F71,'Baumaterialien Matériaux'!$A:$A,'Baumaterialien Matériaux'!AB:AB,0,0)</f>
        <v>0.47749999999999998</v>
      </c>
      <c r="N71" s="1009">
        <f>$G71*_xlfn.XLOOKUP($F71,'Baumaterialien Matériaux'!$A:$A,'Baumaterialien Matériaux'!AC:AC,0,0)*44/12</f>
        <v>0</v>
      </c>
      <c r="O71" s="1009">
        <f>$G71*_xlfn.XLOOKUP($F71,'Baumaterialien Matériaux'!$A:$A,'Baumaterialien Matériaux'!AG:AG,0,0)</f>
        <v>6.05</v>
      </c>
      <c r="P71" s="1009">
        <f>$G71*_xlfn.XLOOKUP($F71,'Baumaterialien Matériaux'!$A:$A,'Baumaterialien Matériaux'!AH:AH,0,0)</f>
        <v>8.6999999999999994E-2</v>
      </c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1:79">
      <c r="A72" s="172"/>
      <c r="B72" s="1575"/>
      <c r="C72" s="181" t="s">
        <v>794</v>
      </c>
      <c r="D72" s="181" t="str">
        <f>VLOOKUP(F72,'Baumaterialien Matériaux'!$A$10:$AD$432,30,FALSE)</f>
        <v>Profil d'aluminium, nu</v>
      </c>
      <c r="E72" s="181" t="str">
        <f>VLOOKUP(F72,'Baumaterialien Matériaux'!$A$10:$AD$432,7,FALSE)</f>
        <v>kg</v>
      </c>
      <c r="F72" s="314" t="s">
        <v>786</v>
      </c>
      <c r="G72" s="182">
        <v>4.443194444444444</v>
      </c>
      <c r="H72" s="181"/>
      <c r="I72" s="620">
        <v>40</v>
      </c>
      <c r="J72" s="1319"/>
      <c r="K72" s="1319"/>
      <c r="L72" s="1009">
        <f>$G72*_xlfn.XLOOKUP($F72,'Baumaterialien Matériaux'!$A:$A,'Baumaterialien Matériaux'!AA:AA,0,0)</f>
        <v>25.28177638888889</v>
      </c>
      <c r="M72" s="1009">
        <f>$G72*_xlfn.XLOOKUP($F72,'Baumaterialien Matériaux'!$A:$A,'Baumaterialien Matériaux'!AB:AB,0,0)</f>
        <v>3.5190099999999995E-2</v>
      </c>
      <c r="N72" s="1009">
        <f>$G72*_xlfn.XLOOKUP($F72,'Baumaterialien Matériaux'!$A:$A,'Baumaterialien Matériaux'!AC:AC,0,0)*44/12</f>
        <v>0</v>
      </c>
      <c r="O72" s="1009">
        <f>$G72*_xlfn.XLOOKUP($F72,'Baumaterialien Matériaux'!$A:$A,'Baumaterialien Matériaux'!AG:AG,0,0)</f>
        <v>11.241281944444442</v>
      </c>
      <c r="P72" s="1009">
        <f>$G72*_xlfn.XLOOKUP($F72,'Baumaterialien Matériaux'!$A:$A,'Baumaterialien Matériaux'!AH:AH,0,0)</f>
        <v>0</v>
      </c>
    </row>
    <row r="73" spans="1:79">
      <c r="A73" s="172"/>
      <c r="B73" s="1575"/>
      <c r="C73" s="181" t="s">
        <v>754</v>
      </c>
      <c r="D73" s="181" t="str">
        <f>VLOOKUP(F73,'Baumaterialien Matériaux'!$A$10:$AD$432,30,FALSE)</f>
        <v xml:space="preserve">Polyamide (PA) renforcé par des fibres de verre </v>
      </c>
      <c r="E73" s="181" t="str">
        <f>VLOOKUP(F73,'Baumaterialien Matériaux'!$A$10:$AD$432,7,FALSE)</f>
        <v>kg</v>
      </c>
      <c r="F73" s="314" t="s">
        <v>755</v>
      </c>
      <c r="G73" s="182">
        <v>0.12</v>
      </c>
      <c r="H73" s="181"/>
      <c r="I73" s="620">
        <v>40</v>
      </c>
      <c r="J73" s="1319"/>
      <c r="K73" s="1319"/>
      <c r="L73" s="1009">
        <f>$G73*_xlfn.XLOOKUP($F73,'Baumaterialien Matériaux'!$A:$A,'Baumaterialien Matériaux'!AA:AA,0,0)</f>
        <v>1.0668</v>
      </c>
      <c r="M73" s="1009">
        <f>$G73*_xlfn.XLOOKUP($F73,'Baumaterialien Matériaux'!$A:$A,'Baumaterialien Matériaux'!AB:AB,0,0)</f>
        <v>0.31440000000000001</v>
      </c>
      <c r="N73" s="1009">
        <f>$G73*_xlfn.XLOOKUP($F73,'Baumaterialien Matériaux'!$A:$A,'Baumaterialien Matériaux'!AC:AC,0,0)*44/12</f>
        <v>0</v>
      </c>
      <c r="O73" s="1009">
        <f>$G73*_xlfn.XLOOKUP($F73,'Baumaterialien Matériaux'!$A:$A,'Baumaterialien Matériaux'!AG:AG,0,0)</f>
        <v>0.98640000000000005</v>
      </c>
      <c r="P73" s="1009">
        <f>$G73*_xlfn.XLOOKUP($F73,'Baumaterialien Matériaux'!$A:$A,'Baumaterialien Matériaux'!AH:AH,0,0)</f>
        <v>8.4119999999999986E-2</v>
      </c>
    </row>
    <row r="74" spans="1:79">
      <c r="A74" s="172"/>
      <c r="B74" s="1575"/>
      <c r="C74" s="181" t="s">
        <v>780</v>
      </c>
      <c r="D74" s="181" t="str">
        <f>VLOOKUP(F74,'Baumaterialien Matériaux'!$A$10:$AD$432,30,FALSE)</f>
        <v>Voile de polyéthylène (PE)</v>
      </c>
      <c r="E74" s="181" t="str">
        <f>VLOOKUP(F74,'Baumaterialien Matériaux'!$A$10:$AD$432,7,FALSE)</f>
        <v>kg</v>
      </c>
      <c r="F74" s="314" t="s">
        <v>715</v>
      </c>
      <c r="G74" s="182">
        <v>0.22</v>
      </c>
      <c r="H74" s="181"/>
      <c r="I74" s="620">
        <v>40</v>
      </c>
      <c r="J74" s="1319"/>
      <c r="K74" s="1319"/>
      <c r="L74" s="1009">
        <f>$G74*_xlfn.XLOOKUP($F74,'Baumaterialien Matériaux'!$A:$A,'Baumaterialien Matériaux'!AA:AA,0,0)</f>
        <v>0.6512</v>
      </c>
      <c r="M74" s="1009">
        <f>$G74*_xlfn.XLOOKUP($F74,'Baumaterialien Matériaux'!$A:$A,'Baumaterialien Matériaux'!AB:AB,0,0)</f>
        <v>0.58740000000000003</v>
      </c>
      <c r="N74" s="1009">
        <f>$G74*_xlfn.XLOOKUP($F74,'Baumaterialien Matériaux'!$A:$A,'Baumaterialien Matériaux'!AC:AC,0,0)*44/12</f>
        <v>0</v>
      </c>
      <c r="O74" s="1009">
        <f>$G74*_xlfn.XLOOKUP($F74,'Baumaterialien Matériaux'!$A:$A,'Baumaterialien Matériaux'!AG:AG,0,0)</f>
        <v>0.61599999999999999</v>
      </c>
      <c r="P74" s="1009">
        <f>$G74*_xlfn.XLOOKUP($F74,'Baumaterialien Matériaux'!$A:$A,'Baumaterialien Matériaux'!AH:AH,0,0)</f>
        <v>0.56540000000000001</v>
      </c>
    </row>
    <row r="75" spans="1:79" s="658" customFormat="1" ht="15.75" thickBot="1">
      <c r="A75" s="676"/>
      <c r="B75" s="662"/>
      <c r="F75" s="659"/>
      <c r="I75" s="672">
        <v>40</v>
      </c>
      <c r="J75" s="1321"/>
      <c r="K75" s="1321"/>
      <c r="L75" s="660">
        <f>SUM(L71:L74)</f>
        <v>56.49977638888889</v>
      </c>
      <c r="M75" s="660">
        <f>SUM(M71:M74)</f>
        <v>1.4144901000000001</v>
      </c>
      <c r="N75" s="660">
        <f>SUM(N71:N74)</f>
        <v>0</v>
      </c>
      <c r="O75" s="660">
        <f>SUM(O71:O74)</f>
        <v>18.893681944444442</v>
      </c>
      <c r="P75" s="660">
        <f>SUM(P71:P74)</f>
        <v>0.73652000000000006</v>
      </c>
      <c r="Q75" s="3"/>
      <c r="R75" s="626">
        <f>(L75+M75)/I74</f>
        <v>1.4478566622222222</v>
      </c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1:79" ht="15.75" thickTop="1">
      <c r="A76" s="172"/>
      <c r="B76" s="704"/>
      <c r="I76" s="1329"/>
      <c r="J76" s="1330"/>
      <c r="K76" s="1330"/>
      <c r="L76" s="1331"/>
      <c r="M76" s="1331"/>
      <c r="N76" s="1331"/>
      <c r="O76" s="1331"/>
      <c r="P76" s="1331"/>
    </row>
    <row r="77" spans="1:79" s="160" customFormat="1">
      <c r="A77" s="1341" t="s">
        <v>804</v>
      </c>
      <c r="B77" s="1571" t="s">
        <v>805</v>
      </c>
      <c r="C77" s="181" t="s">
        <v>806</v>
      </c>
      <c r="D77" s="181" t="str">
        <f>VLOOKUP(F77,'Baumaterialien Matériaux'!$A$10:$AD$432,30,FALSE)</f>
        <v>Enduit de ciment</v>
      </c>
      <c r="E77" s="181" t="str">
        <f>VLOOKUP(F77,'Baumaterialien Matériaux'!$A$10:$AD$432,7,FALSE)</f>
        <v>kg</v>
      </c>
      <c r="F77" s="601" t="s">
        <v>740</v>
      </c>
      <c r="G77" s="182">
        <f>1550*0.01</f>
        <v>15.5</v>
      </c>
      <c r="H77" s="181"/>
      <c r="I77" s="617">
        <v>30</v>
      </c>
      <c r="J77" s="1319"/>
      <c r="K77" s="1319"/>
      <c r="L77" s="1005">
        <f>$G77*_xlfn.XLOOKUP($F77,'Baumaterialien Matériaux'!$A:$A,'Baumaterialien Matériaux'!AA:AA,0,0)</f>
        <v>3.8439999999999999</v>
      </c>
      <c r="M77" s="1005">
        <f>$G77*_xlfn.XLOOKUP($F77,'Baumaterialien Matériaux'!$A:$A,'Baumaterialien Matériaux'!AB:AB,0,0)</f>
        <v>0.19685</v>
      </c>
      <c r="N77" s="1005">
        <f>$G77*_xlfn.XLOOKUP($F77,'Baumaterialien Matériaux'!$A:$A,'Baumaterialien Matériaux'!AC:AC,0,0)*44/12</f>
        <v>0</v>
      </c>
      <c r="O77" s="1005">
        <f>$G77*_xlfn.XLOOKUP($F77,'Baumaterialien Matériaux'!$A:$A,'Baumaterialien Matériaux'!AG:AG,0,0)</f>
        <v>1.4492499999999999</v>
      </c>
      <c r="P77" s="1005">
        <f>$G77*_xlfn.XLOOKUP($F77,'Baumaterialien Matériaux'!$A:$A,'Baumaterialien Matériaux'!AH:AH,0,0)</f>
        <v>5.0685000000000001E-2</v>
      </c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1:79">
      <c r="A78" s="172"/>
      <c r="B78" s="1572"/>
      <c r="C78" s="181" t="s">
        <v>807</v>
      </c>
      <c r="D78" s="181" t="str">
        <f>VLOOKUP(F78,'Baumaterialien Matériaux'!$A$10:$AD$432,30,FALSE)</f>
        <v>Enduit en plâtre et en ciment</v>
      </c>
      <c r="E78" s="181" t="str">
        <f>VLOOKUP(F78,'Baumaterialien Matériaux'!$A$10:$AD$432,7,FALSE)</f>
        <v>kg</v>
      </c>
      <c r="F78" s="314" t="s">
        <v>760</v>
      </c>
      <c r="G78" s="182">
        <f>1550*0.0015</f>
        <v>2.3250000000000002</v>
      </c>
      <c r="H78" s="181"/>
      <c r="I78" s="618">
        <v>30</v>
      </c>
      <c r="J78" s="1319"/>
      <c r="K78" s="1319"/>
      <c r="L78" s="1006">
        <f>$G78*_xlfn.XLOOKUP($F78,'Baumaterialien Matériaux'!$A:$A,'Baumaterialien Matériaux'!AA:AA,0,0)</f>
        <v>0.58357500000000007</v>
      </c>
      <c r="M78" s="1006">
        <f>$G78*_xlfn.XLOOKUP($F78,'Baumaterialien Matériaux'!$A:$A,'Baumaterialien Matériaux'!AB:AB,0,0)</f>
        <v>2.9527500000000002E-2</v>
      </c>
      <c r="N78" s="1006">
        <f>$G78*_xlfn.XLOOKUP($F78,'Baumaterialien Matériaux'!$A:$A,'Baumaterialien Matériaux'!AC:AC,0,0)*44/12</f>
        <v>0</v>
      </c>
      <c r="O78" s="1006">
        <f>$G78*_xlfn.XLOOKUP($F78,'Baumaterialien Matériaux'!$A:$A,'Baumaterialien Matériaux'!AG:AG,0,0)</f>
        <v>0.36270000000000002</v>
      </c>
      <c r="P78" s="1006">
        <f>$G78*_xlfn.XLOOKUP($F78,'Baumaterialien Matériaux'!$A:$A,'Baumaterialien Matériaux'!AH:AH,0,0)</f>
        <v>7.6027500000000001E-3</v>
      </c>
    </row>
    <row r="79" spans="1:79">
      <c r="A79" s="172"/>
      <c r="B79" s="1573"/>
      <c r="C79" s="181" t="s">
        <v>761</v>
      </c>
      <c r="D79" s="181" t="str">
        <f>VLOOKUP(F79,'Baumaterialien Matériaux'!$A$10:$AD$432,30,FALSE)</f>
        <v>Enduit, diluable à l'eau, 2 couches</v>
      </c>
      <c r="E79" s="181" t="str">
        <f>VLOOKUP(F79,'Baumaterialien Matériaux'!$A$10:$AD$432,7,FALSE)</f>
        <v>m2</v>
      </c>
      <c r="F79" s="314" t="s">
        <v>762</v>
      </c>
      <c r="G79" s="182">
        <v>1</v>
      </c>
      <c r="H79" s="181"/>
      <c r="I79" s="619">
        <v>30</v>
      </c>
      <c r="J79" s="1319"/>
      <c r="K79" s="1319"/>
      <c r="L79" s="1007">
        <f>$G79*_xlfn.XLOOKUP($F79,'Baumaterialien Matériaux'!$A:$A,'Baumaterialien Matériaux'!AA:AA,0,0)</f>
        <v>0.64500000000000002</v>
      </c>
      <c r="M79" s="1007">
        <f>$G79*_xlfn.XLOOKUP($F79,'Baumaterialien Matériaux'!$A:$A,'Baumaterialien Matériaux'!AB:AB,0,0)</f>
        <v>5.62E-2</v>
      </c>
      <c r="N79" s="1007">
        <f>$G79*_xlfn.XLOOKUP($F79,'Baumaterialien Matériaux'!$A:$A,'Baumaterialien Matériaux'!AC:AC,0,0)*44/12</f>
        <v>0</v>
      </c>
      <c r="O79" s="1007">
        <f>$G79*_xlfn.XLOOKUP($F79,'Baumaterialien Matériaux'!$A:$A,'Baumaterialien Matériaux'!AG:AG,0,0)</f>
        <v>0.54400000000000004</v>
      </c>
      <c r="P79" s="1007">
        <f>$G79*_xlfn.XLOOKUP($F79,'Baumaterialien Matériaux'!$A:$A,'Baumaterialien Matériaux'!AH:AH,0,0)</f>
        <v>0.71599999999999997</v>
      </c>
    </row>
    <row r="80" spans="1:79" s="658" customFormat="1" ht="15.75" thickBot="1">
      <c r="A80" s="676"/>
      <c r="B80" s="662"/>
      <c r="F80" s="659"/>
      <c r="I80" s="672">
        <v>30</v>
      </c>
      <c r="J80" s="1321"/>
      <c r="K80" s="1321"/>
      <c r="L80" s="660">
        <f t="shared" ref="L80:N80" si="10">SUM(L77:L79)</f>
        <v>5.0725750000000005</v>
      </c>
      <c r="M80" s="660">
        <f t="shared" si="10"/>
        <v>0.28257750000000004</v>
      </c>
      <c r="N80" s="660">
        <f t="shared" si="10"/>
        <v>0</v>
      </c>
      <c r="O80" s="660">
        <f t="shared" ref="O80:P80" si="11">SUM(O77:O79)</f>
        <v>2.35595</v>
      </c>
      <c r="P80" s="660">
        <f t="shared" si="11"/>
        <v>0.77428774999999994</v>
      </c>
      <c r="Q80" s="3"/>
      <c r="R80" s="626">
        <f>(L80+M80)/I79</f>
        <v>0.17850508333333337</v>
      </c>
      <c r="S80" s="3">
        <v>0.2</v>
      </c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79" ht="15" thickTop="1">
      <c r="L81" s="132"/>
      <c r="M81" s="132"/>
      <c r="N81" s="132"/>
      <c r="O81" s="132"/>
      <c r="P81" s="132"/>
    </row>
    <row r="82" spans="1:79" s="145" customFormat="1" ht="15">
      <c r="B82" s="145" t="s">
        <v>808</v>
      </c>
      <c r="F82" s="714"/>
      <c r="I82" s="143"/>
      <c r="J82" s="1228"/>
      <c r="K82" s="1228"/>
      <c r="L82" s="763"/>
      <c r="M82" s="763"/>
      <c r="N82" s="763"/>
      <c r="O82" s="763"/>
      <c r="P82" s="763"/>
    </row>
    <row r="83" spans="1:79" s="178" customFormat="1" ht="15">
      <c r="A83" s="178" t="s">
        <v>809</v>
      </c>
      <c r="C83" s="178" t="s">
        <v>810</v>
      </c>
      <c r="D83" s="178" t="str">
        <f>VLOOKUP(F83,'Baumaterialien Matériaux'!$A$10:$AD$432,30,FALSE)</f>
        <v>Polystyrène expansé (EPS)</v>
      </c>
      <c r="E83" s="178" t="str">
        <f>VLOOKUP(F83,'Baumaterialien Matériaux'!$A$10:$AD$432,7,FALSE)</f>
        <v>kg</v>
      </c>
      <c r="F83" s="1317" t="s">
        <v>811</v>
      </c>
      <c r="G83" s="281">
        <f>0.2*16</f>
        <v>3.2</v>
      </c>
      <c r="I83" s="178">
        <v>30</v>
      </c>
      <c r="J83" s="1325"/>
      <c r="K83" s="1325"/>
      <c r="L83" s="281">
        <f>$G83*_xlfn.XLOOKUP($F83,'Baumaterialien Matériaux'!$A:$A,'Baumaterialien Matériaux'!AA:AA,0,0)</f>
        <v>14.432</v>
      </c>
      <c r="M83" s="281">
        <f>$G83*_xlfn.XLOOKUP($F83,'Baumaterialien Matériaux'!$A:$A,'Baumaterialien Matériaux'!AB:AB,0,0)</f>
        <v>9.8879999999999999</v>
      </c>
      <c r="N83" s="281">
        <f>$G83*_xlfn.XLOOKUP($F83,'Baumaterialien Matériaux'!$A:$A,'Baumaterialien Matériaux'!AC:AC,0,0)*44/12</f>
        <v>0</v>
      </c>
      <c r="O83" s="281">
        <f>$G83*_xlfn.XLOOKUP($F83,'Baumaterialien Matériaux'!$A:$A,'Baumaterialien Matériaux'!AG:AG,0,0)</f>
        <v>6.3680000000000003</v>
      </c>
      <c r="P83" s="1332">
        <f>$G83*_xlfn.XLOOKUP($F83,'Baumaterialien Matériaux'!$A:$A,'Baumaterialien Matériaux'!AH:AH,0,0)</f>
        <v>2.2591999999999999</v>
      </c>
      <c r="Q83" s="3"/>
      <c r="R83" s="626">
        <f>(L83+M83)/30</f>
        <v>0.81066666666666665</v>
      </c>
      <c r="S83" s="3"/>
      <c r="T83" s="1333"/>
      <c r="U83" s="3"/>
      <c r="V83" s="3"/>
      <c r="W83" s="3"/>
      <c r="X83" s="3"/>
    </row>
    <row r="84" spans="1:79" s="172" customFormat="1" ht="15">
      <c r="C84" s="1262"/>
      <c r="F84" s="1262"/>
      <c r="G84" s="1316"/>
      <c r="J84" s="1326"/>
      <c r="K84" s="1326"/>
      <c r="L84" s="1316"/>
      <c r="M84" s="1316"/>
      <c r="N84" s="1316"/>
      <c r="O84" s="1017"/>
      <c r="P84" s="1017"/>
      <c r="Q84" s="3"/>
      <c r="R84" s="3"/>
      <c r="S84" s="3"/>
      <c r="T84" s="1333"/>
      <c r="U84" s="3"/>
      <c r="V84" s="3"/>
      <c r="W84" s="3"/>
      <c r="X84" s="3"/>
    </row>
    <row r="85" spans="1:79" s="178" customFormat="1" ht="15">
      <c r="A85" s="178" t="s">
        <v>812</v>
      </c>
      <c r="C85" s="178" t="s">
        <v>813</v>
      </c>
      <c r="D85" s="178" t="str">
        <f>VLOOKUP(F85,'Baumaterialien Matériaux'!$A$10:$AD$432,30,FALSE)</f>
        <v>Laine de roche</v>
      </c>
      <c r="E85" s="178" t="str">
        <f>VLOOKUP(F85,'Baumaterialien Matériaux'!$A$10:$AD$432,7,FALSE)</f>
        <v>kg</v>
      </c>
      <c r="F85" s="178" t="s">
        <v>814</v>
      </c>
      <c r="G85" s="281">
        <f>0.22*48</f>
        <v>10.56</v>
      </c>
      <c r="I85" s="178">
        <v>30</v>
      </c>
      <c r="J85" s="1325"/>
      <c r="K85" s="1325"/>
      <c r="L85" s="281">
        <f>$G85*_xlfn.XLOOKUP($F85,'Baumaterialien Matériaux'!$A:$A,'Baumaterialien Matériaux'!AA:AA,0,0)</f>
        <v>11.9328</v>
      </c>
      <c r="M85" s="281">
        <f>$G85*_xlfn.XLOOKUP($F85,'Baumaterialien Matériaux'!$A:$A,'Baumaterialien Matériaux'!AB:AB,0,0)</f>
        <v>0.62515200000000004</v>
      </c>
      <c r="N85" s="281">
        <f>$G85*_xlfn.XLOOKUP($F85,'Baumaterialien Matériaux'!$A:$A,'Baumaterialien Matériaux'!AC:AC,0,0)*44/12</f>
        <v>0</v>
      </c>
      <c r="O85" s="281">
        <f>$G85*_xlfn.XLOOKUP($F85,'Baumaterialien Matériaux'!$A:$A,'Baumaterialien Matériaux'!AG:AG,0,0)</f>
        <v>6.0191999999999997</v>
      </c>
      <c r="P85" s="1332">
        <f>$G85*_xlfn.XLOOKUP($F85,'Baumaterialien Matériaux'!$A:$A,'Baumaterialien Matériaux'!AH:AH,0,0)</f>
        <v>3.6748800000000005E-2</v>
      </c>
      <c r="Q85" s="3"/>
      <c r="R85" s="626">
        <f>(L85+M85)/30</f>
        <v>0.41859839999999998</v>
      </c>
      <c r="S85" s="3"/>
      <c r="T85" s="1333"/>
      <c r="U85" s="3"/>
      <c r="V85" s="3"/>
      <c r="W85" s="3"/>
      <c r="X85" s="3"/>
    </row>
    <row r="86" spans="1:79" s="178" customFormat="1" ht="15">
      <c r="G86" s="281"/>
      <c r="J86" s="1325"/>
      <c r="K86" s="1325"/>
      <c r="L86" s="281"/>
      <c r="M86" s="281"/>
      <c r="N86" s="281"/>
      <c r="O86" s="281"/>
      <c r="P86" s="1332"/>
      <c r="Q86" s="3"/>
      <c r="R86" s="3"/>
      <c r="S86" s="3"/>
      <c r="T86" s="1333"/>
      <c r="U86" s="3"/>
      <c r="V86" s="3"/>
      <c r="W86" s="3"/>
      <c r="X86" s="3"/>
    </row>
    <row r="87" spans="1:79" s="178" customFormat="1" ht="15">
      <c r="A87" s="178" t="s">
        <v>815</v>
      </c>
      <c r="B87" s="1311"/>
      <c r="C87" s="178" t="s">
        <v>816</v>
      </c>
      <c r="D87" s="178" t="str">
        <f>VLOOKUP(F87,'Baumaterialien Matériaux'!$A$10:$AD$432,30,FALSE)</f>
        <v>Laine de roche</v>
      </c>
      <c r="E87" s="178" t="str">
        <f>VLOOKUP(F87,'Baumaterialien Matériaux'!$A$10:$AD$432,7,FALSE)</f>
        <v>kg</v>
      </c>
      <c r="F87" s="178" t="s">
        <v>814</v>
      </c>
      <c r="G87" s="281">
        <f>0.22*80</f>
        <v>17.600000000000001</v>
      </c>
      <c r="I87" s="178">
        <v>30</v>
      </c>
      <c r="J87" s="1325"/>
      <c r="K87" s="1325"/>
      <c r="L87" s="281">
        <f>$G87*_xlfn.XLOOKUP($F87,'Baumaterialien Matériaux'!$A:$A,'Baumaterialien Matériaux'!AA:AA,0,0)</f>
        <v>19.887999999999998</v>
      </c>
      <c r="M87" s="281">
        <f>$G87*_xlfn.XLOOKUP($F87,'Baumaterialien Matériaux'!$A:$A,'Baumaterialien Matériaux'!AB:AB,0,0)</f>
        <v>1.0419200000000002</v>
      </c>
      <c r="N87" s="281">
        <f>$G87*_xlfn.XLOOKUP($F87,'Baumaterialien Matériaux'!$A:$A,'Baumaterialien Matériaux'!AC:AC,0,0)*44/12</f>
        <v>0</v>
      </c>
      <c r="O87" s="281">
        <f>$G87*_xlfn.XLOOKUP($F87,'Baumaterialien Matériaux'!$A:$A,'Baumaterialien Matériaux'!AG:AG,0,0)</f>
        <v>10.032</v>
      </c>
      <c r="P87" s="1332">
        <f>$G87*_xlfn.XLOOKUP($F87,'Baumaterialien Matériaux'!$A:$A,'Baumaterialien Matériaux'!AH:AH,0,0)</f>
        <v>6.1248000000000004E-2</v>
      </c>
      <c r="Q87" s="3"/>
      <c r="R87" s="626">
        <f>(L87+M87)/30</f>
        <v>0.69766399999999995</v>
      </c>
      <c r="S87" s="3"/>
      <c r="T87" s="1333"/>
      <c r="U87" s="3"/>
      <c r="V87" s="3"/>
      <c r="W87" s="3"/>
      <c r="X87" s="3"/>
    </row>
    <row r="88" spans="1:79" s="178" customFormat="1" ht="15">
      <c r="B88" s="1311"/>
      <c r="G88" s="281"/>
      <c r="J88" s="1325"/>
      <c r="K88" s="1325"/>
      <c r="L88" s="281"/>
      <c r="M88" s="281"/>
      <c r="N88" s="281"/>
      <c r="O88" s="281"/>
      <c r="P88" s="1332"/>
      <c r="Q88" s="3"/>
      <c r="R88" s="3"/>
      <c r="S88" s="3"/>
      <c r="T88" s="1333"/>
      <c r="U88" s="3"/>
      <c r="V88" s="3"/>
      <c r="W88" s="3"/>
      <c r="X88" s="3"/>
    </row>
    <row r="89" spans="1:79" s="178" customFormat="1">
      <c r="A89" s="178" t="s">
        <v>817</v>
      </c>
      <c r="C89" s="178" t="s">
        <v>818</v>
      </c>
      <c r="D89" s="178" t="str">
        <f>VLOOKUP(F89,'Baumaterialien Matériaux'!$A$10:$AD$432,30,FALSE)</f>
        <v>Laine de verre</v>
      </c>
      <c r="E89" s="178" t="str">
        <f>VLOOKUP(F89,'Baumaterialien Matériaux'!$A$10:$AD$432,7,FALSE)</f>
        <v>kg</v>
      </c>
      <c r="F89" s="178" t="s">
        <v>819</v>
      </c>
      <c r="G89" s="281">
        <f>0.2*38</f>
        <v>7.6000000000000005</v>
      </c>
      <c r="I89" s="178">
        <v>30</v>
      </c>
      <c r="J89" s="1319"/>
      <c r="K89" s="1319"/>
      <c r="L89" s="281">
        <f>$G89*_xlfn.XLOOKUP($F89,'Baumaterialien Matériaux'!$A:$A,'Baumaterialien Matériaux'!AA:AA,0,0)</f>
        <v>7.9040000000000008</v>
      </c>
      <c r="M89" s="281">
        <f>$G89*_xlfn.XLOOKUP($F89,'Baumaterialien Matériaux'!$A:$A,'Baumaterialien Matériaux'!AB:AB,0,0)</f>
        <v>0.44992000000000004</v>
      </c>
      <c r="N89" s="281">
        <f>$G89*_xlfn.XLOOKUP($F89,'Baumaterialien Matériaux'!$A:$A,'Baumaterialien Matériaux'!AC:AC,0,0)*44/12</f>
        <v>0</v>
      </c>
      <c r="O89" s="281">
        <f>$G89*_xlfn.XLOOKUP($F89,'Baumaterialien Matériaux'!$A:$A,'Baumaterialien Matériaux'!AG:AG,0,0)</f>
        <v>3.2072000000000003</v>
      </c>
      <c r="P89" s="1332">
        <f>$G89*_xlfn.XLOOKUP($F89,'Baumaterialien Matériaux'!$A:$A,'Baumaterialien Matériaux'!AH:AH,0,0)</f>
        <v>2.6448000000000003E-2</v>
      </c>
      <c r="Q89" s="3"/>
      <c r="R89" s="626">
        <f>(L89+M89)/30</f>
        <v>0.27846399999999999</v>
      </c>
      <c r="S89" s="3"/>
      <c r="T89" s="1333"/>
      <c r="U89" s="3"/>
      <c r="V89" s="3"/>
      <c r="W89" s="3"/>
      <c r="X89" s="3"/>
    </row>
    <row r="90" spans="1:79" s="172" customFormat="1" ht="15">
      <c r="F90" s="690"/>
      <c r="J90" s="1228"/>
      <c r="K90" s="1228"/>
      <c r="L90" s="691"/>
      <c r="M90" s="691"/>
      <c r="N90" s="691"/>
      <c r="O90" s="691"/>
      <c r="P90" s="691"/>
    </row>
    <row r="91" spans="1:79" s="1226" customFormat="1" ht="15">
      <c r="B91" s="1226" t="str">
        <f>'Outil détaillé'!D22</f>
        <v>Fenetres et portes</v>
      </c>
      <c r="F91" s="1227"/>
      <c r="J91" s="1228"/>
      <c r="K91" s="1228"/>
      <c r="L91" s="1229"/>
      <c r="M91" s="1229"/>
      <c r="N91" s="1229"/>
      <c r="O91" s="1229"/>
      <c r="P91" s="1229"/>
    </row>
    <row r="92" spans="1:79" s="1230" customFormat="1" ht="17.25">
      <c r="A92" s="1231" t="s">
        <v>272</v>
      </c>
      <c r="C92" s="1231"/>
      <c r="D92" s="1231"/>
      <c r="E92" s="1231"/>
      <c r="F92" s="1232"/>
      <c r="G92" s="1231" t="s">
        <v>750</v>
      </c>
      <c r="H92" s="1231"/>
      <c r="J92" s="1324"/>
      <c r="K92" s="1324"/>
      <c r="L92" s="1233"/>
      <c r="M92" s="1233"/>
      <c r="N92" s="1233"/>
      <c r="O92" s="1233"/>
      <c r="P92" s="1233"/>
    </row>
    <row r="93" spans="1:79" ht="15.75" customHeight="1">
      <c r="L93" s="132"/>
      <c r="M93" s="132"/>
      <c r="N93" s="132"/>
      <c r="O93" s="132"/>
      <c r="P93" s="132"/>
    </row>
    <row r="94" spans="1:79" s="643" customFormat="1">
      <c r="A94" s="1282" t="s">
        <v>3823</v>
      </c>
      <c r="B94" s="1568" t="s">
        <v>820</v>
      </c>
      <c r="C94" s="624" t="s">
        <v>821</v>
      </c>
      <c r="D94" s="624" t="str">
        <f>VLOOKUP(F94,'Baumaterialien Matériaux'!$A$10:$AD$432,30,FALSE)</f>
        <v>Cadre en matière synthétique (PVC) 2</v>
      </c>
      <c r="E94" s="624" t="str">
        <f>VLOOKUP(F94,'Baumaterialien Matériaux'!$A$10:$AD$432,7,FALSE)</f>
        <v>m2</v>
      </c>
      <c r="F94" s="689" t="s">
        <v>1648</v>
      </c>
      <c r="G94" s="625">
        <v>1</v>
      </c>
      <c r="H94" s="624"/>
      <c r="I94" s="624">
        <v>30</v>
      </c>
      <c r="J94" s="1319"/>
      <c r="K94" s="1319"/>
      <c r="L94" s="625">
        <f>$G94*_xlfn.XLOOKUP($F94,'Baumaterialien Matériaux'!$A:$A,'Baumaterialien Matériaux'!AA:AA,0,0)</f>
        <v>53.2</v>
      </c>
      <c r="M94" s="625">
        <f>$G94*_xlfn.XLOOKUP($F94,'Baumaterialien Matériaux'!$A:$A,'Baumaterialien Matériaux'!AB:AB,0,0)</f>
        <v>10.199999999999999</v>
      </c>
      <c r="N94" s="625">
        <f>$G94*_xlfn.XLOOKUP($F94,'Baumaterialien Matériaux'!$A:$A,'Baumaterialien Matériaux'!AC:AC,0,0)*44/12</f>
        <v>0</v>
      </c>
      <c r="O94" s="625">
        <f>$G94*_xlfn.XLOOKUP($F94,'Baumaterialien Matériaux'!$A:$A,'Baumaterialien Matériaux'!AG:AG,0,0)</f>
        <v>85.4</v>
      </c>
      <c r="P94" s="625">
        <f>$G94*_xlfn.XLOOKUP($F94,'Baumaterialien Matériaux'!$A:$A,'Baumaterialien Matériaux'!AH:AH,0,0)</f>
        <v>18.399999999999999</v>
      </c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B94" s="626"/>
      <c r="AC94" s="626"/>
      <c r="AD94" s="626"/>
      <c r="AE94" s="626"/>
      <c r="AF94" s="626"/>
      <c r="AG94" s="626"/>
      <c r="AH94" s="626"/>
      <c r="AI94" s="626"/>
      <c r="AJ94" s="626"/>
      <c r="AK94" s="626"/>
      <c r="AL94" s="626"/>
      <c r="AM94" s="626"/>
      <c r="AN94" s="626"/>
      <c r="AO94" s="626"/>
      <c r="AP94" s="626"/>
      <c r="AQ94" s="626"/>
      <c r="AR94" s="626"/>
      <c r="AS94" s="626"/>
      <c r="AT94" s="626"/>
      <c r="AU94" s="626"/>
      <c r="AV94" s="626"/>
      <c r="AW94" s="626"/>
      <c r="AX94" s="626"/>
      <c r="AY94" s="626"/>
      <c r="AZ94" s="626"/>
      <c r="BA94" s="626"/>
      <c r="BB94" s="626"/>
      <c r="BC94" s="626"/>
      <c r="BD94" s="626"/>
      <c r="BE94" s="626"/>
      <c r="BF94" s="626"/>
      <c r="BG94" s="626"/>
      <c r="BH94" s="626"/>
      <c r="BI94" s="626"/>
      <c r="BJ94" s="626"/>
      <c r="BK94" s="626"/>
      <c r="BL94" s="626"/>
      <c r="BM94" s="626"/>
      <c r="BN94" s="626"/>
      <c r="BO94" s="626"/>
      <c r="BP94" s="626"/>
      <c r="BQ94" s="626"/>
      <c r="BR94" s="626"/>
      <c r="BS94" s="626"/>
      <c r="BT94" s="626"/>
      <c r="BU94" s="626"/>
      <c r="BV94" s="626"/>
      <c r="BW94" s="626"/>
      <c r="BX94" s="626"/>
      <c r="BY94" s="626"/>
      <c r="BZ94" s="626"/>
      <c r="CA94" s="626"/>
    </row>
    <row r="95" spans="1:79" s="626" customFormat="1">
      <c r="B95" s="1568"/>
      <c r="C95" s="624" t="s">
        <v>823</v>
      </c>
      <c r="D95" s="624" t="str">
        <f>VLOOKUP(F95,'Baumaterialien Matériaux'!$A$10:$AD$432,30,FALSE)</f>
        <v>Triple vitrage, U&lt;0.6 W/m2K, épaisseur 40 mm 3</v>
      </c>
      <c r="E95" s="624" t="str">
        <f>VLOOKUP(F95,'Baumaterialien Matériaux'!$A$10:$AD$432,7,FALSE)</f>
        <v>m2</v>
      </c>
      <c r="F95" s="654" t="s">
        <v>824</v>
      </c>
      <c r="G95" s="625">
        <v>0.78</v>
      </c>
      <c r="H95" s="624"/>
      <c r="I95" s="624">
        <v>30</v>
      </c>
      <c r="J95" s="1319"/>
      <c r="K95" s="1319"/>
      <c r="L95" s="625">
        <f>$G95*_xlfn.XLOOKUP($F95,'Baumaterialien Matériaux'!$A:$A,'Baumaterialien Matériaux'!AA:AA,0,0)</f>
        <v>48.438000000000002</v>
      </c>
      <c r="M95" s="625">
        <f>$G95*_xlfn.XLOOKUP($F95,'Baumaterialien Matériaux'!$A:$A,'Baumaterialien Matériaux'!AB:AB,0,0)</f>
        <v>4.4460000000000006</v>
      </c>
      <c r="N95" s="625">
        <f>$G95*_xlfn.XLOOKUP($F95,'Baumaterialien Matériaux'!$A:$A,'Baumaterialien Matériaux'!AC:AC,0,0)*44/12</f>
        <v>0</v>
      </c>
      <c r="O95" s="625">
        <f>$G95*_xlfn.XLOOKUP($F95,'Baumaterialien Matériaux'!$A:$A,'Baumaterialien Matériaux'!AG:AG,0,0)</f>
        <v>12.714</v>
      </c>
      <c r="P95" s="625">
        <f>$G95*_xlfn.XLOOKUP($F95,'Baumaterialien Matériaux'!$A:$A,'Baumaterialien Matériaux'!AH:AH,0,0)</f>
        <v>4.68</v>
      </c>
    </row>
    <row r="96" spans="1:79" s="626" customFormat="1">
      <c r="B96" s="1568"/>
      <c r="C96" s="624" t="s">
        <v>825</v>
      </c>
      <c r="D96" s="624" t="str">
        <f>VLOOKUP(F96,'Baumaterialien Matériaux'!$A$10:$AD$432,30,FALSE)</f>
        <v>Protection solaire, stores vénitiens avec moteur 4</v>
      </c>
      <c r="E96" s="624" t="str">
        <f>VLOOKUP(F96,'Baumaterialien Matériaux'!$A$10:$AD$432,7,FALSE)</f>
        <v>m2</v>
      </c>
      <c r="F96" s="654" t="s">
        <v>826</v>
      </c>
      <c r="G96" s="625">
        <v>1</v>
      </c>
      <c r="H96" s="624"/>
      <c r="I96" s="624">
        <v>30</v>
      </c>
      <c r="J96" s="1319"/>
      <c r="K96" s="1319"/>
      <c r="L96" s="625">
        <f>$G96*_xlfn.XLOOKUP($F96,'Baumaterialien Matériaux'!$A:$A,'Baumaterialien Matériaux'!AA:AA,0,0)</f>
        <v>58.5</v>
      </c>
      <c r="M96" s="625">
        <f>$G96*_xlfn.XLOOKUP($F96,'Baumaterialien Matériaux'!$A:$A,'Baumaterialien Matériaux'!AB:AB,0,0)</f>
        <v>1.47</v>
      </c>
      <c r="N96" s="625">
        <f>$G96*_xlfn.XLOOKUP($F96,'Baumaterialien Matériaux'!$A:$A,'Baumaterialien Matériaux'!AC:AC,0,0)*44/12</f>
        <v>0</v>
      </c>
      <c r="O96" s="625">
        <f>$G96*_xlfn.XLOOKUP($F96,'Baumaterialien Matériaux'!$A:$A,'Baumaterialien Matériaux'!AG:AG,0,0)</f>
        <v>31.3</v>
      </c>
      <c r="P96" s="625">
        <f>$G96*_xlfn.XLOOKUP($F96,'Baumaterialien Matériaux'!$A:$A,'Baumaterialien Matériaux'!AH:AH,0,0)</f>
        <v>0.26</v>
      </c>
    </row>
    <row r="97" spans="1:79" s="663" customFormat="1" ht="15.75" thickBot="1">
      <c r="B97" s="664"/>
      <c r="F97" s="665"/>
      <c r="I97" s="675">
        <v>30</v>
      </c>
      <c r="J97" s="1321"/>
      <c r="K97" s="1321"/>
      <c r="L97" s="667">
        <f t="shared" ref="L97:N97" si="12">SUM(L94:L96)</f>
        <v>160.13800000000001</v>
      </c>
      <c r="M97" s="667">
        <f t="shared" si="12"/>
        <v>16.116</v>
      </c>
      <c r="N97" s="667">
        <f t="shared" si="12"/>
        <v>0</v>
      </c>
      <c r="O97" s="667">
        <f t="shared" ref="O97:P97" si="13">SUM(O94:O96)</f>
        <v>129.41400000000002</v>
      </c>
      <c r="P97" s="667">
        <f t="shared" si="13"/>
        <v>23.34</v>
      </c>
      <c r="Q97" s="626"/>
      <c r="R97" s="626">
        <f>(L97+M97)/I96</f>
        <v>5.8751333333333342</v>
      </c>
      <c r="S97" s="626">
        <v>5.24</v>
      </c>
      <c r="T97" s="626"/>
      <c r="U97" s="626"/>
      <c r="V97" s="626"/>
      <c r="W97" s="626"/>
      <c r="X97" s="626"/>
      <c r="Y97" s="626"/>
      <c r="Z97" s="626"/>
      <c r="AA97" s="626"/>
      <c r="AB97" s="626"/>
      <c r="AC97" s="626"/>
      <c r="AD97" s="626"/>
      <c r="AE97" s="626"/>
      <c r="AF97" s="626"/>
      <c r="AG97" s="626"/>
      <c r="AH97" s="626"/>
      <c r="AI97" s="626"/>
      <c r="AJ97" s="626"/>
      <c r="AK97" s="626"/>
      <c r="AL97" s="626"/>
      <c r="AM97" s="626"/>
      <c r="AN97" s="626"/>
      <c r="AO97" s="626"/>
      <c r="AP97" s="626"/>
      <c r="AQ97" s="626"/>
      <c r="AR97" s="626"/>
      <c r="AS97" s="626"/>
      <c r="AT97" s="626"/>
      <c r="AU97" s="626"/>
      <c r="AV97" s="626"/>
      <c r="AW97" s="626"/>
      <c r="AX97" s="626"/>
      <c r="AY97" s="626"/>
      <c r="AZ97" s="626"/>
      <c r="BA97" s="626"/>
      <c r="BB97" s="626"/>
      <c r="BC97" s="626"/>
      <c r="BD97" s="626"/>
      <c r="BE97" s="626"/>
      <c r="BF97" s="626"/>
      <c r="BG97" s="626"/>
      <c r="BH97" s="626"/>
      <c r="BI97" s="626"/>
      <c r="BJ97" s="626"/>
      <c r="BK97" s="626"/>
      <c r="BL97" s="626"/>
      <c r="BM97" s="626"/>
      <c r="BN97" s="626"/>
      <c r="BO97" s="626"/>
      <c r="BP97" s="626"/>
      <c r="BQ97" s="626"/>
      <c r="BR97" s="626"/>
      <c r="BS97" s="626"/>
      <c r="BT97" s="626"/>
      <c r="BU97" s="626"/>
      <c r="BV97" s="626"/>
      <c r="BW97" s="626"/>
      <c r="BX97" s="626"/>
      <c r="BY97" s="626"/>
      <c r="BZ97" s="626"/>
      <c r="CA97" s="626"/>
    </row>
    <row r="98" spans="1:79" s="1488" customFormat="1" ht="15.75" thickTop="1">
      <c r="F98" s="1489"/>
      <c r="I98" s="1490"/>
      <c r="J98" s="1491"/>
      <c r="K98" s="1491"/>
      <c r="L98" s="1491"/>
      <c r="M98" s="1491"/>
      <c r="N98" s="1491"/>
      <c r="O98" s="1491"/>
      <c r="P98" s="1491"/>
      <c r="Q98" s="1492"/>
      <c r="R98" s="1492"/>
      <c r="S98" s="1492"/>
      <c r="T98" s="1492"/>
      <c r="U98" s="1492"/>
      <c r="V98" s="1492"/>
      <c r="W98" s="1492"/>
      <c r="X98" s="1492"/>
      <c r="Y98" s="1492"/>
      <c r="Z98" s="1492"/>
      <c r="AA98" s="1492"/>
      <c r="AB98" s="1492"/>
      <c r="AC98" s="1492"/>
      <c r="AD98" s="1492"/>
      <c r="AE98" s="1492"/>
      <c r="AF98" s="1492"/>
      <c r="AG98" s="1492"/>
      <c r="AH98" s="1492"/>
      <c r="AI98" s="1492"/>
      <c r="AJ98" s="1492"/>
      <c r="AK98" s="1492"/>
      <c r="AL98" s="1492"/>
      <c r="AM98" s="1492"/>
      <c r="AN98" s="1492"/>
      <c r="AO98" s="1492"/>
      <c r="AP98" s="1492"/>
      <c r="AQ98" s="1492"/>
      <c r="AR98" s="1492"/>
      <c r="AS98" s="1492"/>
      <c r="AT98" s="1492"/>
      <c r="AU98" s="1492"/>
      <c r="AV98" s="1492"/>
      <c r="AW98" s="1492"/>
      <c r="AX98" s="1492"/>
      <c r="AY98" s="1492"/>
      <c r="AZ98" s="1492"/>
      <c r="BA98" s="1492"/>
      <c r="BB98" s="1492"/>
      <c r="BC98" s="1492"/>
      <c r="BD98" s="1492"/>
      <c r="BE98" s="1492"/>
      <c r="BF98" s="1492"/>
      <c r="BG98" s="1492"/>
      <c r="BH98" s="1492"/>
      <c r="BI98" s="1492"/>
      <c r="BJ98" s="1492"/>
      <c r="BK98" s="1492"/>
      <c r="BL98" s="1492"/>
      <c r="BM98" s="1492"/>
      <c r="BN98" s="1492"/>
      <c r="BO98" s="1492"/>
      <c r="BP98" s="1492"/>
      <c r="BQ98" s="1492"/>
      <c r="BR98" s="1492"/>
      <c r="BS98" s="1492"/>
      <c r="BT98" s="1492"/>
      <c r="BU98" s="1492"/>
      <c r="BV98" s="1492"/>
      <c r="BW98" s="1492"/>
      <c r="BX98" s="1492"/>
      <c r="BY98" s="1492"/>
      <c r="BZ98" s="1492"/>
      <c r="CA98" s="1492"/>
    </row>
    <row r="99" spans="1:79" s="643" customFormat="1">
      <c r="A99" s="1282" t="s">
        <v>3821</v>
      </c>
      <c r="B99" s="1568" t="s">
        <v>820</v>
      </c>
      <c r="C99" s="624" t="s">
        <v>821</v>
      </c>
      <c r="D99" s="624" t="str">
        <f>VLOOKUP(F99,'Baumaterialien Matériaux'!$A$10:$AD$432,30,FALSE)</f>
        <v>Cadre de fenêtre bois-métal</v>
      </c>
      <c r="E99" s="624" t="str">
        <f>VLOOKUP(F99,'Baumaterialien Matériaux'!$A$10:$AD$432,7,FALSE)</f>
        <v>m2</v>
      </c>
      <c r="F99" s="689" t="s">
        <v>822</v>
      </c>
      <c r="G99" s="625">
        <v>1</v>
      </c>
      <c r="H99" s="624"/>
      <c r="I99" s="624">
        <v>30</v>
      </c>
      <c r="J99" s="1319"/>
      <c r="K99" s="1319"/>
      <c r="L99" s="625">
        <f>$G99*_xlfn.XLOOKUP($F99,'Baumaterialien Matériaux'!$A:$A,'Baumaterialien Matériaux'!AA:AA,0,0)</f>
        <v>58.6</v>
      </c>
      <c r="M99" s="625">
        <f>$G99*_xlfn.XLOOKUP($F99,'Baumaterialien Matériaux'!$A:$A,'Baumaterialien Matériaux'!AB:AB,0,0)</f>
        <v>7.11</v>
      </c>
      <c r="N99" s="625">
        <f>$G99*_xlfn.XLOOKUP($F99,'Baumaterialien Matériaux'!$A:$A,'Baumaterialien Matériaux'!AC:AC,0,0)*44/12</f>
        <v>22.916666666666668</v>
      </c>
      <c r="O99" s="625">
        <f>$G99*_xlfn.XLOOKUP($F99,'Baumaterialien Matériaux'!$A:$A,'Baumaterialien Matériaux'!AG:AG,0,0)</f>
        <v>95.4</v>
      </c>
      <c r="P99" s="625">
        <f>$G99*_xlfn.XLOOKUP($F99,'Baumaterialien Matériaux'!$A:$A,'Baumaterialien Matériaux'!AH:AH,0,0)</f>
        <v>22.8</v>
      </c>
      <c r="Q99" s="626"/>
      <c r="R99" s="626"/>
      <c r="S99" s="626"/>
      <c r="T99" s="626"/>
      <c r="U99" s="626"/>
      <c r="V99" s="626"/>
      <c r="W99" s="626"/>
      <c r="X99" s="626"/>
      <c r="Y99" s="626"/>
      <c r="Z99" s="626"/>
      <c r="AA99" s="626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  <c r="AN99" s="626"/>
      <c r="AO99" s="626"/>
      <c r="AP99" s="626"/>
      <c r="AQ99" s="626"/>
      <c r="AR99" s="626"/>
      <c r="AS99" s="626"/>
      <c r="AT99" s="626"/>
      <c r="AU99" s="626"/>
      <c r="AV99" s="626"/>
      <c r="AW99" s="626"/>
      <c r="AX99" s="626"/>
      <c r="AY99" s="626"/>
      <c r="AZ99" s="626"/>
      <c r="BA99" s="626"/>
      <c r="BB99" s="626"/>
      <c r="BC99" s="626"/>
      <c r="BD99" s="626"/>
      <c r="BE99" s="626"/>
      <c r="BF99" s="626"/>
      <c r="BG99" s="626"/>
      <c r="BH99" s="626"/>
      <c r="BI99" s="626"/>
      <c r="BJ99" s="626"/>
      <c r="BK99" s="626"/>
      <c r="BL99" s="626"/>
      <c r="BM99" s="626"/>
      <c r="BN99" s="626"/>
      <c r="BO99" s="626"/>
      <c r="BP99" s="626"/>
      <c r="BQ99" s="626"/>
      <c r="BR99" s="626"/>
      <c r="BS99" s="626"/>
      <c r="BT99" s="626"/>
      <c r="BU99" s="626"/>
      <c r="BV99" s="626"/>
      <c r="BW99" s="626"/>
      <c r="BX99" s="626"/>
      <c r="BY99" s="626"/>
      <c r="BZ99" s="626"/>
      <c r="CA99" s="626"/>
    </row>
    <row r="100" spans="1:79" s="626" customFormat="1">
      <c r="B100" s="1568"/>
      <c r="C100" s="624" t="s">
        <v>823</v>
      </c>
      <c r="D100" s="624" t="str">
        <f>VLOOKUP(F100,'Baumaterialien Matériaux'!$A$10:$AD$432,30,FALSE)</f>
        <v>Triple vitrage, U&lt;0.6 W/m2K, épaisseur 40 mm 3</v>
      </c>
      <c r="E100" s="624" t="str">
        <f>VLOOKUP(F100,'Baumaterialien Matériaux'!$A$10:$AD$432,7,FALSE)</f>
        <v>m2</v>
      </c>
      <c r="F100" s="654" t="s">
        <v>824</v>
      </c>
      <c r="G100" s="625">
        <v>0.78</v>
      </c>
      <c r="H100" s="624"/>
      <c r="I100" s="624">
        <v>30</v>
      </c>
      <c r="J100" s="1319"/>
      <c r="K100" s="1319"/>
      <c r="L100" s="625">
        <f>$G100*_xlfn.XLOOKUP($F100,'Baumaterialien Matériaux'!$A:$A,'Baumaterialien Matériaux'!AA:AA,0,0)</f>
        <v>48.438000000000002</v>
      </c>
      <c r="M100" s="625">
        <f>$G100*_xlfn.XLOOKUP($F100,'Baumaterialien Matériaux'!$A:$A,'Baumaterialien Matériaux'!AB:AB,0,0)</f>
        <v>4.4460000000000006</v>
      </c>
      <c r="N100" s="625">
        <f>$G100*_xlfn.XLOOKUP($F100,'Baumaterialien Matériaux'!$A:$A,'Baumaterialien Matériaux'!AC:AC,0,0)*44/12</f>
        <v>0</v>
      </c>
      <c r="O100" s="625">
        <f>$G100*_xlfn.XLOOKUP($F100,'Baumaterialien Matériaux'!$A:$A,'Baumaterialien Matériaux'!AG:AG,0,0)</f>
        <v>12.714</v>
      </c>
      <c r="P100" s="625">
        <f>$G100*_xlfn.XLOOKUP($F100,'Baumaterialien Matériaux'!$A:$A,'Baumaterialien Matériaux'!AH:AH,0,0)</f>
        <v>4.68</v>
      </c>
    </row>
    <row r="101" spans="1:79" s="626" customFormat="1">
      <c r="B101" s="1568"/>
      <c r="C101" s="624" t="s">
        <v>825</v>
      </c>
      <c r="D101" s="624" t="str">
        <f>VLOOKUP(F101,'Baumaterialien Matériaux'!$A$10:$AD$432,30,FALSE)</f>
        <v>Protection solaire, stores vénitiens avec moteur 4</v>
      </c>
      <c r="E101" s="624" t="str">
        <f>VLOOKUP(F101,'Baumaterialien Matériaux'!$A$10:$AD$432,7,FALSE)</f>
        <v>m2</v>
      </c>
      <c r="F101" s="654" t="s">
        <v>826</v>
      </c>
      <c r="G101" s="625">
        <v>1</v>
      </c>
      <c r="H101" s="624"/>
      <c r="I101" s="624">
        <v>30</v>
      </c>
      <c r="J101" s="1319"/>
      <c r="K101" s="1319"/>
      <c r="L101" s="625">
        <f>$G101*_xlfn.XLOOKUP($F101,'Baumaterialien Matériaux'!$A:$A,'Baumaterialien Matériaux'!AA:AA,0,0)</f>
        <v>58.5</v>
      </c>
      <c r="M101" s="625">
        <f>$G101*_xlfn.XLOOKUP($F101,'Baumaterialien Matériaux'!$A:$A,'Baumaterialien Matériaux'!AB:AB,0,0)</f>
        <v>1.47</v>
      </c>
      <c r="N101" s="625">
        <f>$G101*_xlfn.XLOOKUP($F101,'Baumaterialien Matériaux'!$A:$A,'Baumaterialien Matériaux'!AC:AC,0,0)*44/12</f>
        <v>0</v>
      </c>
      <c r="O101" s="625">
        <f>$G101*_xlfn.XLOOKUP($F101,'Baumaterialien Matériaux'!$A:$A,'Baumaterialien Matériaux'!AG:AG,0,0)</f>
        <v>31.3</v>
      </c>
      <c r="P101" s="625">
        <f>$G101*_xlfn.XLOOKUP($F101,'Baumaterialien Matériaux'!$A:$A,'Baumaterialien Matériaux'!AH:AH,0,0)</f>
        <v>0.26</v>
      </c>
    </row>
    <row r="102" spans="1:79" s="663" customFormat="1" ht="15.75" thickBot="1">
      <c r="B102" s="664"/>
      <c r="F102" s="665"/>
      <c r="I102" s="675">
        <v>30</v>
      </c>
      <c r="J102" s="1321"/>
      <c r="K102" s="1321"/>
      <c r="L102" s="667">
        <f t="shared" ref="L102:P102" si="14">SUM(L99:L101)</f>
        <v>165.53800000000001</v>
      </c>
      <c r="M102" s="667">
        <f t="shared" si="14"/>
        <v>13.026000000000002</v>
      </c>
      <c r="N102" s="667">
        <f t="shared" si="14"/>
        <v>22.916666666666668</v>
      </c>
      <c r="O102" s="667">
        <f t="shared" si="14"/>
        <v>139.41400000000002</v>
      </c>
      <c r="P102" s="667">
        <f t="shared" si="14"/>
        <v>27.740000000000002</v>
      </c>
      <c r="Q102" s="626"/>
      <c r="R102" s="626">
        <f>(L102+M102)/I101</f>
        <v>5.9521333333333342</v>
      </c>
      <c r="S102" s="626">
        <v>5.24</v>
      </c>
      <c r="T102" s="626"/>
      <c r="U102" s="626"/>
      <c r="V102" s="626"/>
      <c r="W102" s="626"/>
      <c r="X102" s="626"/>
      <c r="Y102" s="626"/>
      <c r="Z102" s="626"/>
      <c r="AA102" s="626"/>
      <c r="AB102" s="626"/>
      <c r="AC102" s="626"/>
      <c r="AD102" s="626"/>
      <c r="AE102" s="626"/>
      <c r="AF102" s="626"/>
      <c r="AG102" s="626"/>
      <c r="AH102" s="626"/>
      <c r="AI102" s="626"/>
      <c r="AJ102" s="626"/>
      <c r="AK102" s="626"/>
      <c r="AL102" s="626"/>
      <c r="AM102" s="626"/>
      <c r="AN102" s="626"/>
      <c r="AO102" s="626"/>
      <c r="AP102" s="626"/>
      <c r="AQ102" s="626"/>
      <c r="AR102" s="626"/>
      <c r="AS102" s="626"/>
      <c r="AT102" s="626"/>
      <c r="AU102" s="626"/>
      <c r="AV102" s="626"/>
      <c r="AW102" s="626"/>
      <c r="AX102" s="626"/>
      <c r="AY102" s="626"/>
      <c r="AZ102" s="626"/>
      <c r="BA102" s="626"/>
      <c r="BB102" s="626"/>
      <c r="BC102" s="626"/>
      <c r="BD102" s="626"/>
      <c r="BE102" s="626"/>
      <c r="BF102" s="626"/>
      <c r="BG102" s="626"/>
      <c r="BH102" s="626"/>
      <c r="BI102" s="626"/>
      <c r="BJ102" s="626"/>
      <c r="BK102" s="626"/>
      <c r="BL102" s="626"/>
      <c r="BM102" s="626"/>
      <c r="BN102" s="626"/>
      <c r="BO102" s="626"/>
      <c r="BP102" s="626"/>
      <c r="BQ102" s="626"/>
      <c r="BR102" s="626"/>
      <c r="BS102" s="626"/>
      <c r="BT102" s="626"/>
      <c r="BU102" s="626"/>
      <c r="BV102" s="626"/>
      <c r="BW102" s="626"/>
      <c r="BX102" s="626"/>
      <c r="BY102" s="626"/>
      <c r="BZ102" s="626"/>
      <c r="CA102" s="626"/>
    </row>
    <row r="103" spans="1:79" s="1488" customFormat="1" ht="15.75" thickTop="1">
      <c r="F103" s="1489"/>
      <c r="I103" s="1490"/>
      <c r="J103" s="1491"/>
      <c r="K103" s="1491"/>
      <c r="L103" s="1491"/>
      <c r="M103" s="1491"/>
      <c r="N103" s="1491"/>
      <c r="O103" s="1491"/>
      <c r="P103" s="1491"/>
      <c r="Q103" s="1492"/>
      <c r="R103" s="1492"/>
      <c r="S103" s="1492"/>
      <c r="T103" s="1492"/>
      <c r="U103" s="1492"/>
      <c r="V103" s="1492"/>
      <c r="W103" s="1492"/>
      <c r="X103" s="1492"/>
      <c r="Y103" s="1492"/>
      <c r="Z103" s="1492"/>
      <c r="AA103" s="1492"/>
      <c r="AB103" s="1492"/>
      <c r="AC103" s="1492"/>
      <c r="AD103" s="1492"/>
      <c r="AE103" s="1492"/>
      <c r="AF103" s="1492"/>
      <c r="AG103" s="1492"/>
      <c r="AH103" s="1492"/>
      <c r="AI103" s="1492"/>
      <c r="AJ103" s="1492"/>
      <c r="AK103" s="1492"/>
      <c r="AL103" s="1492"/>
      <c r="AM103" s="1492"/>
      <c r="AN103" s="1492"/>
      <c r="AO103" s="1492"/>
      <c r="AP103" s="1492"/>
      <c r="AQ103" s="1492"/>
      <c r="AR103" s="1492"/>
      <c r="AS103" s="1492"/>
      <c r="AT103" s="1492"/>
      <c r="AU103" s="1492"/>
      <c r="AV103" s="1492"/>
      <c r="AW103" s="1492"/>
      <c r="AX103" s="1492"/>
      <c r="AY103" s="1492"/>
      <c r="AZ103" s="1492"/>
      <c r="BA103" s="1492"/>
      <c r="BB103" s="1492"/>
      <c r="BC103" s="1492"/>
      <c r="BD103" s="1492"/>
      <c r="BE103" s="1492"/>
      <c r="BF103" s="1492"/>
      <c r="BG103" s="1492"/>
      <c r="BH103" s="1492"/>
      <c r="BI103" s="1492"/>
      <c r="BJ103" s="1492"/>
      <c r="BK103" s="1492"/>
      <c r="BL103" s="1492"/>
      <c r="BM103" s="1492"/>
      <c r="BN103" s="1492"/>
      <c r="BO103" s="1492"/>
      <c r="BP103" s="1492"/>
      <c r="BQ103" s="1492"/>
      <c r="BR103" s="1492"/>
      <c r="BS103" s="1492"/>
      <c r="BT103" s="1492"/>
      <c r="BU103" s="1492"/>
      <c r="BV103" s="1492"/>
      <c r="BW103" s="1492"/>
      <c r="BX103" s="1492"/>
      <c r="BY103" s="1492"/>
      <c r="BZ103" s="1492"/>
      <c r="CA103" s="1492"/>
    </row>
    <row r="104" spans="1:79" s="643" customFormat="1">
      <c r="A104" s="1282" t="s">
        <v>3822</v>
      </c>
      <c r="B104" s="1568" t="s">
        <v>820</v>
      </c>
      <c r="C104" s="624" t="s">
        <v>821</v>
      </c>
      <c r="D104" s="624" t="str">
        <f>VLOOKUP(F104,'Baumaterialien Matériaux'!$A$10:$AD$432,30,FALSE)</f>
        <v>Cadre de fenêtre en bois</v>
      </c>
      <c r="E104" s="624" t="str">
        <f>VLOOKUP(F104,'Baumaterialien Matériaux'!$A$10:$AD$432,7,FALSE)</f>
        <v>m2</v>
      </c>
      <c r="F104" s="689" t="s">
        <v>1622</v>
      </c>
      <c r="G104" s="625">
        <v>1</v>
      </c>
      <c r="H104" s="624"/>
      <c r="I104" s="624">
        <v>30</v>
      </c>
      <c r="J104" s="1319"/>
      <c r="K104" s="1319"/>
      <c r="L104" s="625">
        <f>$G104*_xlfn.XLOOKUP($F104,'Baumaterialien Matériaux'!$A:$A,'Baumaterialien Matériaux'!AA:AA,0,0)</f>
        <v>30.3</v>
      </c>
      <c r="M104" s="625">
        <f>$G104*_xlfn.XLOOKUP($F104,'Baumaterialien Matériaux'!$A:$A,'Baumaterialien Matériaux'!AB:AB,0,0)</f>
        <v>5.89</v>
      </c>
      <c r="N104" s="625">
        <f>$G104*_xlfn.XLOOKUP($F104,'Baumaterialien Matériaux'!$A:$A,'Baumaterialien Matériaux'!AC:AC,0,0)*44/12</f>
        <v>27.5</v>
      </c>
      <c r="O104" s="625">
        <f>$G104*_xlfn.XLOOKUP($F104,'Baumaterialien Matériaux'!$A:$A,'Baumaterialien Matériaux'!AG:AG,0,0)</f>
        <v>51.7</v>
      </c>
      <c r="P104" s="625">
        <f>$G104*_xlfn.XLOOKUP($F104,'Baumaterialien Matériaux'!$A:$A,'Baumaterialien Matériaux'!AH:AH,0,0)</f>
        <v>18</v>
      </c>
      <c r="Q104" s="626"/>
      <c r="R104" s="626"/>
      <c r="S104" s="626"/>
      <c r="T104" s="626"/>
      <c r="U104" s="626"/>
      <c r="V104" s="626"/>
      <c r="W104" s="626"/>
      <c r="X104" s="626"/>
      <c r="Y104" s="626"/>
      <c r="Z104" s="626"/>
      <c r="AA104" s="626"/>
      <c r="AB104" s="626"/>
      <c r="AC104" s="626"/>
      <c r="AD104" s="626"/>
      <c r="AE104" s="626"/>
      <c r="AF104" s="626"/>
      <c r="AG104" s="626"/>
      <c r="AH104" s="626"/>
      <c r="AI104" s="626"/>
      <c r="AJ104" s="626"/>
      <c r="AK104" s="626"/>
      <c r="AL104" s="626"/>
      <c r="AM104" s="626"/>
      <c r="AN104" s="626"/>
      <c r="AO104" s="626"/>
      <c r="AP104" s="626"/>
      <c r="AQ104" s="626"/>
      <c r="AR104" s="626"/>
      <c r="AS104" s="626"/>
      <c r="AT104" s="626"/>
      <c r="AU104" s="626"/>
      <c r="AV104" s="626"/>
      <c r="AW104" s="626"/>
      <c r="AX104" s="626"/>
      <c r="AY104" s="626"/>
      <c r="AZ104" s="626"/>
      <c r="BA104" s="626"/>
      <c r="BB104" s="626"/>
      <c r="BC104" s="626"/>
      <c r="BD104" s="626"/>
      <c r="BE104" s="626"/>
      <c r="BF104" s="626"/>
      <c r="BG104" s="626"/>
      <c r="BH104" s="626"/>
      <c r="BI104" s="626"/>
      <c r="BJ104" s="626"/>
      <c r="BK104" s="626"/>
      <c r="BL104" s="626"/>
      <c r="BM104" s="626"/>
      <c r="BN104" s="626"/>
      <c r="BO104" s="626"/>
      <c r="BP104" s="626"/>
      <c r="BQ104" s="626"/>
      <c r="BR104" s="626"/>
      <c r="BS104" s="626"/>
      <c r="BT104" s="626"/>
      <c r="BU104" s="626"/>
      <c r="BV104" s="626"/>
      <c r="BW104" s="626"/>
      <c r="BX104" s="626"/>
      <c r="BY104" s="626"/>
      <c r="BZ104" s="626"/>
      <c r="CA104" s="626"/>
    </row>
    <row r="105" spans="1:79" s="626" customFormat="1">
      <c r="B105" s="1568"/>
      <c r="C105" s="624" t="s">
        <v>823</v>
      </c>
      <c r="D105" s="624" t="str">
        <f>VLOOKUP(F105,'Baumaterialien Matériaux'!$A$10:$AD$432,30,FALSE)</f>
        <v>Triple vitrage, U&lt;0.6 W/m2K, épaisseur 40 mm 3</v>
      </c>
      <c r="E105" s="624" t="str">
        <f>VLOOKUP(F105,'Baumaterialien Matériaux'!$A$10:$AD$432,7,FALSE)</f>
        <v>m2</v>
      </c>
      <c r="F105" s="654" t="s">
        <v>824</v>
      </c>
      <c r="G105" s="625">
        <v>0.78</v>
      </c>
      <c r="H105" s="624"/>
      <c r="I105" s="624">
        <v>30</v>
      </c>
      <c r="J105" s="1319"/>
      <c r="K105" s="1319"/>
      <c r="L105" s="625">
        <f>$G105*_xlfn.XLOOKUP($F105,'Baumaterialien Matériaux'!$A:$A,'Baumaterialien Matériaux'!AA:AA,0,0)</f>
        <v>48.438000000000002</v>
      </c>
      <c r="M105" s="625">
        <f>$G105*_xlfn.XLOOKUP($F105,'Baumaterialien Matériaux'!$A:$A,'Baumaterialien Matériaux'!AB:AB,0,0)</f>
        <v>4.4460000000000006</v>
      </c>
      <c r="N105" s="625">
        <f>$G105*_xlfn.XLOOKUP($F105,'Baumaterialien Matériaux'!$A:$A,'Baumaterialien Matériaux'!AC:AC,0,0)*44/12</f>
        <v>0</v>
      </c>
      <c r="O105" s="625">
        <f>$G105*_xlfn.XLOOKUP($F105,'Baumaterialien Matériaux'!$A:$A,'Baumaterialien Matériaux'!AG:AG,0,0)</f>
        <v>12.714</v>
      </c>
      <c r="P105" s="625">
        <f>$G105*_xlfn.XLOOKUP($F105,'Baumaterialien Matériaux'!$A:$A,'Baumaterialien Matériaux'!AH:AH,0,0)</f>
        <v>4.68</v>
      </c>
    </row>
    <row r="106" spans="1:79" s="626" customFormat="1">
      <c r="B106" s="1568"/>
      <c r="C106" s="624" t="s">
        <v>825</v>
      </c>
      <c r="D106" s="624" t="str">
        <f>VLOOKUP(F106,'Baumaterialien Matériaux'!$A$10:$AD$432,30,FALSE)</f>
        <v>Protection solaire, stores vénitiens avec moteur 4</v>
      </c>
      <c r="E106" s="624" t="str">
        <f>VLOOKUP(F106,'Baumaterialien Matériaux'!$A$10:$AD$432,7,FALSE)</f>
        <v>m2</v>
      </c>
      <c r="F106" s="654" t="s">
        <v>826</v>
      </c>
      <c r="G106" s="625">
        <v>1</v>
      </c>
      <c r="H106" s="624"/>
      <c r="I106" s="624">
        <v>30</v>
      </c>
      <c r="J106" s="1319"/>
      <c r="K106" s="1319"/>
      <c r="L106" s="625">
        <f>$G106*_xlfn.XLOOKUP($F106,'Baumaterialien Matériaux'!$A:$A,'Baumaterialien Matériaux'!AA:AA,0,0)</f>
        <v>58.5</v>
      </c>
      <c r="M106" s="625">
        <f>$G106*_xlfn.XLOOKUP($F106,'Baumaterialien Matériaux'!$A:$A,'Baumaterialien Matériaux'!AB:AB,0,0)</f>
        <v>1.47</v>
      </c>
      <c r="N106" s="625">
        <f>$G106*_xlfn.XLOOKUP($F106,'Baumaterialien Matériaux'!$A:$A,'Baumaterialien Matériaux'!AC:AC,0,0)*44/12</f>
        <v>0</v>
      </c>
      <c r="O106" s="625">
        <f>$G106*_xlfn.XLOOKUP($F106,'Baumaterialien Matériaux'!$A:$A,'Baumaterialien Matériaux'!AG:AG,0,0)</f>
        <v>31.3</v>
      </c>
      <c r="P106" s="625">
        <f>$G106*_xlfn.XLOOKUP($F106,'Baumaterialien Matériaux'!$A:$A,'Baumaterialien Matériaux'!AH:AH,0,0)</f>
        <v>0.26</v>
      </c>
    </row>
    <row r="107" spans="1:79" s="663" customFormat="1" ht="15.75" thickBot="1">
      <c r="B107" s="664"/>
      <c r="F107" s="665"/>
      <c r="I107" s="675">
        <v>30</v>
      </c>
      <c r="J107" s="1321"/>
      <c r="K107" s="1321"/>
      <c r="L107" s="667">
        <f t="shared" ref="L107:P107" si="15">SUM(L104:L106)</f>
        <v>137.238</v>
      </c>
      <c r="M107" s="667">
        <f t="shared" si="15"/>
        <v>11.806000000000001</v>
      </c>
      <c r="N107" s="667">
        <f t="shared" si="15"/>
        <v>27.5</v>
      </c>
      <c r="O107" s="667">
        <f t="shared" si="15"/>
        <v>95.713999999999999</v>
      </c>
      <c r="P107" s="667">
        <f t="shared" si="15"/>
        <v>22.94</v>
      </c>
      <c r="Q107" s="626"/>
      <c r="R107" s="626">
        <f>(L107+M107)/I106</f>
        <v>4.9681333333333333</v>
      </c>
      <c r="S107" s="626">
        <v>5.24</v>
      </c>
      <c r="T107" s="626"/>
      <c r="U107" s="626"/>
      <c r="V107" s="626"/>
      <c r="W107" s="626"/>
      <c r="X107" s="626"/>
      <c r="Y107" s="626"/>
      <c r="Z107" s="626"/>
      <c r="AA107" s="626"/>
      <c r="AB107" s="626"/>
      <c r="AC107" s="626"/>
      <c r="AD107" s="626"/>
      <c r="AE107" s="626"/>
      <c r="AF107" s="626"/>
      <c r="AG107" s="626"/>
      <c r="AH107" s="626"/>
      <c r="AI107" s="626"/>
      <c r="AJ107" s="626"/>
      <c r="AK107" s="626"/>
      <c r="AL107" s="626"/>
      <c r="AM107" s="626"/>
      <c r="AN107" s="626"/>
      <c r="AO107" s="626"/>
      <c r="AP107" s="626"/>
      <c r="AQ107" s="626"/>
      <c r="AR107" s="626"/>
      <c r="AS107" s="626"/>
      <c r="AT107" s="626"/>
      <c r="AU107" s="626"/>
      <c r="AV107" s="626"/>
      <c r="AW107" s="626"/>
      <c r="AX107" s="626"/>
      <c r="AY107" s="626"/>
      <c r="AZ107" s="626"/>
      <c r="BA107" s="626"/>
      <c r="BB107" s="626"/>
      <c r="BC107" s="626"/>
      <c r="BD107" s="626"/>
      <c r="BE107" s="626"/>
      <c r="BF107" s="626"/>
      <c r="BG107" s="626"/>
      <c r="BH107" s="626"/>
      <c r="BI107" s="626"/>
      <c r="BJ107" s="626"/>
      <c r="BK107" s="626"/>
      <c r="BL107" s="626"/>
      <c r="BM107" s="626"/>
      <c r="BN107" s="626"/>
      <c r="BO107" s="626"/>
      <c r="BP107" s="626"/>
      <c r="BQ107" s="626"/>
      <c r="BR107" s="626"/>
      <c r="BS107" s="626"/>
      <c r="BT107" s="626"/>
      <c r="BU107" s="626"/>
      <c r="BV107" s="626"/>
      <c r="BW107" s="626"/>
      <c r="BX107" s="626"/>
      <c r="BY107" s="626"/>
      <c r="BZ107" s="626"/>
      <c r="CA107" s="626"/>
    </row>
    <row r="108" spans="1:79" ht="15" thickTop="1">
      <c r="L108" s="132"/>
      <c r="M108" s="132"/>
      <c r="N108" s="132"/>
      <c r="O108" s="132"/>
      <c r="P108" s="132"/>
    </row>
    <row r="109" spans="1:79" s="668" customFormat="1" ht="14.1" customHeight="1">
      <c r="A109" s="287" t="s">
        <v>827</v>
      </c>
      <c r="B109" s="1576" t="s">
        <v>828</v>
      </c>
      <c r="C109" s="178" t="s">
        <v>829</v>
      </c>
      <c r="D109" s="178" t="str">
        <f>VLOOKUP(F109,'Baumaterialien Matériaux'!$A$10:$AD$432,30,FALSE)</f>
        <v>Façade, à montants et traverses, Alu/Glas</v>
      </c>
      <c r="E109" s="178" t="str">
        <f>VLOOKUP(F109,'Baumaterialien Matériaux'!$A$10:$AD$432,7,FALSE)</f>
        <v>m2</v>
      </c>
      <c r="F109" s="316" t="s">
        <v>830</v>
      </c>
      <c r="G109" s="281">
        <v>0.78</v>
      </c>
      <c r="H109" s="178"/>
      <c r="I109" s="178">
        <v>40</v>
      </c>
      <c r="J109" s="1319"/>
      <c r="K109" s="1319"/>
      <c r="L109" s="281">
        <f>$G109*_xlfn.XLOOKUP($F109,'Baumaterialien Matériaux'!$A:$A,'Baumaterialien Matériaux'!AA:AA,0,0)</f>
        <v>131.82</v>
      </c>
      <c r="M109" s="281">
        <f>$G109*_xlfn.XLOOKUP($F109,'Baumaterialien Matériaux'!$A:$A,'Baumaterialien Matériaux'!AB:AB,0,0)</f>
        <v>10.218</v>
      </c>
      <c r="N109" s="281">
        <f>$G109*_xlfn.XLOOKUP($F109,'Baumaterialien Matériaux'!$A:$A,'Baumaterialien Matériaux'!AC:AC,0,0)*44/12</f>
        <v>0</v>
      </c>
      <c r="O109" s="281">
        <f>$G109*_xlfn.XLOOKUP($F109,'Baumaterialien Matériaux'!$A:$A,'Baumaterialien Matériaux'!AG:AG,0,0)</f>
        <v>74.957999999999998</v>
      </c>
      <c r="P109" s="281">
        <f>$G109*_xlfn.XLOOKUP($F109,'Baumaterialien Matériaux'!$A:$A,'Baumaterialien Matériaux'!AH:AH,0,0)</f>
        <v>9.1259999999999994</v>
      </c>
      <c r="Q109" s="1341"/>
      <c r="R109" s="1341"/>
      <c r="S109" s="1341"/>
      <c r="T109" s="1341"/>
      <c r="U109" s="1341"/>
      <c r="V109" s="1341"/>
      <c r="W109" s="1341"/>
      <c r="X109" s="1341"/>
      <c r="Y109" s="1341"/>
      <c r="Z109" s="1341"/>
      <c r="AA109" s="1341"/>
      <c r="AB109" s="1341"/>
      <c r="AC109" s="1341"/>
      <c r="AD109" s="1341"/>
      <c r="AE109" s="1341"/>
      <c r="AF109" s="1341"/>
      <c r="AG109" s="1341"/>
      <c r="AH109" s="1341"/>
      <c r="AI109" s="1341"/>
      <c r="AJ109" s="1341"/>
      <c r="AK109" s="1341"/>
      <c r="AL109" s="1341"/>
      <c r="AM109" s="1341"/>
      <c r="AN109" s="1341"/>
      <c r="AO109" s="1341"/>
      <c r="AP109" s="1341"/>
      <c r="AQ109" s="1341"/>
      <c r="AR109" s="1341"/>
      <c r="AS109" s="1341"/>
      <c r="AT109" s="1341"/>
      <c r="AU109" s="1341"/>
      <c r="AV109" s="1341"/>
      <c r="AW109" s="1341"/>
      <c r="AX109" s="1341"/>
      <c r="AY109" s="1341"/>
      <c r="AZ109" s="1341"/>
      <c r="BA109" s="1341"/>
      <c r="BB109" s="1341"/>
      <c r="BC109" s="1341"/>
      <c r="BD109" s="1341"/>
      <c r="BE109" s="1341"/>
      <c r="BF109" s="1341"/>
      <c r="BG109" s="1341"/>
      <c r="BH109" s="1341"/>
      <c r="BI109" s="1341"/>
      <c r="BJ109" s="1341"/>
      <c r="BK109" s="1341"/>
      <c r="BL109" s="1341"/>
      <c r="BM109" s="1341"/>
      <c r="BN109" s="1341"/>
      <c r="BO109" s="1341"/>
      <c r="BP109" s="1341"/>
      <c r="BQ109" s="1341"/>
      <c r="BR109" s="1341"/>
      <c r="BS109" s="1341"/>
      <c r="BT109" s="1341"/>
      <c r="BU109" s="1341"/>
      <c r="BV109" s="1341"/>
      <c r="BW109" s="1341"/>
      <c r="BX109" s="1341"/>
      <c r="BY109" s="1341"/>
      <c r="BZ109" s="1341"/>
      <c r="CA109" s="1341"/>
    </row>
    <row r="110" spans="1:79" s="172" customFormat="1" ht="15.75">
      <c r="A110" s="1262"/>
      <c r="B110" s="1576"/>
      <c r="C110" s="178" t="s">
        <v>825</v>
      </c>
      <c r="D110" s="178" t="str">
        <f>VLOOKUP(F110,'Baumaterialien Matériaux'!$A$10:$AD$432,30,FALSE)</f>
        <v>Protection solaire, stores vénitiens avec moteur 4</v>
      </c>
      <c r="E110" s="178" t="str">
        <f>VLOOKUP(F110,'Baumaterialien Matériaux'!$A$10:$AD$432,7,FALSE)</f>
        <v>m2</v>
      </c>
      <c r="F110" s="316" t="s">
        <v>826</v>
      </c>
      <c r="G110" s="281">
        <f>G109/2</f>
        <v>0.39</v>
      </c>
      <c r="H110" s="178"/>
      <c r="I110" s="178">
        <v>40</v>
      </c>
      <c r="J110" s="1319"/>
      <c r="K110" s="1319"/>
      <c r="L110" s="281">
        <f>$G110*_xlfn.XLOOKUP($F110,'Baumaterialien Matériaux'!$A:$A,'Baumaterialien Matériaux'!AA:AA,0,0)</f>
        <v>22.815000000000001</v>
      </c>
      <c r="M110" s="281">
        <f>$G110*_xlfn.XLOOKUP($F110,'Baumaterialien Matériaux'!$A:$A,'Baumaterialien Matériaux'!AB:AB,0,0)</f>
        <v>0.57330000000000003</v>
      </c>
      <c r="N110" s="281">
        <f>$G110*_xlfn.XLOOKUP($F110,'Baumaterialien Matériaux'!$A:$A,'Baumaterialien Matériaux'!AC:AC,0,0)*44/12</f>
        <v>0</v>
      </c>
      <c r="O110" s="281">
        <f>$G110*_xlfn.XLOOKUP($F110,'Baumaterialien Matériaux'!$A:$A,'Baumaterialien Matériaux'!AG:AG,0,0)</f>
        <v>12.207000000000001</v>
      </c>
      <c r="P110" s="281">
        <f>$G110*_xlfn.XLOOKUP($F110,'Baumaterialien Matériaux'!$A:$A,'Baumaterialien Matériaux'!AH:AH,0,0)</f>
        <v>0.1014</v>
      </c>
      <c r="U110"/>
    </row>
    <row r="111" spans="1:79" s="172" customFormat="1">
      <c r="A111" s="293"/>
      <c r="B111" s="1576"/>
      <c r="C111" s="178" t="s">
        <v>831</v>
      </c>
      <c r="D111" s="178" t="str">
        <f>VLOOKUP(F111,'Baumaterialien Matériaux'!$A$10:$AD$432,30,FALSE)</f>
        <v>Protection solaire, stores à projection avec moteur 4</v>
      </c>
      <c r="E111" s="178" t="str">
        <f>VLOOKUP(F111,'Baumaterialien Matériaux'!$A$10:$AD$432,7,FALSE)</f>
        <v>m2</v>
      </c>
      <c r="F111" s="316" t="s">
        <v>832</v>
      </c>
      <c r="G111" s="281">
        <f>G109/2</f>
        <v>0.39</v>
      </c>
      <c r="H111" s="178"/>
      <c r="I111" s="178">
        <v>40</v>
      </c>
      <c r="J111" s="1319"/>
      <c r="K111" s="1319"/>
      <c r="L111" s="281">
        <f>$G111*_xlfn.XLOOKUP($F111,'Baumaterialien Matériaux'!$A:$A,'Baumaterialien Matériaux'!AA:AA,0,0)</f>
        <v>25.701000000000004</v>
      </c>
      <c r="M111" s="281">
        <f>$G111*_xlfn.XLOOKUP($F111,'Baumaterialien Matériaux'!$A:$A,'Baumaterialien Matériaux'!AB:AB,0,0)</f>
        <v>0.74490000000000001</v>
      </c>
      <c r="N111" s="281">
        <f>$G111*_xlfn.XLOOKUP($F111,'Baumaterialien Matériaux'!$A:$A,'Baumaterialien Matériaux'!AC:AC,0,0)*44/12</f>
        <v>0</v>
      </c>
      <c r="O111" s="281">
        <f>$G111*_xlfn.XLOOKUP($F111,'Baumaterialien Matériaux'!$A:$A,'Baumaterialien Matériaux'!AG:AG,0,0)</f>
        <v>13.26</v>
      </c>
      <c r="P111" s="281">
        <f>$G111*_xlfn.XLOOKUP($F111,'Baumaterialien Matériaux'!$A:$A,'Baumaterialien Matériaux'!AH:AH,0,0)</f>
        <v>0.13494</v>
      </c>
    </row>
    <row r="112" spans="1:79" s="676" customFormat="1" ht="15.75" thickBot="1">
      <c r="F112" s="685"/>
      <c r="I112" s="686">
        <v>40</v>
      </c>
      <c r="J112" s="1321"/>
      <c r="K112" s="1321"/>
      <c r="L112" s="1010">
        <f t="shared" ref="L112:N112" si="16">SUM(L109:L111)</f>
        <v>180.33599999999998</v>
      </c>
      <c r="M112" s="1010">
        <f t="shared" si="16"/>
        <v>11.536199999999999</v>
      </c>
      <c r="N112" s="1010">
        <f t="shared" si="16"/>
        <v>0</v>
      </c>
      <c r="O112" s="1010">
        <f t="shared" ref="O112:P112" si="17">SUM(O109:O111)</f>
        <v>100.425</v>
      </c>
      <c r="P112" s="1010">
        <f t="shared" si="17"/>
        <v>9.3623399999999997</v>
      </c>
      <c r="R112" s="626">
        <f>(L112+M112)/I111</f>
        <v>4.796805</v>
      </c>
    </row>
    <row r="113" spans="1:79" ht="15" thickTop="1">
      <c r="L113" s="132"/>
      <c r="M113" s="132"/>
      <c r="N113" s="132"/>
      <c r="O113" s="132"/>
      <c r="P113" s="132"/>
    </row>
    <row r="114" spans="1:79" s="1230" customFormat="1" ht="17.25">
      <c r="A114" s="1231" t="s">
        <v>563</v>
      </c>
      <c r="C114" s="1231"/>
      <c r="D114" s="1231"/>
      <c r="E114" s="1231"/>
      <c r="F114" s="1232"/>
      <c r="G114" s="1231" t="s">
        <v>750</v>
      </c>
      <c r="H114" s="1231"/>
      <c r="J114" s="1324"/>
      <c r="K114" s="1324"/>
      <c r="L114" s="1233"/>
      <c r="M114" s="1233"/>
      <c r="N114" s="1233"/>
      <c r="O114" s="1233"/>
      <c r="P114" s="1233"/>
    </row>
    <row r="115" spans="1:79" s="710" customFormat="1" ht="15" thickBot="1">
      <c r="A115" s="710" t="s">
        <v>833</v>
      </c>
      <c r="C115" s="710" t="s">
        <v>834</v>
      </c>
      <c r="D115" s="666" t="str">
        <f>VLOOKUP(F115,'Baumaterialien Matériaux'!$A$10:$AD$432,30,FALSE)</f>
        <v>Portes extérieures aluminium, avec vitrage</v>
      </c>
      <c r="E115" s="666" t="str">
        <f>VLOOKUP(F115,'Baumaterialien Matériaux'!$A$10:$AD$432,7,FALSE)</f>
        <v>m2</v>
      </c>
      <c r="F115" s="713" t="s">
        <v>835</v>
      </c>
      <c r="G115" s="710">
        <v>1</v>
      </c>
      <c r="I115" s="666">
        <v>30</v>
      </c>
      <c r="J115" s="1327"/>
      <c r="K115" s="1327"/>
      <c r="L115" s="1002">
        <f>$G115*_xlfn.XLOOKUP($F115,'Baumaterialien Matériaux'!$A:$A,'Baumaterialien Matériaux'!AA:AA,0,0)</f>
        <v>201</v>
      </c>
      <c r="M115" s="1002">
        <f>$G115*_xlfn.XLOOKUP($F115,'Baumaterialien Matériaux'!$A:$A,'Baumaterialien Matériaux'!AB:AB,0,0)</f>
        <v>14.8</v>
      </c>
      <c r="N115" s="1002">
        <f>$G115*_xlfn.XLOOKUP($F115,'Baumaterialien Matériaux'!$A:$A,'Baumaterialien Matériaux'!AC:AC,0,0)*44/12</f>
        <v>0</v>
      </c>
      <c r="O115" s="1002">
        <f>$G115*_xlfn.XLOOKUP($F115,'Baumaterialien Matériaux'!$A:$A,'Baumaterialien Matériaux'!AG:AG,0,0)</f>
        <v>0</v>
      </c>
      <c r="P115" s="1002">
        <f>$G115*_xlfn.XLOOKUP($F115,'Baumaterialien Matériaux'!$A:$A,'Baumaterialien Matériaux'!AH:AH,0,0)</f>
        <v>0</v>
      </c>
      <c r="Q115" s="626"/>
      <c r="R115" s="626"/>
      <c r="S115" s="626"/>
      <c r="T115" s="626"/>
      <c r="U115" s="626"/>
      <c r="V115" s="626"/>
      <c r="W115" s="626"/>
      <c r="X115" s="626"/>
      <c r="Y115" s="626"/>
      <c r="Z115" s="626"/>
      <c r="AA115" s="626"/>
      <c r="AB115" s="626"/>
      <c r="AC115" s="626"/>
      <c r="AD115" s="626"/>
      <c r="AE115" s="626"/>
      <c r="AF115" s="626"/>
      <c r="AG115" s="626"/>
      <c r="AH115" s="626"/>
      <c r="AI115" s="626"/>
      <c r="AJ115" s="626"/>
      <c r="AK115" s="626"/>
      <c r="AL115" s="626"/>
      <c r="AM115" s="626"/>
      <c r="AN115" s="626"/>
      <c r="AO115" s="626"/>
      <c r="AP115" s="626"/>
      <c r="AQ115" s="626"/>
      <c r="AR115" s="626"/>
      <c r="AS115" s="626"/>
      <c r="AT115" s="626"/>
      <c r="AU115" s="626"/>
      <c r="AV115" s="626"/>
      <c r="AW115" s="626"/>
      <c r="AX115" s="626"/>
      <c r="AY115" s="626"/>
      <c r="AZ115" s="626"/>
      <c r="BA115" s="626"/>
      <c r="BB115" s="626"/>
      <c r="BC115" s="626"/>
      <c r="BD115" s="626"/>
      <c r="BE115" s="626"/>
      <c r="BF115" s="626"/>
      <c r="BG115" s="626"/>
      <c r="BH115" s="626"/>
      <c r="BI115" s="626"/>
      <c r="BJ115" s="626"/>
      <c r="BK115" s="626"/>
      <c r="BL115" s="626"/>
      <c r="BM115" s="626"/>
      <c r="BN115" s="626"/>
      <c r="BO115" s="626"/>
      <c r="BP115" s="626"/>
      <c r="BQ115" s="626"/>
      <c r="BR115" s="626"/>
      <c r="BS115" s="626"/>
      <c r="BT115" s="626"/>
      <c r="BU115" s="626"/>
      <c r="BV115" s="626"/>
      <c r="BW115" s="626"/>
      <c r="BX115" s="626"/>
      <c r="BY115" s="626"/>
      <c r="BZ115" s="626"/>
      <c r="CA115" s="626"/>
    </row>
    <row r="116" spans="1:79" ht="15" thickTop="1">
      <c r="L116" s="132"/>
      <c r="M116" s="132"/>
      <c r="N116" s="132"/>
      <c r="O116" s="132"/>
      <c r="P116" s="132"/>
    </row>
    <row r="117" spans="1:79">
      <c r="L117" s="132"/>
      <c r="M117" s="132"/>
      <c r="N117" s="132"/>
      <c r="O117" s="132"/>
      <c r="P117" s="132"/>
    </row>
    <row r="118" spans="1:79" s="145" customFormat="1" ht="17.25">
      <c r="A118" s="143" t="s">
        <v>543</v>
      </c>
      <c r="B118" s="143" t="s">
        <v>543</v>
      </c>
      <c r="C118" s="143"/>
      <c r="D118" s="143"/>
      <c r="E118" s="143"/>
      <c r="F118" s="587"/>
      <c r="G118" s="143" t="s">
        <v>750</v>
      </c>
      <c r="H118" s="143"/>
      <c r="J118" s="1324"/>
      <c r="K118" s="1324"/>
      <c r="L118" s="935"/>
      <c r="M118" s="935"/>
      <c r="N118" s="935"/>
      <c r="O118" s="935"/>
      <c r="P118" s="935"/>
    </row>
    <row r="119" spans="1:79">
      <c r="L119" s="132"/>
      <c r="M119" s="132"/>
      <c r="N119" s="132"/>
      <c r="O119" s="132"/>
      <c r="P119" s="132"/>
    </row>
    <row r="120" spans="1:79" s="643" customFormat="1" ht="15">
      <c r="A120" s="1282" t="s">
        <v>836</v>
      </c>
      <c r="B120" s="1568" t="s">
        <v>837</v>
      </c>
      <c r="C120" s="624" t="s">
        <v>838</v>
      </c>
      <c r="D120" s="624" t="str">
        <f>VLOOKUP(F120,'Baumaterialien Matériaux'!$A$10:$AD$432,30,FALSE)</f>
        <v>Béton pour bâtiment (sans armature)</v>
      </c>
      <c r="E120" s="624" t="str">
        <f>VLOOKUP(F120,'Baumaterialien Matériaux'!$A$10:$AD$432,7,FALSE)</f>
        <v>kg</v>
      </c>
      <c r="F120" s="647" t="s">
        <v>685</v>
      </c>
      <c r="G120" s="625">
        <f>(0.25-G121/7850)*2300</f>
        <v>568.40764331210187</v>
      </c>
      <c r="H120" s="1282"/>
      <c r="I120" s="680">
        <v>60</v>
      </c>
      <c r="J120" s="1319"/>
      <c r="K120" s="1319"/>
      <c r="L120" s="1011">
        <f>$G120*_xlfn.XLOOKUP($F120,'Baumaterialien Matériaux'!$A:$A,'Baumaterialien Matériaux'!AA:AA,0,0)</f>
        <v>50.417757961783437</v>
      </c>
      <c r="M120" s="1011">
        <f>$G120*_xlfn.XLOOKUP($F120,'Baumaterialien Matériaux'!$A:$A,'Baumaterialien Matériaux'!AB:AB,0,0)</f>
        <v>7.1619363057324836</v>
      </c>
      <c r="N120" s="1011">
        <f>$G120*_xlfn.XLOOKUP($F120,'Baumaterialien Matériaux'!$A:$A,'Baumaterialien Matériaux'!AC:AC,0,0)*44/12</f>
        <v>0</v>
      </c>
      <c r="O120" s="1011">
        <f>$G120*_xlfn.XLOOKUP($F120,'Baumaterialien Matériaux'!$A:$A,'Baumaterialien Matériaux'!AG:AG,0,0)</f>
        <v>11.822878980891719</v>
      </c>
      <c r="P120" s="1011">
        <f>$G120*_xlfn.XLOOKUP($F120,'Baumaterialien Matériaux'!$A:$A,'Baumaterialien Matériaux'!AH:AH,0,0)</f>
        <v>1.5233324840764331</v>
      </c>
      <c r="Q120" s="626"/>
      <c r="R120" s="626"/>
      <c r="S120" s="626"/>
      <c r="T120" s="626"/>
      <c r="U120" s="626"/>
      <c r="V120" s="626"/>
      <c r="W120" s="626"/>
      <c r="X120" s="626"/>
      <c r="Y120" s="626"/>
      <c r="Z120" s="626"/>
      <c r="AA120" s="626"/>
      <c r="AB120" s="626"/>
      <c r="AC120" s="626"/>
      <c r="AD120" s="626"/>
      <c r="AE120" s="626"/>
      <c r="AF120" s="626"/>
      <c r="AG120" s="626"/>
      <c r="AH120" s="626"/>
      <c r="AI120" s="626"/>
      <c r="AJ120" s="626"/>
      <c r="AK120" s="626"/>
      <c r="AL120" s="626"/>
      <c r="AM120" s="626"/>
      <c r="AN120" s="626"/>
      <c r="AO120" s="626"/>
      <c r="AP120" s="626"/>
      <c r="AQ120" s="626"/>
      <c r="AR120" s="626"/>
      <c r="AS120" s="626"/>
      <c r="AT120" s="626"/>
      <c r="AU120" s="626"/>
      <c r="AV120" s="626"/>
      <c r="AW120" s="626"/>
      <c r="AX120" s="626"/>
      <c r="AY120" s="626"/>
      <c r="AZ120" s="626"/>
      <c r="BA120" s="626"/>
      <c r="BB120" s="626"/>
      <c r="BC120" s="626"/>
      <c r="BD120" s="626"/>
      <c r="BE120" s="626"/>
      <c r="BF120" s="626"/>
      <c r="BG120" s="626"/>
      <c r="BH120" s="626"/>
      <c r="BI120" s="626"/>
      <c r="BJ120" s="626"/>
      <c r="BK120" s="626"/>
      <c r="BL120" s="626"/>
      <c r="BM120" s="626"/>
      <c r="BN120" s="626"/>
      <c r="BO120" s="626"/>
      <c r="BP120" s="626"/>
      <c r="BQ120" s="626"/>
      <c r="BR120" s="626"/>
      <c r="BS120" s="626"/>
      <c r="BT120" s="626"/>
      <c r="BU120" s="626"/>
      <c r="BV120" s="626"/>
      <c r="BW120" s="626"/>
      <c r="BX120" s="626"/>
      <c r="BY120" s="626"/>
      <c r="BZ120" s="626"/>
      <c r="CA120" s="626"/>
    </row>
    <row r="121" spans="1:79" s="626" customFormat="1" ht="15">
      <c r="B121" s="1568"/>
      <c r="C121" s="624" t="s">
        <v>839</v>
      </c>
      <c r="D121" s="624" t="str">
        <f>VLOOKUP(F121,'Baumaterialien Matériaux'!$A$10:$AD$432,30,FALSE)</f>
        <v>Acier d'armature</v>
      </c>
      <c r="E121" s="624" t="str">
        <f>VLOOKUP(F121,'Baumaterialien Matériaux'!$A$10:$AD$432,7,FALSE)</f>
        <v>kg</v>
      </c>
      <c r="F121" s="632" t="s">
        <v>687</v>
      </c>
      <c r="G121" s="625">
        <f>90*0.25</f>
        <v>22.5</v>
      </c>
      <c r="I121" s="680">
        <v>60</v>
      </c>
      <c r="J121" s="1319"/>
      <c r="K121" s="1319"/>
      <c r="L121" s="1011">
        <f>$G121*_xlfn.XLOOKUP($F121,'Baumaterialien Matériaux'!$A:$A,'Baumaterialien Matériaux'!AA:AA,0,0)</f>
        <v>17.392500000000002</v>
      </c>
      <c r="M121" s="1011">
        <f>$G121*_xlfn.XLOOKUP($F121,'Baumaterialien Matériaux'!$A:$A,'Baumaterialien Matériaux'!AB:AB,0,0)</f>
        <v>0.27450000000000002</v>
      </c>
      <c r="N121" s="1011">
        <f>$G121*_xlfn.XLOOKUP($F121,'Baumaterialien Matériaux'!$A:$A,'Baumaterialien Matériaux'!AC:AC,0,0)*44/12</f>
        <v>0</v>
      </c>
      <c r="O121" s="1011">
        <f>$G121*_xlfn.XLOOKUP($F121,'Baumaterialien Matériaux'!$A:$A,'Baumaterialien Matériaux'!AG:AG,0,0)</f>
        <v>6.5474999999999994</v>
      </c>
      <c r="P121" s="1011">
        <f>$G121*_xlfn.XLOOKUP($F121,'Baumaterialien Matériaux'!$A:$A,'Baumaterialien Matériaux'!AH:AH,0,0)</f>
        <v>0</v>
      </c>
    </row>
    <row r="122" spans="1:79" s="626" customFormat="1" ht="15">
      <c r="B122" s="1568"/>
      <c r="C122" s="624" t="s">
        <v>730</v>
      </c>
      <c r="D122" s="624" t="str">
        <f>VLOOKUP(F122,'Baumaterialien Matériaux'!$A$10:$AD$432,30,FALSE)</f>
        <v>Bois massif 3 et 5 plis</v>
      </c>
      <c r="E122" s="624" t="str">
        <f>VLOOKUP(F122,'Baumaterialien Matériaux'!$A$10:$AD$432,7,FALSE)</f>
        <v>kg</v>
      </c>
      <c r="F122" s="632" t="s">
        <v>705</v>
      </c>
      <c r="G122" s="625">
        <f>2/5*0.025*470</f>
        <v>4.7000000000000011</v>
      </c>
      <c r="I122" s="680">
        <v>60</v>
      </c>
      <c r="J122" s="1319"/>
      <c r="K122" s="1319"/>
      <c r="L122" s="1011">
        <f>$G122*_xlfn.XLOOKUP($F122,'Baumaterialien Matériaux'!$A:$A,'Baumaterialien Matériaux'!AA:AA,0,0)</f>
        <v>1.9458000000000004</v>
      </c>
      <c r="M122" s="1011">
        <f>$G122*_xlfn.XLOOKUP($F122,'Baumaterialien Matériaux'!$A:$A,'Baumaterialien Matériaux'!AB:AB,0,0)</f>
        <v>0.25991000000000009</v>
      </c>
      <c r="N122" s="1011">
        <f>$G122*_xlfn.XLOOKUP($F122,'Baumaterialien Matériaux'!$A:$A,'Baumaterialien Matériaux'!AC:AC,0,0)*44/12</f>
        <v>7.4620333333333342</v>
      </c>
      <c r="O122" s="1011">
        <f>$G122*_xlfn.XLOOKUP($F122,'Baumaterialien Matériaux'!$A:$A,'Baumaterialien Matériaux'!AG:AG,0,0)</f>
        <v>0.65800000000000025</v>
      </c>
      <c r="P122" s="1011">
        <f>$G122*_xlfn.XLOOKUP($F122,'Baumaterialien Matériaux'!$A:$A,'Baumaterialien Matériaux'!AH:AH,0,0)</f>
        <v>0.18283000000000002</v>
      </c>
    </row>
    <row r="123" spans="1:79" s="663" customFormat="1" ht="15.75" thickBot="1">
      <c r="B123" s="664"/>
      <c r="F123" s="665"/>
      <c r="I123" s="675"/>
      <c r="J123" s="1321"/>
      <c r="K123" s="1321"/>
      <c r="L123" s="667">
        <f t="shared" ref="L123:N123" si="18">SUM(L120:L122)</f>
        <v>69.756057961783441</v>
      </c>
      <c r="M123" s="667">
        <f t="shared" si="18"/>
        <v>7.696346305732483</v>
      </c>
      <c r="N123" s="667">
        <f t="shared" si="18"/>
        <v>7.4620333333333342</v>
      </c>
      <c r="O123" s="667">
        <f t="shared" ref="O123:P123" si="19">SUM(O120:O122)</f>
        <v>19.02837898089172</v>
      </c>
      <c r="P123" s="667">
        <f t="shared" si="19"/>
        <v>1.7061624840764331</v>
      </c>
      <c r="Q123" s="626"/>
      <c r="R123" s="626">
        <f>(L123+M123)/I122</f>
        <v>1.2908734044585988</v>
      </c>
      <c r="S123" s="626">
        <v>1.45</v>
      </c>
      <c r="T123" s="626"/>
      <c r="U123" s="626"/>
      <c r="V123" s="626"/>
      <c r="W123" s="626"/>
      <c r="X123" s="626"/>
      <c r="Y123" s="626"/>
      <c r="Z123" s="626"/>
      <c r="AA123" s="626"/>
      <c r="AB123" s="626"/>
      <c r="AC123" s="626"/>
      <c r="AD123" s="626"/>
      <c r="AE123" s="626"/>
      <c r="AF123" s="626"/>
      <c r="AG123" s="626"/>
      <c r="AH123" s="626"/>
      <c r="AI123" s="626"/>
      <c r="AJ123" s="626"/>
      <c r="AK123" s="626"/>
      <c r="AL123" s="626"/>
      <c r="AM123" s="626"/>
      <c r="AN123" s="626"/>
      <c r="AO123" s="626"/>
      <c r="AP123" s="626"/>
      <c r="AQ123" s="626"/>
      <c r="AR123" s="626"/>
      <c r="AS123" s="626"/>
      <c r="AT123" s="626"/>
      <c r="AU123" s="626"/>
      <c r="AV123" s="626"/>
      <c r="AW123" s="626"/>
      <c r="AX123" s="626"/>
      <c r="AY123" s="626"/>
      <c r="AZ123" s="626"/>
      <c r="BA123" s="626"/>
      <c r="BB123" s="626"/>
      <c r="BC123" s="626"/>
      <c r="BD123" s="626"/>
      <c r="BE123" s="626"/>
      <c r="BF123" s="626"/>
      <c r="BG123" s="626"/>
      <c r="BH123" s="626"/>
      <c r="BI123" s="626"/>
      <c r="BJ123" s="626"/>
      <c r="BK123" s="626"/>
      <c r="BL123" s="626"/>
      <c r="BM123" s="626"/>
      <c r="BN123" s="626"/>
      <c r="BO123" s="626"/>
      <c r="BP123" s="626"/>
      <c r="BQ123" s="626"/>
      <c r="BR123" s="626"/>
      <c r="BS123" s="626"/>
      <c r="BT123" s="626"/>
      <c r="BU123" s="626"/>
      <c r="BV123" s="626"/>
      <c r="BW123" s="626"/>
      <c r="BX123" s="626"/>
      <c r="BY123" s="626"/>
      <c r="BZ123" s="626"/>
      <c r="CA123" s="626"/>
    </row>
    <row r="124" spans="1:79" s="172" customFormat="1" ht="15.75" thickTop="1">
      <c r="F124" s="690"/>
      <c r="I124" s="692"/>
      <c r="J124" s="1228"/>
      <c r="K124" s="1228"/>
      <c r="L124" s="1017"/>
      <c r="M124" s="1017"/>
      <c r="N124" s="1017"/>
      <c r="O124" s="1017"/>
      <c r="P124" s="1017"/>
    </row>
    <row r="125" spans="1:79" s="643" customFormat="1">
      <c r="A125" s="1338" t="s">
        <v>840</v>
      </c>
      <c r="B125" s="1568" t="s">
        <v>841</v>
      </c>
      <c r="C125" s="624" t="s">
        <v>842</v>
      </c>
      <c r="D125" s="624" t="str">
        <f>VLOOKUP(F125,'Baumaterialien Matériaux'!$A$10:$AD$432,30,FALSE)</f>
        <v>Bois massif 3 et 5 plis</v>
      </c>
      <c r="E125" s="624" t="str">
        <f>VLOOKUP(F125,'Baumaterialien Matériaux'!$A$10:$AD$432,7,FALSE)</f>
        <v>kg</v>
      </c>
      <c r="F125" s="647" t="s">
        <v>705</v>
      </c>
      <c r="G125" s="625">
        <f>0.02*470</f>
        <v>9.4</v>
      </c>
      <c r="H125" s="624"/>
      <c r="I125" s="624">
        <v>60</v>
      </c>
      <c r="J125" s="1319"/>
      <c r="K125" s="1319"/>
      <c r="L125" s="625">
        <f>$G125*_xlfn.XLOOKUP($F125,'Baumaterialien Matériaux'!$A:$A,'Baumaterialien Matériaux'!AA:AA,0,0)</f>
        <v>3.8915999999999999</v>
      </c>
      <c r="M125" s="625">
        <f>$G125*_xlfn.XLOOKUP($F125,'Baumaterialien Matériaux'!$A:$A,'Baumaterialien Matériaux'!AB:AB,0,0)</f>
        <v>0.51982000000000006</v>
      </c>
      <c r="N125" s="625">
        <f>$G125*_xlfn.XLOOKUP($F125,'Baumaterialien Matériaux'!$A:$A,'Baumaterialien Matériaux'!AC:AC,0,0)*44/12</f>
        <v>14.924066666666667</v>
      </c>
      <c r="O125" s="625">
        <f>$G125*_xlfn.XLOOKUP($F125,'Baumaterialien Matériaux'!$A:$A,'Baumaterialien Matériaux'!AG:AG,0,0)</f>
        <v>1.3160000000000003</v>
      </c>
      <c r="P125" s="625">
        <f>$G125*_xlfn.XLOOKUP($F125,'Baumaterialien Matériaux'!$A:$A,'Baumaterialien Matériaux'!AH:AH,0,0)</f>
        <v>0.36565999999999999</v>
      </c>
      <c r="Q125" s="626"/>
      <c r="R125" s="626"/>
      <c r="S125" s="626"/>
      <c r="T125" s="626"/>
      <c r="U125" s="626"/>
      <c r="V125" s="626"/>
      <c r="W125" s="626"/>
      <c r="X125" s="626"/>
      <c r="Y125" s="626"/>
      <c r="Z125" s="626"/>
      <c r="AA125" s="626"/>
      <c r="AB125" s="626"/>
      <c r="AC125" s="626"/>
      <c r="AD125" s="626"/>
      <c r="AE125" s="626"/>
      <c r="AF125" s="626"/>
      <c r="AG125" s="626"/>
      <c r="AH125" s="626"/>
      <c r="AI125" s="626"/>
      <c r="AJ125" s="626"/>
      <c r="AK125" s="626"/>
      <c r="AL125" s="626"/>
      <c r="AM125" s="626"/>
      <c r="AN125" s="626"/>
      <c r="AO125" s="626"/>
      <c r="AP125" s="626"/>
      <c r="AQ125" s="626"/>
      <c r="AR125" s="626"/>
      <c r="AS125" s="626"/>
      <c r="AT125" s="626"/>
      <c r="AU125" s="626"/>
      <c r="AV125" s="626"/>
      <c r="AW125" s="626"/>
      <c r="AX125" s="626"/>
      <c r="AY125" s="626"/>
      <c r="AZ125" s="626"/>
      <c r="BA125" s="626"/>
      <c r="BB125" s="626"/>
      <c r="BC125" s="626"/>
      <c r="BD125" s="626"/>
      <c r="BE125" s="626"/>
      <c r="BF125" s="626"/>
      <c r="BG125" s="626"/>
      <c r="BH125" s="626"/>
      <c r="BI125" s="626"/>
      <c r="BJ125" s="626"/>
      <c r="BK125" s="626"/>
      <c r="BL125" s="626"/>
      <c r="BM125" s="626"/>
      <c r="BN125" s="626"/>
      <c r="BO125" s="626"/>
      <c r="BP125" s="626"/>
      <c r="BQ125" s="626"/>
      <c r="BR125" s="626"/>
      <c r="BS125" s="626"/>
      <c r="BT125" s="626"/>
      <c r="BU125" s="626"/>
      <c r="BV125" s="626"/>
      <c r="BW125" s="626"/>
      <c r="BX125" s="626"/>
      <c r="BY125" s="626"/>
      <c r="BZ125" s="626"/>
      <c r="CA125" s="626"/>
    </row>
    <row r="126" spans="1:79" s="626" customFormat="1">
      <c r="A126" s="671"/>
      <c r="B126" s="1568"/>
      <c r="C126" s="624" t="s">
        <v>733</v>
      </c>
      <c r="D126" s="624" t="str">
        <f>VLOOKUP(F126,'Baumaterialien Matériaux'!$A$10:$AD$432,30,FALSE)</f>
        <v>Bois massif épicéa / sapin / mélèze, séché en cellule, raboté</v>
      </c>
      <c r="E126" s="624" t="str">
        <f>VLOOKUP(F126,'Baumaterialien Matériaux'!$A$10:$AD$432,7,FALSE)</f>
        <v>kg</v>
      </c>
      <c r="F126" s="632" t="s">
        <v>766</v>
      </c>
      <c r="G126" s="625">
        <f>0.23*465</f>
        <v>106.95</v>
      </c>
      <c r="H126" s="624"/>
      <c r="I126" s="624">
        <v>60</v>
      </c>
      <c r="J126" s="1319"/>
      <c r="K126" s="1319"/>
      <c r="L126" s="625">
        <f>$G126*_xlfn.XLOOKUP($F126,'Baumaterialien Matériaux'!$A:$A,'Baumaterialien Matériaux'!AA:AA,0,0)</f>
        <v>14.331300000000001</v>
      </c>
      <c r="M126" s="625">
        <f>$G126*_xlfn.XLOOKUP($F126,'Baumaterialien Matériaux'!$A:$A,'Baumaterialien Matériaux'!AB:AB,0,0)</f>
        <v>4.1710500000000001</v>
      </c>
      <c r="N126" s="625">
        <f>$G126*_xlfn.XLOOKUP($F126,'Baumaterialien Matériaux'!$A:$A,'Baumaterialien Matériaux'!AC:AC,0,0)*44/12</f>
        <v>176.85965000000002</v>
      </c>
      <c r="O126" s="625">
        <f>$G126*_xlfn.XLOOKUP($F126,'Baumaterialien Matériaux'!$A:$A,'Baumaterialien Matériaux'!AG:AG,0,0)</f>
        <v>4.5988499999999997</v>
      </c>
      <c r="P126" s="625">
        <f>$G126*_xlfn.XLOOKUP($F126,'Baumaterialien Matériaux'!$A:$A,'Baumaterialien Matériaux'!AH:AH,0,0)</f>
        <v>0.77859600000000007</v>
      </c>
    </row>
    <row r="127" spans="1:79" s="663" customFormat="1" ht="15.75" thickBot="1">
      <c r="A127" s="673"/>
      <c r="B127" s="664"/>
      <c r="F127" s="665"/>
      <c r="I127" s="675"/>
      <c r="J127" s="1321"/>
      <c r="K127" s="1321"/>
      <c r="L127" s="667">
        <f t="shared" ref="L127:N127" si="20">SUM(L125:L126)</f>
        <v>18.222899999999999</v>
      </c>
      <c r="M127" s="667">
        <f t="shared" si="20"/>
        <v>4.6908700000000003</v>
      </c>
      <c r="N127" s="667">
        <f t="shared" si="20"/>
        <v>191.78371666666669</v>
      </c>
      <c r="O127" s="667">
        <f t="shared" ref="O127:P127" si="21">SUM(O125:O126)</f>
        <v>5.9148499999999995</v>
      </c>
      <c r="P127" s="667">
        <f t="shared" si="21"/>
        <v>1.1442559999999999</v>
      </c>
      <c r="Q127" s="626"/>
      <c r="R127" s="626">
        <f>(L127+M127)/I126</f>
        <v>0.38189616666666665</v>
      </c>
      <c r="S127" s="626">
        <v>0.52</v>
      </c>
      <c r="T127" s="626"/>
      <c r="U127" s="626"/>
      <c r="V127" s="626"/>
      <c r="W127" s="626"/>
      <c r="X127" s="626"/>
      <c r="Y127" s="626"/>
      <c r="Z127" s="626"/>
      <c r="AA127" s="626"/>
      <c r="AB127" s="626"/>
      <c r="AC127" s="626"/>
      <c r="AD127" s="626"/>
      <c r="AE127" s="626"/>
      <c r="AF127" s="626"/>
      <c r="AG127" s="626"/>
      <c r="AH127" s="626"/>
      <c r="AI127" s="626"/>
      <c r="AJ127" s="626"/>
      <c r="AK127" s="626"/>
      <c r="AL127" s="626"/>
      <c r="AM127" s="626"/>
      <c r="AN127" s="626"/>
      <c r="AO127" s="626"/>
      <c r="AP127" s="626"/>
      <c r="AQ127" s="626"/>
      <c r="AR127" s="626"/>
      <c r="AS127" s="626"/>
      <c r="AT127" s="626"/>
      <c r="AU127" s="626"/>
      <c r="AV127" s="626"/>
      <c r="AW127" s="626"/>
      <c r="AX127" s="626"/>
      <c r="AY127" s="626"/>
      <c r="AZ127" s="626"/>
      <c r="BA127" s="626"/>
      <c r="BB127" s="626"/>
      <c r="BC127" s="626"/>
      <c r="BD127" s="626"/>
      <c r="BE127" s="626"/>
      <c r="BF127" s="626"/>
      <c r="BG127" s="626"/>
      <c r="BH127" s="626"/>
      <c r="BI127" s="626"/>
      <c r="BJ127" s="626"/>
      <c r="BK127" s="626"/>
      <c r="BL127" s="626"/>
      <c r="BM127" s="626"/>
      <c r="BN127" s="626"/>
      <c r="BO127" s="626"/>
      <c r="BP127" s="626"/>
      <c r="BQ127" s="626"/>
      <c r="BR127" s="626"/>
      <c r="BS127" s="626"/>
      <c r="BT127" s="626"/>
      <c r="BU127" s="626"/>
      <c r="BV127" s="626"/>
      <c r="BW127" s="626"/>
      <c r="BX127" s="626"/>
      <c r="BY127" s="626"/>
      <c r="BZ127" s="626"/>
      <c r="CA127" s="626"/>
    </row>
    <row r="128" spans="1:79" s="172" customFormat="1" ht="15.75" thickTop="1">
      <c r="F128" s="690"/>
      <c r="I128" s="692"/>
      <c r="J128" s="1228"/>
      <c r="K128" s="1228"/>
      <c r="L128" s="1017"/>
      <c r="M128" s="1017"/>
      <c r="N128" s="1017"/>
      <c r="O128" s="1017"/>
      <c r="P128" s="1017"/>
    </row>
    <row r="129" spans="1:79">
      <c r="L129" s="132"/>
      <c r="M129" s="132"/>
      <c r="N129" s="132"/>
      <c r="O129" s="132"/>
      <c r="P129" s="132"/>
    </row>
    <row r="130" spans="1:79" s="160" customFormat="1" ht="14.25" customHeight="1">
      <c r="A130" s="677" t="s">
        <v>843</v>
      </c>
      <c r="B130" s="1577" t="s">
        <v>844</v>
      </c>
      <c r="C130" s="181" t="s">
        <v>845</v>
      </c>
      <c r="D130" s="181" t="str">
        <f>VLOOKUP(F130,'Baumaterialien Matériaux'!$A$10:$AD$432,30,FALSE)</f>
        <v>Béton pour bâtiment (sans armature)</v>
      </c>
      <c r="E130" s="181" t="str">
        <f>VLOOKUP(F130,'Baumaterialien Matériaux'!$A$10:$AD$432,7,FALSE)</f>
        <v>kg</v>
      </c>
      <c r="F130" s="601" t="s">
        <v>685</v>
      </c>
      <c r="G130" s="182">
        <f>(0.4-G131/7850)*2300</f>
        <v>902.71337579617841</v>
      </c>
      <c r="H130" s="1340"/>
      <c r="I130" s="599">
        <v>60</v>
      </c>
      <c r="J130" s="1319"/>
      <c r="K130" s="1319"/>
      <c r="L130" s="1012">
        <f>$G130*_xlfn.XLOOKUP($F130,'Baumaterialien Matériaux'!$A:$A,'Baumaterialien Matériaux'!AA:AA,0,0)</f>
        <v>80.070676433121022</v>
      </c>
      <c r="M130" s="1012">
        <f>$G130*_xlfn.XLOOKUP($F130,'Baumaterialien Matériaux'!$A:$A,'Baumaterialien Matériaux'!AB:AB,0,0)</f>
        <v>11.374188535031848</v>
      </c>
      <c r="N130" s="1012">
        <f>$G130*_xlfn.XLOOKUP($F130,'Baumaterialien Matériaux'!$A:$A,'Baumaterialien Matériaux'!AC:AC,0,0)*44/12</f>
        <v>0</v>
      </c>
      <c r="O130" s="1012">
        <f>$G130*_xlfn.XLOOKUP($F130,'Baumaterialien Matériaux'!$A:$A,'Baumaterialien Matériaux'!AG:AG,0,0)</f>
        <v>18.776438216560511</v>
      </c>
      <c r="P130" s="1012">
        <f>$G130*_xlfn.XLOOKUP($F130,'Baumaterialien Matériaux'!$A:$A,'Baumaterialien Matériaux'!AH:AH,0,0)</f>
        <v>2.4192718471337584</v>
      </c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</row>
    <row r="131" spans="1:79" ht="14.25" customHeight="1">
      <c r="A131" s="172"/>
      <c r="B131" s="1577"/>
      <c r="C131" s="181" t="s">
        <v>846</v>
      </c>
      <c r="D131" s="181" t="str">
        <f>VLOOKUP(F131,'Baumaterialien Matériaux'!$A$10:$AD$432,30,FALSE)</f>
        <v>Acier d'armature</v>
      </c>
      <c r="E131" s="181" t="str">
        <f>VLOOKUP(F131,'Baumaterialien Matériaux'!$A$10:$AD$432,7,FALSE)</f>
        <v>kg</v>
      </c>
      <c r="F131" s="314" t="s">
        <v>687</v>
      </c>
      <c r="G131" s="182">
        <f>147.5*0.4</f>
        <v>59</v>
      </c>
      <c r="I131" s="599">
        <v>60</v>
      </c>
      <c r="J131" s="1319"/>
      <c r="K131" s="1319"/>
      <c r="L131" s="1012">
        <f>$G131*_xlfn.XLOOKUP($F131,'Baumaterialien Matériaux'!$A:$A,'Baumaterialien Matériaux'!AA:AA,0,0)</f>
        <v>45.606999999999999</v>
      </c>
      <c r="M131" s="1012">
        <f>$G131*_xlfn.XLOOKUP($F131,'Baumaterialien Matériaux'!$A:$A,'Baumaterialien Matériaux'!AB:AB,0,0)</f>
        <v>0.7198</v>
      </c>
      <c r="N131" s="1012">
        <f>$G131*_xlfn.XLOOKUP($F131,'Baumaterialien Matériaux'!$A:$A,'Baumaterialien Matériaux'!AC:AC,0,0)*44/12</f>
        <v>0</v>
      </c>
      <c r="O131" s="1012">
        <f>$G131*_xlfn.XLOOKUP($F131,'Baumaterialien Matériaux'!$A:$A,'Baumaterialien Matériaux'!AG:AG,0,0)</f>
        <v>17.169</v>
      </c>
      <c r="P131" s="1012">
        <f>$G131*_xlfn.XLOOKUP($F131,'Baumaterialien Matériaux'!$A:$A,'Baumaterialien Matériaux'!AH:AH,0,0)</f>
        <v>0</v>
      </c>
    </row>
    <row r="132" spans="1:79" ht="14.25" customHeight="1">
      <c r="A132" s="172"/>
      <c r="B132" s="1577"/>
      <c r="C132" s="181" t="s">
        <v>847</v>
      </c>
      <c r="D132" s="181" t="str">
        <f>VLOOKUP(F132,'Baumaterialien Matériaux'!$A$10:$AD$432,30,FALSE)</f>
        <v>Bois massif 3 et 5 plis</v>
      </c>
      <c r="E132" s="181" t="str">
        <f>VLOOKUP(F132,'Baumaterialien Matériaux'!$A$10:$AD$432,7,FALSE)</f>
        <v>kg</v>
      </c>
      <c r="F132" s="314" t="s">
        <v>705</v>
      </c>
      <c r="G132" s="182">
        <f>2/5*0.025*470</f>
        <v>4.7000000000000011</v>
      </c>
      <c r="I132" s="599">
        <v>60</v>
      </c>
      <c r="J132" s="1319"/>
      <c r="K132" s="1319"/>
      <c r="L132" s="1012">
        <f>$G132*_xlfn.XLOOKUP($F132,'Baumaterialien Matériaux'!$A:$A,'Baumaterialien Matériaux'!AA:AA,0,0)</f>
        <v>1.9458000000000004</v>
      </c>
      <c r="M132" s="1012">
        <f>$G132*_xlfn.XLOOKUP($F132,'Baumaterialien Matériaux'!$A:$A,'Baumaterialien Matériaux'!AB:AB,0,0)</f>
        <v>0.25991000000000009</v>
      </c>
      <c r="N132" s="1012">
        <f>$G132*_xlfn.XLOOKUP($F132,'Baumaterialien Matériaux'!$A:$A,'Baumaterialien Matériaux'!AC:AC,0,0)*44/12</f>
        <v>7.4620333333333342</v>
      </c>
      <c r="O132" s="1012">
        <f>$G132*_xlfn.XLOOKUP($F132,'Baumaterialien Matériaux'!$A:$A,'Baumaterialien Matériaux'!AG:AG,0,0)</f>
        <v>0.65800000000000025</v>
      </c>
      <c r="P132" s="1012">
        <f>$G132*_xlfn.XLOOKUP($F132,'Baumaterialien Matériaux'!$A:$A,'Baumaterialien Matériaux'!AH:AH,0,0)</f>
        <v>0.18283000000000002</v>
      </c>
    </row>
    <row r="133" spans="1:79" s="658" customFormat="1" ht="15.75" thickBot="1">
      <c r="A133" s="676"/>
      <c r="B133" s="662"/>
      <c r="F133" s="659"/>
      <c r="I133" s="672"/>
      <c r="J133" s="1321"/>
      <c r="K133" s="1321"/>
      <c r="L133" s="660">
        <f t="shared" ref="L133:N133" si="22">SUM(L130:L132)</f>
        <v>127.62347643312103</v>
      </c>
      <c r="M133" s="660">
        <f t="shared" si="22"/>
        <v>12.353898535031847</v>
      </c>
      <c r="N133" s="660">
        <f t="shared" si="22"/>
        <v>7.4620333333333342</v>
      </c>
      <c r="O133" s="660">
        <f t="shared" ref="O133:P133" si="23">SUM(O130:O132)</f>
        <v>36.603438216560512</v>
      </c>
      <c r="P133" s="660">
        <f t="shared" si="23"/>
        <v>2.6021018471337585</v>
      </c>
      <c r="Q133" s="3"/>
      <c r="R133" s="626">
        <f>(L133+M133)/I132</f>
        <v>2.3329562494692144</v>
      </c>
      <c r="S133" s="3">
        <v>2.42</v>
      </c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ht="15" thickTop="1">
      <c r="L134" s="132"/>
      <c r="M134" s="132"/>
      <c r="N134" s="132"/>
      <c r="O134" s="132"/>
      <c r="P134" s="132"/>
    </row>
    <row r="135" spans="1:79" ht="13.9" customHeight="1">
      <c r="A135" s="1337" t="s">
        <v>848</v>
      </c>
      <c r="B135" s="1312"/>
      <c r="C135" s="181" t="s">
        <v>842</v>
      </c>
      <c r="D135" s="181" t="str">
        <f>VLOOKUP(F135,'Baumaterialien Matériaux'!$A$10:$AD$432,30,FALSE)</f>
        <v>Bois massif 3 et 5 plis</v>
      </c>
      <c r="E135" s="181" t="str">
        <f>VLOOKUP(F135,'Baumaterialien Matériaux'!$A$10:$AD$432,7,FALSE)</f>
        <v>kg</v>
      </c>
      <c r="F135" s="602" t="s">
        <v>705</v>
      </c>
      <c r="G135" s="182">
        <f>0.02*470</f>
        <v>9.4</v>
      </c>
      <c r="H135" s="182"/>
      <c r="I135" s="599">
        <v>60</v>
      </c>
      <c r="J135" s="1319"/>
      <c r="K135" s="1319"/>
      <c r="L135" s="1012">
        <f>$G135*_xlfn.XLOOKUP($F135,'Baumaterialien Matériaux'!$A:$A,'Baumaterialien Matériaux'!AA:AA,0,0)</f>
        <v>3.8915999999999999</v>
      </c>
      <c r="M135" s="1012">
        <f>$G135*_xlfn.XLOOKUP($F135,'Baumaterialien Matériaux'!$A:$A,'Baumaterialien Matériaux'!AB:AB,0,0)</f>
        <v>0.51982000000000006</v>
      </c>
      <c r="N135" s="1012">
        <f>$G135*_xlfn.XLOOKUP($F135,'Baumaterialien Matériaux'!$A:$A,'Baumaterialien Matériaux'!AC:AC,0,0)*44/12</f>
        <v>14.924066666666667</v>
      </c>
      <c r="O135" s="1012">
        <f>$G135*_xlfn.XLOOKUP($F135,'Baumaterialien Matériaux'!$A:$A,'Baumaterialien Matériaux'!AG:AG,0,0)</f>
        <v>1.3160000000000003</v>
      </c>
      <c r="P135" s="1012">
        <f>$G135*_xlfn.XLOOKUP($F135,'Baumaterialien Matériaux'!$A:$A,'Baumaterialien Matériaux'!AH:AH,0,0)</f>
        <v>0.36565999999999999</v>
      </c>
    </row>
    <row r="136" spans="1:79" ht="15">
      <c r="A136" s="671"/>
      <c r="B136" s="1328"/>
      <c r="C136" s="181" t="s">
        <v>733</v>
      </c>
      <c r="D136" s="181" t="str">
        <f>VLOOKUP(F136,'Baumaterialien Matériaux'!$A$10:$AD$432,30,FALSE)</f>
        <v>Bois massif épicéa / sapin / mélèze, séché en cellule, raboté</v>
      </c>
      <c r="E136" s="181" t="str">
        <f>VLOOKUP(F136,'Baumaterialien Matériaux'!$A$10:$AD$432,7,FALSE)</f>
        <v>kg</v>
      </c>
      <c r="F136" s="181" t="s">
        <v>766</v>
      </c>
      <c r="G136" s="182">
        <f>0.23*465</f>
        <v>106.95</v>
      </c>
      <c r="H136" s="182"/>
      <c r="I136" s="599">
        <v>60</v>
      </c>
      <c r="J136" s="1319"/>
      <c r="K136" s="1319"/>
      <c r="L136" s="1012">
        <f>$G136*_xlfn.XLOOKUP($F136,'Baumaterialien Matériaux'!$A:$A,'Baumaterialien Matériaux'!AA:AA,0,0)</f>
        <v>14.331300000000001</v>
      </c>
      <c r="M136" s="1012">
        <f>$G136*_xlfn.XLOOKUP($F136,'Baumaterialien Matériaux'!$A:$A,'Baumaterialien Matériaux'!AB:AB,0,0)</f>
        <v>4.1710500000000001</v>
      </c>
      <c r="N136" s="1012">
        <f>$G136*_xlfn.XLOOKUP($F136,'Baumaterialien Matériaux'!$A:$A,'Baumaterialien Matériaux'!AC:AC,0,0)*44/12</f>
        <v>176.85965000000002</v>
      </c>
      <c r="O136" s="1012">
        <f>$G136*_xlfn.XLOOKUP($F136,'Baumaterialien Matériaux'!$A:$A,'Baumaterialien Matériaux'!AG:AG,0,0)</f>
        <v>4.5988499999999997</v>
      </c>
      <c r="P136" s="1012">
        <f>$G136*_xlfn.XLOOKUP($F136,'Baumaterialien Matériaux'!$A:$A,'Baumaterialien Matériaux'!AH:AH,0,0)</f>
        <v>0.77859600000000007</v>
      </c>
    </row>
    <row r="137" spans="1:79" ht="13.9" customHeight="1">
      <c r="A137" s="671"/>
      <c r="B137" s="1144"/>
      <c r="C137" s="148"/>
      <c r="D137" s="181"/>
      <c r="E137" s="182"/>
      <c r="F137" s="181"/>
      <c r="G137" s="182"/>
      <c r="H137" s="182"/>
      <c r="I137" s="182">
        <v>60</v>
      </c>
      <c r="J137" s="182"/>
      <c r="K137" s="182"/>
      <c r="L137" s="132">
        <f>SUM(L135:L136)</f>
        <v>18.222899999999999</v>
      </c>
      <c r="M137" s="132">
        <f t="shared" ref="M137:P137" si="24">SUM(M135:M136)</f>
        <v>4.6908700000000003</v>
      </c>
      <c r="N137" s="132">
        <f t="shared" si="24"/>
        <v>191.78371666666669</v>
      </c>
      <c r="O137" s="132">
        <f t="shared" si="24"/>
        <v>5.9148499999999995</v>
      </c>
      <c r="P137" s="132">
        <f t="shared" si="24"/>
        <v>1.1442559999999999</v>
      </c>
      <c r="R137" s="626">
        <f>(L137+M137)/I136</f>
        <v>0.38189616666666665</v>
      </c>
      <c r="S137" s="3">
        <v>0.56999999999999995</v>
      </c>
    </row>
    <row r="140" spans="1:79">
      <c r="L140" s="132"/>
      <c r="M140" s="132"/>
      <c r="N140" s="132"/>
      <c r="O140" s="132"/>
      <c r="P140" s="132"/>
    </row>
    <row r="141" spans="1:79" s="160" customFormat="1">
      <c r="A141" s="1337" t="s">
        <v>849</v>
      </c>
      <c r="B141" s="180" t="s">
        <v>850</v>
      </c>
      <c r="C141" s="181" t="s">
        <v>733</v>
      </c>
      <c r="D141" s="181" t="str">
        <f>VLOOKUP(F141,'Baumaterialien Matériaux'!$A$10:$AD$432,30,FALSE)</f>
        <v>Bois massif épicéa / sapin / mélèze, séché en cellule, raboté</v>
      </c>
      <c r="E141" s="181" t="str">
        <f>VLOOKUP(F141,'Baumaterialien Matériaux'!$A$10:$AD$432,7,FALSE)</f>
        <v>kg</v>
      </c>
      <c r="F141" s="601" t="s">
        <v>766</v>
      </c>
      <c r="G141" s="182">
        <f>0.056*465</f>
        <v>26.04</v>
      </c>
      <c r="H141" s="181"/>
      <c r="I141" s="181">
        <v>60</v>
      </c>
      <c r="J141" s="1319"/>
      <c r="K141" s="1319"/>
      <c r="L141" s="182">
        <f>$G141*_xlfn.XLOOKUP($F141,'Baumaterialien Matériaux'!$A:$A,'Baumaterialien Matériaux'!AA:AA,0,0)</f>
        <v>3.48936</v>
      </c>
      <c r="M141" s="182">
        <f>$G141*_xlfn.XLOOKUP($F141,'Baumaterialien Matériaux'!$A:$A,'Baumaterialien Matériaux'!AB:AB,0,0)</f>
        <v>1.01556</v>
      </c>
      <c r="N141" s="182">
        <f>$G141*_xlfn.XLOOKUP($F141,'Baumaterialien Matériaux'!$A:$A,'Baumaterialien Matériaux'!AC:AC,0,0)*44/12</f>
        <v>43.061479999999996</v>
      </c>
      <c r="O141" s="182">
        <f>$G141*_xlfn.XLOOKUP($F141,'Baumaterialien Matériaux'!$A:$A,'Baumaterialien Matériaux'!AG:AG,0,0)</f>
        <v>1.1197199999999998</v>
      </c>
      <c r="P141" s="182">
        <f>$G141*_xlfn.XLOOKUP($F141,'Baumaterialien Matériaux'!$A:$A,'Baumaterialien Matériaux'!AH:AH,0,0)</f>
        <v>0.1895712</v>
      </c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</row>
    <row r="142" spans="1:79">
      <c r="A142" s="671"/>
      <c r="B142" s="180"/>
      <c r="C142" s="181" t="s">
        <v>852</v>
      </c>
      <c r="D142" s="181" t="str">
        <f>VLOOKUP(F142,'Baumaterialien Matériaux'!$A$10:$AD$432,30,FALSE)</f>
        <v>Bois lamellé / multiplex, colle PF, zone humide</v>
      </c>
      <c r="E142" s="181" t="str">
        <f>VLOOKUP(F142,'Baumaterialien Matériaux'!$A$10:$AD$432,7,FALSE)</f>
        <v>kg</v>
      </c>
      <c r="F142" s="314" t="s">
        <v>853</v>
      </c>
      <c r="G142" s="182">
        <f>0.024*500</f>
        <v>12</v>
      </c>
      <c r="H142" s="181"/>
      <c r="I142" s="181">
        <v>60</v>
      </c>
      <c r="J142" s="1319"/>
      <c r="K142" s="1319"/>
      <c r="L142" s="182">
        <f>$G142*_xlfn.XLOOKUP($F142,'Baumaterialien Matériaux'!$A:$A,'Baumaterialien Matériaux'!AA:AA,0,0)</f>
        <v>16.200000000000003</v>
      </c>
      <c r="M142" s="182">
        <f>$G142*_xlfn.XLOOKUP($F142,'Baumaterialien Matériaux'!$A:$A,'Baumaterialien Matériaux'!AB:AB,0,0)</f>
        <v>0.95760000000000001</v>
      </c>
      <c r="N142" s="182">
        <f>$G142*_xlfn.XLOOKUP($F142,'Baumaterialien Matériaux'!$A:$A,'Baumaterialien Matériaux'!AC:AC,0,0)*44/12</f>
        <v>18.04</v>
      </c>
      <c r="O142" s="182">
        <f>$G142*_xlfn.XLOOKUP($F142,'Baumaterialien Matériaux'!$A:$A,'Baumaterialien Matériaux'!AG:AG,0,0)</f>
        <v>9.5400000000000009</v>
      </c>
      <c r="P142" s="182">
        <f>$G142*_xlfn.XLOOKUP($F142,'Baumaterialien Matériaux'!$A:$A,'Baumaterialien Matériaux'!AH:AH,0,0)</f>
        <v>0.46679999999999999</v>
      </c>
    </row>
    <row r="143" spans="1:79">
      <c r="A143" s="671"/>
      <c r="B143" s="180"/>
      <c r="C143" s="181" t="s">
        <v>854</v>
      </c>
      <c r="D143" s="181" t="str">
        <f>VLOOKUP(F143,'Baumaterialien Matériaux'!$A$10:$AD$432,30,FALSE)</f>
        <v>Colle bicomposant</v>
      </c>
      <c r="E143" s="181" t="str">
        <f>VLOOKUP(F143,'Baumaterialien Matériaux'!$A$10:$AD$432,7,FALSE)</f>
        <v>kg</v>
      </c>
      <c r="F143" s="601" t="s">
        <v>855</v>
      </c>
      <c r="G143" s="182">
        <v>0.28000000000000003</v>
      </c>
      <c r="H143" s="181"/>
      <c r="I143" s="181">
        <v>60</v>
      </c>
      <c r="J143" s="1319"/>
      <c r="K143" s="1319"/>
      <c r="L143" s="182">
        <f>$G143*_xlfn.XLOOKUP($F143,'Baumaterialien Matériaux'!$A:$A,'Baumaterialien Matériaux'!AA:AA,0,0)</f>
        <v>1.3020000000000003</v>
      </c>
      <c r="M143" s="182">
        <f>$G143*_xlfn.XLOOKUP($F143,'Baumaterialien Matériaux'!$A:$A,'Baumaterialien Matériaux'!AB:AB,0,0)</f>
        <v>5.2360000000000004E-2</v>
      </c>
      <c r="N143" s="182">
        <f>$G143*_xlfn.XLOOKUP($F143,'Baumaterialien Matériaux'!$A:$A,'Baumaterialien Matériaux'!AC:AC,0,0)*44/12</f>
        <v>0</v>
      </c>
      <c r="O143" s="182">
        <f>$G143*_xlfn.XLOOKUP($F143,'Baumaterialien Matériaux'!$A:$A,'Baumaterialien Matériaux'!AG:AG,0,0)</f>
        <v>1.2712000000000001</v>
      </c>
      <c r="P143" s="182">
        <f>$G143*_xlfn.XLOOKUP($F143,'Baumaterialien Matériaux'!$A:$A,'Baumaterialien Matériaux'!AH:AH,0,0)</f>
        <v>0.12012</v>
      </c>
    </row>
    <row r="144" spans="1:79">
      <c r="A144" s="671"/>
      <c r="B144" s="1334"/>
      <c r="C144" s="3" t="s">
        <v>856</v>
      </c>
      <c r="D144" s="181" t="str">
        <f>VLOOKUP(F144,'Baumaterialien Matériaux'!$A$10:$AD$432,30,FALSE)</f>
        <v>Fibres de cellulose (soufflées)</v>
      </c>
      <c r="E144" s="181" t="str">
        <f>VLOOKUP(F144,'Baumaterialien Matériaux'!$A$10:$AD$432,7,FALSE)</f>
        <v>kg</v>
      </c>
      <c r="F144" s="1335" t="s">
        <v>857</v>
      </c>
      <c r="G144" s="182">
        <f>0.06*35</f>
        <v>2.1</v>
      </c>
      <c r="H144" s="181"/>
      <c r="I144" s="181">
        <v>60</v>
      </c>
      <c r="J144" s="1319"/>
      <c r="K144" s="1319"/>
      <c r="L144" s="182">
        <f>$G144*_xlfn.XLOOKUP($F144,'Baumaterialien Matériaux'!$A:$A,'Baumaterialien Matériaux'!AA:AA,0,0)</f>
        <v>0.43890000000000001</v>
      </c>
      <c r="M144" s="182">
        <f>$G144*_xlfn.XLOOKUP($F144,'Baumaterialien Matériaux'!$A:$A,'Baumaterialien Matériaux'!AB:AB,0,0)</f>
        <v>0.14889000000000002</v>
      </c>
      <c r="N144" s="182">
        <f>$G144*_xlfn.XLOOKUP($F144,'Baumaterialien Matériaux'!$A:$A,'Baumaterialien Matériaux'!AC:AC,0,0)*44/12</f>
        <v>3.1107999999999998</v>
      </c>
      <c r="O144" s="182">
        <f>$G144*_xlfn.XLOOKUP($F144,'Baumaterialien Matériaux'!$A:$A,'Baumaterialien Matériaux'!AG:AG,0,0)</f>
        <v>0.378</v>
      </c>
      <c r="P144" s="182">
        <f>$G144*_xlfn.XLOOKUP($F144,'Baumaterialien Matériaux'!$A:$A,'Baumaterialien Matériaux'!AH:AH,0,0)</f>
        <v>6.5730000000000011E-2</v>
      </c>
    </row>
    <row r="145" spans="1:79" s="658" customFormat="1" ht="15.75" thickBot="1">
      <c r="A145" s="673"/>
      <c r="B145" s="662"/>
      <c r="F145" s="659"/>
      <c r="I145" s="672"/>
      <c r="J145" s="1321"/>
      <c r="K145" s="1321"/>
      <c r="L145" s="660">
        <f t="shared" ref="L145:N145" si="25">SUM(L141:L143)</f>
        <v>20.991360000000004</v>
      </c>
      <c r="M145" s="660">
        <f t="shared" si="25"/>
        <v>2.0255200000000002</v>
      </c>
      <c r="N145" s="660">
        <f t="shared" si="25"/>
        <v>61.101479999999995</v>
      </c>
      <c r="O145" s="660">
        <f t="shared" ref="O145:P145" si="26">SUM(O141:O143)</f>
        <v>11.93092</v>
      </c>
      <c r="P145" s="660">
        <f t="shared" si="26"/>
        <v>0.77649119999999994</v>
      </c>
      <c r="Q145" s="3"/>
      <c r="R145" s="626">
        <f>(L145+M145)/I144</f>
        <v>0.38361466666666671</v>
      </c>
      <c r="S145" s="3">
        <v>0.56999999999999995</v>
      </c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79" ht="15.75" thickTop="1">
      <c r="A146" s="172"/>
      <c r="I146" s="1"/>
      <c r="J146" s="1228"/>
      <c r="K146" s="1228"/>
      <c r="L146" s="1008"/>
      <c r="M146" s="1008"/>
      <c r="N146" s="1008"/>
      <c r="O146" s="1008"/>
      <c r="P146" s="1008"/>
    </row>
    <row r="147" spans="1:79" s="160" customFormat="1">
      <c r="A147" s="677" t="s">
        <v>858</v>
      </c>
      <c r="B147" s="1575" t="s">
        <v>859</v>
      </c>
      <c r="C147" s="181" t="s">
        <v>838</v>
      </c>
      <c r="D147" s="181" t="str">
        <f>VLOOKUP(F147,'Baumaterialien Matériaux'!$A$10:$AD$432,30,FALSE)</f>
        <v>Béton pour bâtiment (sans armature)</v>
      </c>
      <c r="E147" s="181" t="str">
        <f>VLOOKUP(F147,'Baumaterialien Matériaux'!$A$10:$AD$432,7,FALSE)</f>
        <v>kg</v>
      </c>
      <c r="F147" s="601" t="s">
        <v>685</v>
      </c>
      <c r="G147" s="182">
        <f>(0.11-G148/7850)*2300</f>
        <v>250.42165605095539</v>
      </c>
      <c r="H147" s="1340"/>
      <c r="I147" s="620">
        <v>60</v>
      </c>
      <c r="J147" s="1319"/>
      <c r="K147" s="1319"/>
      <c r="L147" s="1009">
        <f>$G147*_xlfn.XLOOKUP($F147,'Baumaterialien Matériaux'!$A:$A,'Baumaterialien Matériaux'!AA:AA,0,0)</f>
        <v>22.212400891719742</v>
      </c>
      <c r="M147" s="1009">
        <f>$G147*_xlfn.XLOOKUP($F147,'Baumaterialien Matériaux'!$A:$A,'Baumaterialien Matériaux'!AB:AB,0,0)</f>
        <v>3.155312866242038</v>
      </c>
      <c r="N147" s="1009">
        <f>$G147*_xlfn.XLOOKUP($F147,'Baumaterialien Matériaux'!$A:$A,'Baumaterialien Matériaux'!AC:AC,0,0)*44/12</f>
        <v>0</v>
      </c>
      <c r="O147" s="1009">
        <f>$G147*_xlfn.XLOOKUP($F147,'Baumaterialien Matériaux'!$A:$A,'Baumaterialien Matériaux'!AG:AG,0,0)</f>
        <v>5.208770445859872</v>
      </c>
      <c r="P147" s="1009">
        <f>$G147*_xlfn.XLOOKUP($F147,'Baumaterialien Matériaux'!$A:$A,'Baumaterialien Matériaux'!AH:AH,0,0)</f>
        <v>0.67113003821656048</v>
      </c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</row>
    <row r="148" spans="1:79">
      <c r="A148" s="172"/>
      <c r="B148" s="1575"/>
      <c r="C148" s="181" t="s">
        <v>860</v>
      </c>
      <c r="D148" s="181" t="str">
        <f>VLOOKUP(F148,'Baumaterialien Matériaux'!$A$10:$AD$432,30,FALSE)</f>
        <v>Acier d'armature</v>
      </c>
      <c r="E148" s="181" t="str">
        <f>VLOOKUP(F148,'Baumaterialien Matériaux'!$A$10:$AD$432,7,FALSE)</f>
        <v>kg</v>
      </c>
      <c r="F148" s="314" t="s">
        <v>687</v>
      </c>
      <c r="G148" s="182">
        <f>80*0.11</f>
        <v>8.8000000000000007</v>
      </c>
      <c r="I148" s="620">
        <v>60</v>
      </c>
      <c r="J148" s="1319"/>
      <c r="K148" s="1319"/>
      <c r="L148" s="1009">
        <f>$G148*_xlfn.XLOOKUP($F148,'Baumaterialien Matériaux'!$A:$A,'Baumaterialien Matériaux'!AA:AA,0,0)</f>
        <v>6.8024000000000004</v>
      </c>
      <c r="M148" s="1009">
        <f>$G148*_xlfn.XLOOKUP($F148,'Baumaterialien Matériaux'!$A:$A,'Baumaterialien Matériaux'!AB:AB,0,0)</f>
        <v>0.10736000000000001</v>
      </c>
      <c r="N148" s="1009">
        <f>$G148*_xlfn.XLOOKUP($F148,'Baumaterialien Matériaux'!$A:$A,'Baumaterialien Matériaux'!AC:AC,0,0)*44/12</f>
        <v>0</v>
      </c>
      <c r="O148" s="1009">
        <f>$G148*_xlfn.XLOOKUP($F148,'Baumaterialien Matériaux'!$A:$A,'Baumaterialien Matériaux'!AG:AG,0,0)</f>
        <v>2.5608</v>
      </c>
      <c r="P148" s="1009">
        <f>$G148*_xlfn.XLOOKUP($F148,'Baumaterialien Matériaux'!$A:$A,'Baumaterialien Matériaux'!AH:AH,0,0)</f>
        <v>0</v>
      </c>
    </row>
    <row r="149" spans="1:79">
      <c r="A149" s="172"/>
      <c r="B149" s="1575"/>
      <c r="C149" s="181" t="s">
        <v>861</v>
      </c>
      <c r="D149" s="181" t="str">
        <f>VLOOKUP(F149,'Baumaterialien Matériaux'!$A$10:$AD$432,30,FALSE)</f>
        <v>Tôle d'acier, zinguée</v>
      </c>
      <c r="E149" s="181" t="str">
        <f>VLOOKUP(F149,'Baumaterialien Matériaux'!$A$10:$AD$432,7,FALSE)</f>
        <v>kg</v>
      </c>
      <c r="F149" s="591" t="s">
        <v>772</v>
      </c>
      <c r="G149" s="182">
        <v>13</v>
      </c>
      <c r="I149" s="620">
        <v>60</v>
      </c>
      <c r="J149" s="1319"/>
      <c r="K149" s="1319"/>
      <c r="L149" s="1009">
        <f>$G149*_xlfn.XLOOKUP($F149,'Baumaterialien Matériaux'!$A:$A,'Baumaterialien Matériaux'!AA:AA,0,0)</f>
        <v>58.240000000000009</v>
      </c>
      <c r="M149" s="1009">
        <f>$G149*_xlfn.XLOOKUP($F149,'Baumaterialien Matériaux'!$A:$A,'Baumaterialien Matériaux'!AB:AB,0,0)</f>
        <v>9.0090000000000003E-2</v>
      </c>
      <c r="N149" s="1009">
        <f>$G149*_xlfn.XLOOKUP($F149,'Baumaterialien Matériaux'!$A:$A,'Baumaterialien Matériaux'!AC:AC,0,0)*44/12</f>
        <v>0</v>
      </c>
      <c r="O149" s="1009">
        <f>$G149*_xlfn.XLOOKUP($F149,'Baumaterialien Matériaux'!$A:$A,'Baumaterialien Matériaux'!AG:AG,0,0)</f>
        <v>22.62</v>
      </c>
      <c r="P149" s="1009">
        <f>$G149*_xlfn.XLOOKUP($F149,'Baumaterialien Matériaux'!$A:$A,'Baumaterialien Matériaux'!AH:AH,0,0)</f>
        <v>0</v>
      </c>
    </row>
    <row r="150" spans="1:79">
      <c r="A150" s="172"/>
      <c r="B150" s="1575"/>
      <c r="C150" s="181" t="s">
        <v>862</v>
      </c>
      <c r="D150" s="181" t="str">
        <f>VLOOKUP(F150,'Baumaterialien Matériaux'!$A$10:$AD$432,30,FALSE)</f>
        <v>Profil en acier, nu</v>
      </c>
      <c r="E150" s="181" t="str">
        <f>VLOOKUP(F150,'Baumaterialien Matériaux'!$A$10:$AD$432,7,FALSE)</f>
        <v>kg</v>
      </c>
      <c r="F150" s="591" t="s">
        <v>863</v>
      </c>
      <c r="G150" s="182">
        <v>10</v>
      </c>
      <c r="I150" s="620">
        <v>60</v>
      </c>
      <c r="J150" s="1319"/>
      <c r="K150" s="1319"/>
      <c r="L150" s="1009">
        <f>$G150*_xlfn.XLOOKUP($F150,'Baumaterialien Matériaux'!$A:$A,'Baumaterialien Matériaux'!AA:AA,0,0)</f>
        <v>7.29</v>
      </c>
      <c r="M150" s="1009">
        <f>$G150*_xlfn.XLOOKUP($F150,'Baumaterialien Matériaux'!$A:$A,'Baumaterialien Matériaux'!AB:AB,0,0)</f>
        <v>6.93E-2</v>
      </c>
      <c r="N150" s="1009">
        <f>$G150*_xlfn.XLOOKUP($F150,'Baumaterialien Matériaux'!$A:$A,'Baumaterialien Matériaux'!AC:AC,0,0)*44/12</f>
        <v>0</v>
      </c>
      <c r="O150" s="1009">
        <f>$G150*_xlfn.XLOOKUP($F150,'Baumaterialien Matériaux'!$A:$A,'Baumaterialien Matériaux'!AG:AG,0,0)</f>
        <v>2.6500000000000004</v>
      </c>
      <c r="P150" s="1009">
        <f>$G150*_xlfn.XLOOKUP($F150,'Baumaterialien Matériaux'!$A:$A,'Baumaterialien Matériaux'!AH:AH,0,0)</f>
        <v>0</v>
      </c>
    </row>
    <row r="151" spans="1:79" s="658" customFormat="1" ht="15.75" thickBot="1">
      <c r="A151" s="676"/>
      <c r="B151" s="662"/>
      <c r="F151" s="659"/>
      <c r="I151" s="672">
        <v>60</v>
      </c>
      <c r="J151" s="1321"/>
      <c r="K151" s="1321"/>
      <c r="L151" s="660">
        <f t="shared" ref="L151:N151" si="27">SUM(L147:L150)</f>
        <v>94.54480089171976</v>
      </c>
      <c r="M151" s="660">
        <f t="shared" si="27"/>
        <v>3.422062866242038</v>
      </c>
      <c r="N151" s="660">
        <f t="shared" si="27"/>
        <v>0</v>
      </c>
      <c r="O151" s="660">
        <f t="shared" ref="O151:P151" si="28">SUM(O147:O150)</f>
        <v>33.039570445859873</v>
      </c>
      <c r="P151" s="660">
        <f t="shared" si="28"/>
        <v>0.67113003821656048</v>
      </c>
      <c r="Q151" s="3"/>
      <c r="R151" s="626">
        <f>(L151+M151)/I150</f>
        <v>1.6327810626326966</v>
      </c>
      <c r="S151" s="3">
        <v>1.4</v>
      </c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</row>
    <row r="152" spans="1:79" ht="15" thickTop="1">
      <c r="L152" s="132"/>
      <c r="M152" s="132"/>
      <c r="N152" s="132"/>
      <c r="O152" s="132"/>
      <c r="P152" s="132"/>
    </row>
    <row r="153" spans="1:79" s="145" customFormat="1" ht="17.25">
      <c r="A153" s="143" t="s">
        <v>864</v>
      </c>
      <c r="B153" s="143" t="s">
        <v>546</v>
      </c>
      <c r="C153" s="143"/>
      <c r="D153" s="143"/>
      <c r="E153" s="143"/>
      <c r="F153" s="587"/>
      <c r="G153" s="143" t="s">
        <v>750</v>
      </c>
      <c r="H153" s="143"/>
      <c r="J153" s="1324"/>
      <c r="K153" s="1324"/>
      <c r="L153" s="935"/>
      <c r="M153" s="935"/>
      <c r="N153" s="935"/>
      <c r="O153" s="935"/>
      <c r="P153" s="935"/>
    </row>
    <row r="154" spans="1:79">
      <c r="L154" s="132"/>
      <c r="M154" s="132"/>
      <c r="N154" s="132"/>
      <c r="O154" s="132"/>
      <c r="P154" s="132"/>
    </row>
    <row r="155" spans="1:79" s="643" customFormat="1">
      <c r="A155" s="1282" t="s">
        <v>865</v>
      </c>
      <c r="B155" s="1568" t="s">
        <v>866</v>
      </c>
      <c r="C155" s="624" t="s">
        <v>867</v>
      </c>
      <c r="D155" s="624" t="str">
        <f>VLOOKUP(F155,'Baumaterialien Matériaux'!$A$10:$AD$432,30,FALSE)</f>
        <v>Barrière de vapeur bitumineuse</v>
      </c>
      <c r="E155" s="624" t="str">
        <f>VLOOKUP(F155,'Baumaterialien Matériaux'!$A$10:$AD$432,7,FALSE)</f>
        <v>kg</v>
      </c>
      <c r="F155" s="632" t="s">
        <v>868</v>
      </c>
      <c r="G155" s="625">
        <f>2*3.6</f>
        <v>7.2</v>
      </c>
      <c r="H155" s="624"/>
      <c r="I155" s="634">
        <v>30</v>
      </c>
      <c r="J155" s="1319"/>
      <c r="K155" s="1319"/>
      <c r="L155" s="1014">
        <f>$G155*_xlfn.XLOOKUP($F155,'Baumaterialien Matériaux'!$A:$A,'Baumaterialien Matériaux'!AA:AA,0,0)</f>
        <v>9.4320000000000004</v>
      </c>
      <c r="M155" s="1014">
        <f>$G155*_xlfn.XLOOKUP($F155,'Baumaterialien Matériaux'!$A:$A,'Baumaterialien Matériaux'!AB:AB,0,0)</f>
        <v>16.776</v>
      </c>
      <c r="N155" s="1014">
        <f>$G155*_xlfn.XLOOKUP($F155,'Baumaterialien Matériaux'!$A:$A,'Baumaterialien Matériaux'!AC:AC,0,0)*44/12</f>
        <v>0</v>
      </c>
      <c r="O155" s="1014">
        <f>$G155*_xlfn.XLOOKUP($F155,'Baumaterialien Matériaux'!$A:$A,'Baumaterialien Matériaux'!AG:AG,0,0)</f>
        <v>4.3992000000000004</v>
      </c>
      <c r="P155" s="1013"/>
      <c r="Q155" s="626"/>
      <c r="R155" s="626"/>
      <c r="S155" s="626"/>
      <c r="T155" s="626"/>
      <c r="U155" s="626"/>
      <c r="V155" s="626"/>
      <c r="W155" s="626"/>
      <c r="X155" s="626"/>
      <c r="Y155" s="626"/>
      <c r="Z155" s="626"/>
      <c r="AA155" s="626"/>
      <c r="AB155" s="626"/>
      <c r="AC155" s="626"/>
      <c r="AD155" s="626"/>
      <c r="AE155" s="626"/>
      <c r="AF155" s="626"/>
      <c r="AG155" s="626"/>
      <c r="AH155" s="626"/>
      <c r="AI155" s="626"/>
      <c r="AJ155" s="626"/>
      <c r="AK155" s="626"/>
      <c r="AL155" s="626"/>
      <c r="AM155" s="626"/>
      <c r="AN155" s="626"/>
      <c r="AO155" s="626"/>
      <c r="AP155" s="626"/>
      <c r="AQ155" s="626"/>
      <c r="AR155" s="626"/>
      <c r="AS155" s="626"/>
      <c r="AT155" s="626"/>
      <c r="AU155" s="626"/>
      <c r="AV155" s="626"/>
      <c r="AW155" s="626"/>
      <c r="AX155" s="626"/>
      <c r="AY155" s="626"/>
      <c r="AZ155" s="626"/>
      <c r="BA155" s="626"/>
      <c r="BB155" s="626"/>
      <c r="BC155" s="626"/>
      <c r="BD155" s="626"/>
      <c r="BE155" s="626"/>
      <c r="BF155" s="626"/>
      <c r="BG155" s="626"/>
      <c r="BH155" s="626"/>
      <c r="BI155" s="626"/>
      <c r="BJ155" s="626"/>
      <c r="BK155" s="626"/>
      <c r="BL155" s="626"/>
      <c r="BM155" s="626"/>
      <c r="BN155" s="626"/>
      <c r="BO155" s="626"/>
      <c r="BP155" s="626"/>
      <c r="BQ155" s="626"/>
      <c r="BR155" s="626"/>
      <c r="BS155" s="626"/>
      <c r="BT155" s="626"/>
      <c r="BU155" s="626"/>
      <c r="BV155" s="626"/>
      <c r="BW155" s="626"/>
      <c r="BX155" s="626"/>
      <c r="BY155" s="626"/>
      <c r="BZ155" s="626"/>
      <c r="CA155" s="626"/>
    </row>
    <row r="156" spans="1:79" s="626" customFormat="1">
      <c r="B156" s="1568"/>
      <c r="C156" s="624" t="s">
        <v>719</v>
      </c>
      <c r="D156" s="624" t="str">
        <f>VLOOKUP(F156,'Baumaterialien Matériaux'!$A$10:$AD$432,30,FALSE)</f>
        <v>Émulsion de bitume, 1 couche</v>
      </c>
      <c r="E156" s="624" t="str">
        <f>VLOOKUP(F156,'Baumaterialien Matériaux'!$A$10:$AD$432,7,FALSE)</f>
        <v>m2</v>
      </c>
      <c r="F156" s="647" t="s">
        <v>691</v>
      </c>
      <c r="G156" s="625">
        <v>1</v>
      </c>
      <c r="H156" s="624"/>
      <c r="I156" s="634">
        <v>30</v>
      </c>
      <c r="J156" s="1319"/>
      <c r="K156" s="1319"/>
      <c r="L156" s="1014">
        <f>$G156*_xlfn.XLOOKUP($F156,'Baumaterialien Matériaux'!$A:$A,'Baumaterialien Matériaux'!AA:AA,0,0)</f>
        <v>0.13400000000000001</v>
      </c>
      <c r="M156" s="1014">
        <f>$G156*_xlfn.XLOOKUP($F156,'Baumaterialien Matériaux'!$A:$A,'Baumaterialien Matériaux'!AB:AB,0,0)</f>
        <v>4.6800000000000001E-2</v>
      </c>
      <c r="N156" s="1014">
        <f>$G156*_xlfn.XLOOKUP($F156,'Baumaterialien Matériaux'!$A:$A,'Baumaterialien Matériaux'!AC:AC,0,0)*44/12</f>
        <v>0</v>
      </c>
      <c r="O156" s="1014">
        <f>$G156*_xlfn.XLOOKUP($F156,'Baumaterialien Matériaux'!$A:$A,'Baumaterialien Matériaux'!AG:AG,0,0)</f>
        <v>8.6699999999999999E-2</v>
      </c>
      <c r="P156" s="1014">
        <f>$G155*_xlfn.XLOOKUP($F155,'Baumaterialien Matériaux'!$A:$A,'Baumaterialien Matériaux'!AH:AH,0,0)</f>
        <v>16.920000000000002</v>
      </c>
    </row>
    <row r="157" spans="1:79" s="626" customFormat="1">
      <c r="B157" s="1568"/>
      <c r="C157" s="624" t="s">
        <v>869</v>
      </c>
      <c r="D157" s="624" t="str">
        <f>VLOOKUP(F157,'Baumaterialien Matériaux'!$A$10:$AD$432,30,FALSE)</f>
        <v>Lé d'étanchéité bitumineux</v>
      </c>
      <c r="E157" s="624" t="str">
        <f>VLOOKUP(F157,'Baumaterialien Matériaux'!$A$10:$AD$432,7,FALSE)</f>
        <v>kg</v>
      </c>
      <c r="F157" s="647" t="s">
        <v>870</v>
      </c>
      <c r="G157" s="625">
        <f>5.2</f>
        <v>5.2</v>
      </c>
      <c r="H157" s="624"/>
      <c r="I157" s="634">
        <v>30</v>
      </c>
      <c r="J157" s="1319"/>
      <c r="K157" s="1319"/>
      <c r="L157" s="1014">
        <f>$G157*_xlfn.XLOOKUP($F157,'Baumaterialien Matériaux'!$A:$A,'Baumaterialien Matériaux'!AA:AA,0,0)</f>
        <v>5.2</v>
      </c>
      <c r="M157" s="1014">
        <f>$G157*_xlfn.XLOOKUP($F157,'Baumaterialien Matériaux'!$A:$A,'Baumaterialien Matériaux'!AB:AB,0,0)</f>
        <v>12.116000000000001</v>
      </c>
      <c r="N157" s="1014">
        <f>$G157*_xlfn.XLOOKUP($F157,'Baumaterialien Matériaux'!$A:$A,'Baumaterialien Matériaux'!AC:AC,0,0)*44/12</f>
        <v>0</v>
      </c>
      <c r="O157" s="1014">
        <f>$G157*_xlfn.XLOOKUP($F157,'Baumaterialien Matériaux'!$A:$A,'Baumaterialien Matériaux'!AG:AG,0,0)</f>
        <v>2.9068000000000005</v>
      </c>
      <c r="P157" s="1014">
        <f>$G156*_xlfn.XLOOKUP($F156,'Baumaterialien Matériaux'!$A:$A,'Baumaterialien Matériaux'!AH:AH,0,0)</f>
        <v>0.58699999999999997</v>
      </c>
    </row>
    <row r="158" spans="1:79" s="626" customFormat="1">
      <c r="B158" s="1568"/>
      <c r="C158" s="624" t="s">
        <v>871</v>
      </c>
      <c r="D158" s="624" t="str">
        <f>VLOOKUP(F158,'Baumaterialien Matériaux'!$A$10:$AD$432,30,FALSE)</f>
        <v>Voile de polyéthylène (PE)</v>
      </c>
      <c r="E158" s="624" t="str">
        <f>VLOOKUP(F158,'Baumaterialien Matériaux'!$A$10:$AD$432,7,FALSE)</f>
        <v>kg</v>
      </c>
      <c r="F158" s="632" t="s">
        <v>715</v>
      </c>
      <c r="G158" s="625">
        <v>0.14000000000000001</v>
      </c>
      <c r="H158" s="624"/>
      <c r="I158" s="634">
        <v>30</v>
      </c>
      <c r="J158" s="1319"/>
      <c r="K158" s="1319"/>
      <c r="L158" s="1014">
        <f>$G158*_xlfn.XLOOKUP($F158,'Baumaterialien Matériaux'!$A:$A,'Baumaterialien Matériaux'!AA:AA,0,0)</f>
        <v>0.41440000000000005</v>
      </c>
      <c r="M158" s="1014">
        <f>$G158*_xlfn.XLOOKUP($F158,'Baumaterialien Matériaux'!$A:$A,'Baumaterialien Matériaux'!AB:AB,0,0)</f>
        <v>0.37380000000000002</v>
      </c>
      <c r="N158" s="1014">
        <f>$G158*_xlfn.XLOOKUP($F158,'Baumaterialien Matériaux'!$A:$A,'Baumaterialien Matériaux'!AC:AC,0,0)*44/12</f>
        <v>0</v>
      </c>
      <c r="O158" s="1014">
        <f>$G158*_xlfn.XLOOKUP($F158,'Baumaterialien Matériaux'!$A:$A,'Baumaterialien Matériaux'!AG:AG,0,0)</f>
        <v>0.39200000000000002</v>
      </c>
      <c r="P158" s="1014">
        <f>$G157*_xlfn.XLOOKUP($F157,'Baumaterialien Matériaux'!$A:$A,'Baumaterialien Matériaux'!AH:AH,0,0)</f>
        <v>12.22</v>
      </c>
    </row>
    <row r="159" spans="1:79" s="626" customFormat="1">
      <c r="B159" s="1568"/>
      <c r="C159" s="624" t="s">
        <v>716</v>
      </c>
      <c r="D159" s="624" t="str">
        <f>VLOOKUP(F159,'Baumaterialien Matériaux'!$A$10:$AD$432,30,FALSE)</f>
        <v>Gravier rond</v>
      </c>
      <c r="E159" s="624" t="str">
        <f>VLOOKUP(F159,'Baumaterialien Matériaux'!$A$10:$AD$432,7,FALSE)</f>
        <v>kg</v>
      </c>
      <c r="F159" s="657" t="s">
        <v>717</v>
      </c>
      <c r="G159" s="625">
        <f>1500*0.03</f>
        <v>45</v>
      </c>
      <c r="H159" s="624"/>
      <c r="I159" s="634">
        <v>30</v>
      </c>
      <c r="J159" s="1319"/>
      <c r="K159" s="1319"/>
      <c r="L159" s="1014">
        <f>$G159*_xlfn.XLOOKUP($F159,'Baumaterialien Matériaux'!$A:$A,'Baumaterialien Matériaux'!AA:AA,0,0)</f>
        <v>0.13725000000000001</v>
      </c>
      <c r="M159" s="1014">
        <f>$G159*_xlfn.XLOOKUP($F159,'Baumaterialien Matériaux'!$A:$A,'Baumaterialien Matériaux'!AB:AB,0,0)</f>
        <v>0.56699999999999995</v>
      </c>
      <c r="N159" s="1014">
        <f>$G159*_xlfn.XLOOKUP($F159,'Baumaterialien Matériaux'!$A:$A,'Baumaterialien Matériaux'!AC:AC,0,0)*44/12</f>
        <v>0</v>
      </c>
      <c r="O159" s="1014">
        <f>$G159*_xlfn.XLOOKUP($F159,'Baumaterialien Matériaux'!$A:$A,'Baumaterialien Matériaux'!AG:AG,0,0)</f>
        <v>4.6350000000000002E-2</v>
      </c>
      <c r="P159" s="1014">
        <f>$G158*_xlfn.XLOOKUP($F158,'Baumaterialien Matériaux'!$A:$A,'Baumaterialien Matériaux'!AH:AH,0,0)</f>
        <v>0.35980000000000001</v>
      </c>
    </row>
    <row r="160" spans="1:79" s="626" customFormat="1">
      <c r="B160" s="1568"/>
      <c r="C160" s="624" t="s">
        <v>872</v>
      </c>
      <c r="D160" s="624" t="str">
        <f>VLOOKUP(F160,'Baumaterialien Matériaux'!$A$10:$AD$432,30,FALSE)</f>
        <v>Sable</v>
      </c>
      <c r="E160" s="624" t="str">
        <f>VLOOKUP(F160,'Baumaterialien Matériaux'!$A$10:$AD$432,7,FALSE)</f>
        <v>kg</v>
      </c>
      <c r="F160" s="647" t="s">
        <v>873</v>
      </c>
      <c r="G160" s="625">
        <f>0.07*1000</f>
        <v>70</v>
      </c>
      <c r="H160" s="624"/>
      <c r="I160" s="635">
        <v>30</v>
      </c>
      <c r="J160" s="1319"/>
      <c r="K160" s="1319"/>
      <c r="L160" s="1015">
        <f>$G160*_xlfn.XLOOKUP($F160,'Baumaterialien Matériaux'!$A:$A,'Baumaterialien Matériaux'!AA:AA,0,0)</f>
        <v>0.21350000000000002</v>
      </c>
      <c r="M160" s="1015">
        <f>$G160*_xlfn.XLOOKUP($F160,'Baumaterialien Matériaux'!$A:$A,'Baumaterialien Matériaux'!AB:AB,0,0)</f>
        <v>0.88200000000000001</v>
      </c>
      <c r="N160" s="1015">
        <f>$G160*_xlfn.XLOOKUP($F160,'Baumaterialien Matériaux'!$A:$A,'Baumaterialien Matériaux'!AC:AC,0,0)*44/12</f>
        <v>0</v>
      </c>
      <c r="O160" s="1015">
        <f>$G160*_xlfn.XLOOKUP($F160,'Baumaterialien Matériaux'!$A:$A,'Baumaterialien Matériaux'!AG:AG,0,0)</f>
        <v>7.2100000000000011E-2</v>
      </c>
      <c r="P160" s="1014">
        <f>$G159*_xlfn.XLOOKUP($F159,'Baumaterialien Matériaux'!$A:$A,'Baumaterialien Matériaux'!AH:AH,0,0)</f>
        <v>0.1062</v>
      </c>
    </row>
    <row r="161" spans="1:79" s="663" customFormat="1" ht="15.75" thickBot="1">
      <c r="B161" s="674"/>
      <c r="F161" s="665"/>
      <c r="G161" s="695"/>
      <c r="I161" s="675">
        <v>30</v>
      </c>
      <c r="J161" s="1321"/>
      <c r="K161" s="1321"/>
      <c r="L161" s="667">
        <f>SUM(L155:L160)</f>
        <v>15.531150000000002</v>
      </c>
      <c r="M161" s="667">
        <f>SUM(M155:M160)</f>
        <v>30.761600000000001</v>
      </c>
      <c r="N161" s="667">
        <f>SUM(N155:N160)</f>
        <v>0</v>
      </c>
      <c r="O161" s="667">
        <f>SUM(O155:O160)</f>
        <v>7.9031500000000019</v>
      </c>
      <c r="P161" s="667">
        <f>SUM(P155:P160)</f>
        <v>30.193000000000005</v>
      </c>
      <c r="Q161" s="626"/>
      <c r="R161" s="626">
        <f>(L161+M161)/I160</f>
        <v>1.5430916666666668</v>
      </c>
      <c r="S161" s="626">
        <v>2.94</v>
      </c>
      <c r="T161" s="626"/>
      <c r="U161" s="626"/>
      <c r="V161" s="626"/>
      <c r="W161" s="626"/>
      <c r="X161" s="626"/>
      <c r="Y161" s="626"/>
      <c r="Z161" s="626"/>
      <c r="AA161" s="626"/>
      <c r="AB161" s="626"/>
      <c r="AC161" s="626"/>
      <c r="AD161" s="626"/>
      <c r="AE161" s="626"/>
      <c r="AF161" s="626"/>
      <c r="AG161" s="626"/>
      <c r="AH161" s="626"/>
      <c r="AI161" s="626"/>
      <c r="AJ161" s="626"/>
      <c r="AK161" s="626"/>
      <c r="AL161" s="626"/>
      <c r="AM161" s="626"/>
      <c r="AN161" s="626"/>
      <c r="AO161" s="626"/>
      <c r="AP161" s="626"/>
      <c r="AQ161" s="626"/>
      <c r="AR161" s="626"/>
      <c r="AS161" s="626"/>
      <c r="AT161" s="626"/>
      <c r="AU161" s="626"/>
      <c r="AV161" s="626"/>
      <c r="AW161" s="626"/>
      <c r="AX161" s="626"/>
      <c r="AY161" s="626"/>
      <c r="AZ161" s="626"/>
      <c r="BA161" s="626"/>
      <c r="BB161" s="626"/>
      <c r="BC161" s="626"/>
      <c r="BD161" s="626"/>
      <c r="BE161" s="626"/>
      <c r="BF161" s="626"/>
      <c r="BG161" s="626"/>
      <c r="BH161" s="626"/>
      <c r="BI161" s="626"/>
      <c r="BJ161" s="626"/>
      <c r="BK161" s="626"/>
      <c r="BL161" s="626"/>
      <c r="BM161" s="626"/>
      <c r="BN161" s="626"/>
      <c r="BO161" s="626"/>
      <c r="BP161" s="626"/>
      <c r="BQ161" s="626"/>
      <c r="BR161" s="626"/>
      <c r="BS161" s="626"/>
      <c r="BT161" s="626"/>
      <c r="BU161" s="626"/>
      <c r="BV161" s="626"/>
      <c r="BW161" s="626"/>
      <c r="BX161" s="626"/>
      <c r="BY161" s="626"/>
      <c r="BZ161" s="626"/>
      <c r="CA161" s="626"/>
    </row>
    <row r="162" spans="1:79" ht="15" thickTop="1">
      <c r="G162" s="132"/>
      <c r="L162" s="132"/>
      <c r="M162" s="132"/>
      <c r="N162" s="132"/>
      <c r="O162" s="132"/>
      <c r="P162" s="132"/>
    </row>
    <row r="163" spans="1:79" s="643" customFormat="1" ht="13.9" customHeight="1">
      <c r="A163" s="1282" t="s">
        <v>874</v>
      </c>
      <c r="B163" s="1568" t="s">
        <v>875</v>
      </c>
      <c r="C163" s="693" t="s">
        <v>876</v>
      </c>
      <c r="D163" s="624" t="str">
        <f>VLOOKUP(F163,'Baumaterialien Matériaux'!$A$10:$AD$432,30,FALSE)</f>
        <v>Bois massif épicéa / sapin / mélèze, séché à l'air, brut</v>
      </c>
      <c r="E163" s="624" t="str">
        <f>VLOOKUP(F163,'Baumaterialien Matériaux'!$A$10:$AD$432,7,FALSE)</f>
        <v>kg</v>
      </c>
      <c r="F163" s="654" t="s">
        <v>734</v>
      </c>
      <c r="G163" s="625">
        <f>1/0.6*0.06*0.06+1/0.35*0.024*0.048*485</f>
        <v>1.6023428571428571</v>
      </c>
      <c r="H163" s="624"/>
      <c r="I163" s="624">
        <v>40</v>
      </c>
      <c r="J163" s="1319"/>
      <c r="K163" s="1319"/>
      <c r="L163" s="625">
        <f>$G163*_xlfn.XLOOKUP($F163,'Baumaterialien Matériaux'!$A:$A,'Baumaterialien Matériaux'!AA:AA,0,0)</f>
        <v>0.14485179428571426</v>
      </c>
      <c r="M163" s="625">
        <f>$G163*_xlfn.XLOOKUP($F163,'Baumaterialien Matériaux'!$A:$A,'Baumaterialien Matériaux'!AB:AB,0,0)</f>
        <v>6.2491371428571425E-2</v>
      </c>
      <c r="N163" s="625">
        <f>$G163*_xlfn.XLOOKUP($F163,'Baumaterialien Matériaux'!$A:$A,'Baumaterialien Matériaux'!AC:AC,0,0)*44/12</f>
        <v>2.4264811999999996</v>
      </c>
      <c r="O163" s="625">
        <f>$G163*_xlfn.XLOOKUP($F163,'Baumaterialien Matériaux'!$A:$A,'Baumaterialien Matériaux'!AG:AG,0,0)</f>
        <v>4.4224662857142855E-2</v>
      </c>
      <c r="P163" s="625">
        <f>$G163*_xlfn.XLOOKUP($F163,'Baumaterialien Matériaux'!$A:$A,'Baumaterialien Matériaux'!AH:AH,0,0)</f>
        <v>1.0687626857142855E-2</v>
      </c>
      <c r="Q163" s="626"/>
      <c r="R163" s="626"/>
      <c r="S163" s="626"/>
      <c r="T163" s="626"/>
      <c r="U163" s="626"/>
      <c r="V163" s="626"/>
      <c r="W163" s="626"/>
      <c r="X163" s="626"/>
      <c r="Y163" s="626"/>
      <c r="Z163" s="626"/>
      <c r="AA163" s="626"/>
      <c r="AB163" s="626"/>
      <c r="AC163" s="626"/>
      <c r="AD163" s="626"/>
      <c r="AE163" s="626"/>
      <c r="AF163" s="626"/>
      <c r="AG163" s="626"/>
      <c r="AH163" s="626"/>
      <c r="AI163" s="626"/>
      <c r="AJ163" s="626"/>
      <c r="AK163" s="626"/>
      <c r="AL163" s="626"/>
      <c r="AM163" s="626"/>
      <c r="AN163" s="626"/>
      <c r="AO163" s="626"/>
      <c r="AP163" s="626"/>
      <c r="AQ163" s="626"/>
      <c r="AR163" s="626"/>
      <c r="AS163" s="626"/>
      <c r="AT163" s="626"/>
      <c r="AU163" s="626"/>
      <c r="AV163" s="626"/>
      <c r="AW163" s="626"/>
      <c r="AX163" s="626"/>
      <c r="AY163" s="626"/>
      <c r="AZ163" s="626"/>
      <c r="BA163" s="626"/>
      <c r="BB163" s="626"/>
      <c r="BC163" s="626"/>
      <c r="BD163" s="626"/>
      <c r="BE163" s="626"/>
      <c r="BF163" s="626"/>
      <c r="BG163" s="626"/>
      <c r="BH163" s="626"/>
      <c r="BI163" s="626"/>
      <c r="BJ163" s="626"/>
      <c r="BK163" s="626"/>
      <c r="BL163" s="626"/>
      <c r="BM163" s="626"/>
      <c r="BN163" s="626"/>
      <c r="BO163" s="626"/>
      <c r="BP163" s="626"/>
      <c r="BQ163" s="626"/>
      <c r="BR163" s="626"/>
      <c r="BS163" s="626"/>
      <c r="BT163" s="626"/>
      <c r="BU163" s="626"/>
      <c r="BV163" s="626"/>
      <c r="BW163" s="626"/>
      <c r="BX163" s="626"/>
      <c r="BY163" s="626"/>
      <c r="BZ163" s="626"/>
      <c r="CA163" s="626"/>
    </row>
    <row r="164" spans="1:79" s="626" customFormat="1">
      <c r="B164" s="1568"/>
      <c r="C164" s="693" t="s">
        <v>877</v>
      </c>
      <c r="D164" s="624" t="str">
        <f>VLOOKUP(F164,'Baumaterialien Matériaux'!$A$10:$AD$432,30,FALSE)</f>
        <v>Voile de polyéthylène (PE)</v>
      </c>
      <c r="E164" s="624" t="str">
        <f>VLOOKUP(F164,'Baumaterialien Matériaux'!$A$10:$AD$432,7,FALSE)</f>
        <v>kg</v>
      </c>
      <c r="F164" s="632" t="s">
        <v>715</v>
      </c>
      <c r="G164" s="625">
        <v>0.14000000000000001</v>
      </c>
      <c r="H164" s="624"/>
      <c r="I164" s="624">
        <v>40</v>
      </c>
      <c r="J164" s="1319"/>
      <c r="K164" s="1319"/>
      <c r="L164" s="625">
        <f>$G164*_xlfn.XLOOKUP($F164,'Baumaterialien Matériaux'!$A:$A,'Baumaterialien Matériaux'!AA:AA,0,0)</f>
        <v>0.41440000000000005</v>
      </c>
      <c r="M164" s="625">
        <f>$G164*_xlfn.XLOOKUP($F164,'Baumaterialien Matériaux'!$A:$A,'Baumaterialien Matériaux'!AB:AB,0,0)</f>
        <v>0.37380000000000002</v>
      </c>
      <c r="N164" s="625">
        <f>$G164*_xlfn.XLOOKUP($F164,'Baumaterialien Matériaux'!$A:$A,'Baumaterialien Matériaux'!AC:AC,0,0)*44/12</f>
        <v>0</v>
      </c>
      <c r="O164" s="625">
        <f>$G164*_xlfn.XLOOKUP($F164,'Baumaterialien Matériaux'!$A:$A,'Baumaterialien Matériaux'!AG:AG,0,0)</f>
        <v>0.39200000000000002</v>
      </c>
      <c r="P164" s="625">
        <f>$G164*_xlfn.XLOOKUP($F164,'Baumaterialien Matériaux'!$A:$A,'Baumaterialien Matériaux'!AH:AH,0,0)</f>
        <v>0.35980000000000001</v>
      </c>
    </row>
    <row r="165" spans="1:79" s="626" customFormat="1">
      <c r="B165" s="1568"/>
      <c r="C165" s="693" t="s">
        <v>878</v>
      </c>
      <c r="D165" s="624" t="str">
        <f>VLOOKUP(F165,'Baumaterialien Matériaux'!$A$10:$AD$432,30,FALSE)</f>
        <v>Tuile en terre cuite</v>
      </c>
      <c r="E165" s="624" t="str">
        <f>VLOOKUP(F165,'Baumaterialien Matériaux'!$A$10:$AD$432,7,FALSE)</f>
        <v>kg</v>
      </c>
      <c r="F165" s="654" t="s">
        <v>778</v>
      </c>
      <c r="G165" s="625">
        <v>50</v>
      </c>
      <c r="H165" s="624"/>
      <c r="I165" s="624">
        <v>40</v>
      </c>
      <c r="J165" s="1319"/>
      <c r="K165" s="1319"/>
      <c r="L165" s="625">
        <f>$G165*_xlfn.XLOOKUP($F165,'Baumaterialien Matériaux'!$A:$A,'Baumaterialien Matériaux'!AA:AA,0,0)</f>
        <v>18.649999999999999</v>
      </c>
      <c r="M165" s="625">
        <f>$G165*_xlfn.XLOOKUP($F165,'Baumaterialien Matériaux'!$A:$A,'Baumaterialien Matériaux'!AB:AB,0,0)</f>
        <v>0.63500000000000001</v>
      </c>
      <c r="N165" s="625">
        <f>$G165*_xlfn.XLOOKUP($F165,'Baumaterialien Matériaux'!$A:$A,'Baumaterialien Matériaux'!AC:AC,0,0)*44/12</f>
        <v>0</v>
      </c>
      <c r="O165" s="625">
        <f>$G165*_xlfn.XLOOKUP($F165,'Baumaterialien Matériaux'!$A:$A,'Baumaterialien Matériaux'!AG:AG,0,0)</f>
        <v>15.8</v>
      </c>
      <c r="P165" s="625">
        <f>$G165*_xlfn.XLOOKUP($F165,'Baumaterialien Matériaux'!$A:$A,'Baumaterialien Matériaux'!AH:AH,0,0)</f>
        <v>0.1275</v>
      </c>
    </row>
    <row r="166" spans="1:79" s="626" customFormat="1">
      <c r="B166" s="1568"/>
      <c r="C166" s="693" t="s">
        <v>879</v>
      </c>
      <c r="D166" s="624" t="str">
        <f>VLOOKUP(F166,'Baumaterialien Matériaux'!$A$10:$AD$432,30,FALSE)</f>
        <v>Tôle d'acier, zinguée</v>
      </c>
      <c r="E166" s="624" t="str">
        <f>VLOOKUP(F166,'Baumaterialien Matériaux'!$A$10:$AD$432,7,FALSE)</f>
        <v>kg</v>
      </c>
      <c r="F166" s="654" t="s">
        <v>772</v>
      </c>
      <c r="G166" s="625">
        <f>2.2*3.14*0.0035^2*0.33*7850</f>
        <v>0.21921588150000007</v>
      </c>
      <c r="H166" s="624"/>
      <c r="I166" s="624">
        <v>40</v>
      </c>
      <c r="J166" s="1319"/>
      <c r="K166" s="1319"/>
      <c r="L166" s="625">
        <f>$G166*_xlfn.XLOOKUP($F166,'Baumaterialien Matériaux'!$A:$A,'Baumaterialien Matériaux'!AA:AA,0,0)</f>
        <v>0.98208714912000039</v>
      </c>
      <c r="M166" s="625">
        <f>$G166*_xlfn.XLOOKUP($F166,'Baumaterialien Matériaux'!$A:$A,'Baumaterialien Matériaux'!AB:AB,0,0)</f>
        <v>1.5191660587950005E-3</v>
      </c>
      <c r="N166" s="625">
        <f>$G166*_xlfn.XLOOKUP($F166,'Baumaterialien Matériaux'!$A:$A,'Baumaterialien Matériaux'!AC:AC,0,0)*44/12</f>
        <v>0</v>
      </c>
      <c r="O166" s="625">
        <f>$G166*_xlfn.XLOOKUP($F166,'Baumaterialien Matériaux'!$A:$A,'Baumaterialien Matériaux'!AG:AG,0,0)</f>
        <v>0.38143563381000012</v>
      </c>
      <c r="P166" s="625">
        <f>$G166*_xlfn.XLOOKUP($F166,'Baumaterialien Matériaux'!$A:$A,'Baumaterialien Matériaux'!AH:AH,0,0)</f>
        <v>0</v>
      </c>
    </row>
    <row r="167" spans="1:79" s="626" customFormat="1">
      <c r="B167" s="1568"/>
      <c r="C167" s="693" t="s">
        <v>880</v>
      </c>
      <c r="D167" s="624" t="str">
        <f>VLOOKUP(F167,'Baumaterialien Matériaux'!$A$10:$AD$432,30,FALSE)</f>
        <v>Feuille de polyéthylène (PE)</v>
      </c>
      <c r="E167" s="624" t="str">
        <f>VLOOKUP(F167,'Baumaterialien Matériaux'!$A$10:$AD$432,7,FALSE)</f>
        <v>kg</v>
      </c>
      <c r="F167" s="654" t="s">
        <v>881</v>
      </c>
      <c r="G167" s="625">
        <v>0.18</v>
      </c>
      <c r="H167" s="624"/>
      <c r="I167" s="624">
        <v>40</v>
      </c>
      <c r="J167" s="1319"/>
      <c r="K167" s="1319"/>
      <c r="L167" s="625">
        <f>$G167*_xlfn.XLOOKUP($F167,'Baumaterialien Matériaux'!$A:$A,'Baumaterialien Matériaux'!AA:AA,0,0)</f>
        <v>0.495</v>
      </c>
      <c r="M167" s="625">
        <f>$G167*_xlfn.XLOOKUP($F167,'Baumaterialien Matériaux'!$A:$A,'Baumaterialien Matériaux'!AB:AB,0,0)</f>
        <v>0.48059999999999997</v>
      </c>
      <c r="N167" s="625">
        <f>$G167*_xlfn.XLOOKUP($F167,'Baumaterialien Matériaux'!$A:$A,'Baumaterialien Matériaux'!AC:AC,0,0)*44/12</f>
        <v>0</v>
      </c>
      <c r="O167" s="625">
        <f>$G167*_xlfn.XLOOKUP($F167,'Baumaterialien Matériaux'!$A:$A,'Baumaterialien Matériaux'!AG:AG,0,0)</f>
        <v>0.43559999999999999</v>
      </c>
      <c r="P167" s="625">
        <f>$G167*_xlfn.XLOOKUP($F167,'Baumaterialien Matériaux'!$A:$A,'Baumaterialien Matériaux'!AH:AH,0,0)</f>
        <v>0.46259999999999996</v>
      </c>
    </row>
    <row r="168" spans="1:79" s="663" customFormat="1" ht="15.75" thickBot="1">
      <c r="B168" s="674"/>
      <c r="C168" s="696"/>
      <c r="F168" s="665"/>
      <c r="G168" s="695"/>
      <c r="I168" s="675">
        <v>40</v>
      </c>
      <c r="J168" s="1321"/>
      <c r="K168" s="1321"/>
      <c r="L168" s="667">
        <f>SUM(L163:L167)</f>
        <v>20.686338943405715</v>
      </c>
      <c r="M168" s="667">
        <f>SUM(M163:M167)</f>
        <v>1.5534105374873663</v>
      </c>
      <c r="N168" s="667">
        <f>SUM(N163:N167)</f>
        <v>2.4264811999999996</v>
      </c>
      <c r="O168" s="667">
        <f>SUM(O163:O167)</f>
        <v>17.053260296667144</v>
      </c>
      <c r="P168" s="667">
        <f>SUM(P163:P167)</f>
        <v>0.96058762685714283</v>
      </c>
      <c r="Q168" s="626"/>
      <c r="R168" s="626">
        <f>(L168+M168)/I167</f>
        <v>0.55599373702232702</v>
      </c>
      <c r="S168" s="626">
        <v>1</v>
      </c>
      <c r="T168" s="626"/>
      <c r="U168" s="626"/>
      <c r="V168" s="626"/>
      <c r="W168" s="626"/>
      <c r="X168" s="626"/>
      <c r="Y168" s="626"/>
      <c r="Z168" s="626"/>
      <c r="AA168" s="626"/>
      <c r="AB168" s="626"/>
      <c r="AC168" s="626"/>
      <c r="AD168" s="626"/>
      <c r="AE168" s="626"/>
      <c r="AF168" s="626"/>
      <c r="AG168" s="626"/>
      <c r="AH168" s="626"/>
      <c r="AI168" s="626"/>
      <c r="AJ168" s="626"/>
      <c r="AK168" s="626"/>
      <c r="AL168" s="626"/>
      <c r="AM168" s="626"/>
      <c r="AN168" s="626"/>
      <c r="AO168" s="626"/>
      <c r="AP168" s="626"/>
      <c r="AQ168" s="626"/>
      <c r="AR168" s="626"/>
      <c r="AS168" s="626"/>
      <c r="AT168" s="626"/>
      <c r="AU168" s="626"/>
      <c r="AV168" s="626"/>
      <c r="AW168" s="626"/>
      <c r="AX168" s="626"/>
      <c r="AY168" s="626"/>
      <c r="AZ168" s="626"/>
      <c r="BA168" s="626"/>
      <c r="BB168" s="626"/>
      <c r="BC168" s="626"/>
      <c r="BD168" s="626"/>
      <c r="BE168" s="626"/>
      <c r="BF168" s="626"/>
      <c r="BG168" s="626"/>
      <c r="BH168" s="626"/>
      <c r="BI168" s="626"/>
      <c r="BJ168" s="626"/>
      <c r="BK168" s="626"/>
      <c r="BL168" s="626"/>
      <c r="BM168" s="626"/>
      <c r="BN168" s="626"/>
      <c r="BO168" s="626"/>
      <c r="BP168" s="626"/>
      <c r="BQ168" s="626"/>
      <c r="BR168" s="626"/>
      <c r="BS168" s="626"/>
      <c r="BT168" s="626"/>
      <c r="BU168" s="626"/>
      <c r="BV168" s="626"/>
      <c r="BW168" s="626"/>
      <c r="BX168" s="626"/>
      <c r="BY168" s="626"/>
      <c r="BZ168" s="626"/>
      <c r="CA168" s="626"/>
    </row>
    <row r="169" spans="1:79" s="658" customFormat="1" ht="16.5" thickTop="1" thickBot="1">
      <c r="A169" s="676"/>
      <c r="B169" s="681"/>
      <c r="F169" s="659"/>
      <c r="G169" s="679"/>
      <c r="I169" s="672"/>
      <c r="J169" s="1321"/>
      <c r="K169" s="1321"/>
      <c r="L169" s="660"/>
      <c r="M169" s="660"/>
      <c r="N169" s="660"/>
      <c r="O169" s="660"/>
      <c r="P169" s="660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</row>
    <row r="170" spans="1:79" s="668" customFormat="1" ht="15" thickTop="1">
      <c r="A170" s="1341" t="s">
        <v>882</v>
      </c>
      <c r="B170" s="1576" t="s">
        <v>883</v>
      </c>
      <c r="C170" s="178" t="s">
        <v>719</v>
      </c>
      <c r="D170" s="178" t="str">
        <f>VLOOKUP(F170,'Baumaterialien Matériaux'!$A$10:$AD$432,30,FALSE)</f>
        <v>Émulsion de bitume, 1 couche</v>
      </c>
      <c r="E170" s="178" t="str">
        <f>VLOOKUP(F170,'Baumaterialien Matériaux'!$A$10:$AD$432,7,FALSE)</f>
        <v>m2</v>
      </c>
      <c r="F170" s="682" t="s">
        <v>691</v>
      </c>
      <c r="G170" s="281">
        <v>1</v>
      </c>
      <c r="H170" s="178"/>
      <c r="I170" s="677">
        <v>30</v>
      </c>
      <c r="J170" s="1319"/>
      <c r="K170" s="1319"/>
      <c r="L170" s="1016">
        <f>$G170*_xlfn.XLOOKUP($F170,'Baumaterialien Matériaux'!$A:$A,'Baumaterialien Matériaux'!AA:AA,0,0)</f>
        <v>0.13400000000000001</v>
      </c>
      <c r="M170" s="1016">
        <f>$G170*_xlfn.XLOOKUP($F170,'Baumaterialien Matériaux'!$A:$A,'Baumaterialien Matériaux'!AB:AB,0,0)</f>
        <v>4.6800000000000001E-2</v>
      </c>
      <c r="N170" s="1016">
        <f>$G170*_xlfn.XLOOKUP($F170,'Baumaterialien Matériaux'!$A:$A,'Baumaterialien Matériaux'!AC:AC,0,0)*44/12</f>
        <v>0</v>
      </c>
      <c r="O170" s="1016">
        <f>$G170*_xlfn.XLOOKUP($F170,'Baumaterialien Matériaux'!$A:$A,'Baumaterialien Matériaux'!AG:AG,0,0)</f>
        <v>8.6699999999999999E-2</v>
      </c>
      <c r="P170" s="1016">
        <f>$G170*_xlfn.XLOOKUP($F170,'Baumaterialien Matériaux'!$A:$A,'Baumaterialien Matériaux'!AH:AH,0,0)</f>
        <v>0.58699999999999997</v>
      </c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</row>
    <row r="171" spans="1:79" s="172" customFormat="1">
      <c r="B171" s="1576"/>
      <c r="C171" s="178" t="s">
        <v>884</v>
      </c>
      <c r="D171" s="178" t="str">
        <f>VLOOKUP(F171,'Baumaterialien Matériaux'!$A$10:$AD$432,30,FALSE)</f>
        <v>Lé d'étanchéité bitumineux</v>
      </c>
      <c r="E171" s="178" t="str">
        <f>VLOOKUP(F171,'Baumaterialien Matériaux'!$A$10:$AD$432,7,FALSE)</f>
        <v>kg</v>
      </c>
      <c r="F171" s="682" t="s">
        <v>870</v>
      </c>
      <c r="G171" s="281">
        <f>2*5.2</f>
        <v>10.4</v>
      </c>
      <c r="H171" s="178"/>
      <c r="I171" s="677">
        <v>30</v>
      </c>
      <c r="J171" s="1319"/>
      <c r="K171" s="1319"/>
      <c r="L171" s="1016">
        <f>$G171*_xlfn.XLOOKUP($F171,'Baumaterialien Matériaux'!$A:$A,'Baumaterialien Matériaux'!AA:AA,0,0)</f>
        <v>10.4</v>
      </c>
      <c r="M171" s="1016">
        <f>$G171*_xlfn.XLOOKUP($F171,'Baumaterialien Matériaux'!$A:$A,'Baumaterialien Matériaux'!AB:AB,0,0)</f>
        <v>24.232000000000003</v>
      </c>
      <c r="N171" s="1016">
        <f>$G171*_xlfn.XLOOKUP($F171,'Baumaterialien Matériaux'!$A:$A,'Baumaterialien Matériaux'!AC:AC,0,0)*44/12</f>
        <v>0</v>
      </c>
      <c r="O171" s="1016">
        <f>$G171*_xlfn.XLOOKUP($F171,'Baumaterialien Matériaux'!$A:$A,'Baumaterialien Matériaux'!AG:AG,0,0)</f>
        <v>5.813600000000001</v>
      </c>
      <c r="P171" s="1016">
        <f>$G171*_xlfn.XLOOKUP($F171,'Baumaterialien Matériaux'!$A:$A,'Baumaterialien Matériaux'!AH:AH,0,0)</f>
        <v>24.44</v>
      </c>
    </row>
    <row r="172" spans="1:79" s="172" customFormat="1">
      <c r="B172" s="1576"/>
      <c r="C172" s="178" t="s">
        <v>871</v>
      </c>
      <c r="D172" s="178" t="str">
        <f>VLOOKUP(F172,'Baumaterialien Matériaux'!$A$10:$AD$432,30,FALSE)</f>
        <v>Voile de polyéthylène (PE)</v>
      </c>
      <c r="E172" s="178" t="str">
        <f>VLOOKUP(F172,'Baumaterialien Matériaux'!$A$10:$AD$432,7,FALSE)</f>
        <v>kg</v>
      </c>
      <c r="F172" s="316" t="s">
        <v>715</v>
      </c>
      <c r="G172" s="281">
        <v>0.14000000000000001</v>
      </c>
      <c r="H172" s="178"/>
      <c r="I172" s="677">
        <v>30</v>
      </c>
      <c r="J172" s="1319"/>
      <c r="K172" s="1319"/>
      <c r="L172" s="1016">
        <f>$G172*_xlfn.XLOOKUP($F172,'Baumaterialien Matériaux'!$A:$A,'Baumaterialien Matériaux'!AA:AA,0,0)</f>
        <v>0.41440000000000005</v>
      </c>
      <c r="M172" s="1016">
        <f>$G172*_xlfn.XLOOKUP($F172,'Baumaterialien Matériaux'!$A:$A,'Baumaterialien Matériaux'!AB:AB,0,0)</f>
        <v>0.37380000000000002</v>
      </c>
      <c r="N172" s="1016">
        <f>$G172*_xlfn.XLOOKUP($F172,'Baumaterialien Matériaux'!$A:$A,'Baumaterialien Matériaux'!AC:AC,0,0)*44/12</f>
        <v>0</v>
      </c>
      <c r="O172" s="1016">
        <f>$G172*_xlfn.XLOOKUP($F172,'Baumaterialien Matériaux'!$A:$A,'Baumaterialien Matériaux'!AG:AG,0,0)</f>
        <v>0.39200000000000002</v>
      </c>
      <c r="P172" s="1016">
        <f>$G172*_xlfn.XLOOKUP($F172,'Baumaterialien Matériaux'!$A:$A,'Baumaterialien Matériaux'!AH:AH,0,0)</f>
        <v>0.35980000000000001</v>
      </c>
    </row>
    <row r="173" spans="1:79" s="172" customFormat="1">
      <c r="B173" s="1576"/>
      <c r="C173" s="178" t="s">
        <v>716</v>
      </c>
      <c r="D173" s="178" t="str">
        <f>VLOOKUP(F173,'Baumaterialien Matériaux'!$A$10:$AD$432,30,FALSE)</f>
        <v>Gravier rond</v>
      </c>
      <c r="E173" s="178" t="str">
        <f>VLOOKUP(F173,'Baumaterialien Matériaux'!$A$10:$AD$432,7,FALSE)</f>
        <v>kg</v>
      </c>
      <c r="F173" s="683" t="s">
        <v>717</v>
      </c>
      <c r="G173" s="281">
        <f>1500*0.03</f>
        <v>45</v>
      </c>
      <c r="H173" s="178"/>
      <c r="I173" s="677">
        <v>30</v>
      </c>
      <c r="J173" s="1319"/>
      <c r="K173" s="1319"/>
      <c r="L173" s="1016">
        <f>$G173*_xlfn.XLOOKUP($F173,'Baumaterialien Matériaux'!$A:$A,'Baumaterialien Matériaux'!AA:AA,0,0)</f>
        <v>0.13725000000000001</v>
      </c>
      <c r="M173" s="1016">
        <f>$G173*_xlfn.XLOOKUP($F173,'Baumaterialien Matériaux'!$A:$A,'Baumaterialien Matériaux'!AB:AB,0,0)</f>
        <v>0.56699999999999995</v>
      </c>
      <c r="N173" s="1016">
        <f>$G173*_xlfn.XLOOKUP($F173,'Baumaterialien Matériaux'!$A:$A,'Baumaterialien Matériaux'!AC:AC,0,0)*44/12</f>
        <v>0</v>
      </c>
      <c r="O173" s="1016">
        <f>$G173*_xlfn.XLOOKUP($F173,'Baumaterialien Matériaux'!$A:$A,'Baumaterialien Matériaux'!AG:AG,0,0)</f>
        <v>4.6350000000000002E-2</v>
      </c>
      <c r="P173" s="1016">
        <f>$G173*_xlfn.XLOOKUP($F173,'Baumaterialien Matériaux'!$A:$A,'Baumaterialien Matériaux'!AH:AH,0,0)</f>
        <v>0.1062</v>
      </c>
    </row>
    <row r="174" spans="1:79" s="172" customFormat="1">
      <c r="B174" s="1576"/>
      <c r="C174" s="178" t="s">
        <v>872</v>
      </c>
      <c r="D174" s="178" t="str">
        <f>VLOOKUP(F174,'Baumaterialien Matériaux'!$A$10:$AD$432,30,FALSE)</f>
        <v>Sable</v>
      </c>
      <c r="E174" s="178" t="str">
        <f>VLOOKUP(F174,'Baumaterialien Matériaux'!$A$10:$AD$432,7,FALSE)</f>
        <v>kg</v>
      </c>
      <c r="F174" s="682" t="s">
        <v>873</v>
      </c>
      <c r="G174" s="281">
        <f>0.07*1000</f>
        <v>70</v>
      </c>
      <c r="H174" s="178"/>
      <c r="I174" s="677">
        <v>30</v>
      </c>
      <c r="J174" s="1319"/>
      <c r="K174" s="1319"/>
      <c r="L174" s="1016">
        <f>$G174*_xlfn.XLOOKUP($F174,'Baumaterialien Matériaux'!$A:$A,'Baumaterialien Matériaux'!AA:AA,0,0)</f>
        <v>0.21350000000000002</v>
      </c>
      <c r="M174" s="1016">
        <f>$G174*_xlfn.XLOOKUP($F174,'Baumaterialien Matériaux'!$A:$A,'Baumaterialien Matériaux'!AB:AB,0,0)</f>
        <v>0.88200000000000001</v>
      </c>
      <c r="N174" s="1016">
        <f>$G174*_xlfn.XLOOKUP($F174,'Baumaterialien Matériaux'!$A:$A,'Baumaterialien Matériaux'!AC:AC,0,0)*44/12</f>
        <v>0</v>
      </c>
      <c r="O174" s="1016">
        <f>$G174*_xlfn.XLOOKUP($F174,'Baumaterialien Matériaux'!$A:$A,'Baumaterialien Matériaux'!AG:AG,0,0)</f>
        <v>7.2100000000000011E-2</v>
      </c>
      <c r="P174" s="1016">
        <f>$G174*_xlfn.XLOOKUP($F174,'Baumaterialien Matériaux'!$A:$A,'Baumaterialien Matériaux'!AH:AH,0,0)</f>
        <v>3.696E-2</v>
      </c>
    </row>
    <row r="175" spans="1:79" s="676" customFormat="1" ht="15.75" thickBot="1">
      <c r="B175" s="684"/>
      <c r="F175" s="685"/>
      <c r="G175" s="688"/>
      <c r="I175" s="686">
        <v>30</v>
      </c>
      <c r="J175" s="1321"/>
      <c r="K175" s="1321"/>
      <c r="L175" s="1010">
        <f t="shared" ref="L175" si="29">SUM(L170:L174)</f>
        <v>11.299150000000001</v>
      </c>
      <c r="M175" s="1010">
        <f t="shared" ref="M175" si="30">SUM(M170:M174)</f>
        <v>26.101600000000005</v>
      </c>
      <c r="N175" s="1010">
        <f t="shared" ref="N175" si="31">SUM(N170:N174)</f>
        <v>0</v>
      </c>
      <c r="O175" s="1010">
        <f t="shared" ref="O175" si="32">SUM(O170:O174)</f>
        <v>6.4107500000000019</v>
      </c>
      <c r="P175" s="1010">
        <f t="shared" ref="P175" si="33">SUM(P170:P174)</f>
        <v>25.529960000000003</v>
      </c>
      <c r="Q175" s="172"/>
      <c r="R175" s="626">
        <f>(L175+M175)/I174</f>
        <v>1.2466916666666668</v>
      </c>
      <c r="S175" s="172">
        <v>1.23</v>
      </c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</row>
    <row r="176" spans="1:79" s="172" customFormat="1" ht="15.75" thickTop="1">
      <c r="F176" s="690"/>
      <c r="G176" s="691"/>
      <c r="I176" s="692"/>
      <c r="J176" s="1228"/>
      <c r="K176" s="1228"/>
      <c r="L176" s="1017"/>
      <c r="M176" s="1017"/>
      <c r="N176" s="1017"/>
      <c r="O176" s="1017"/>
      <c r="P176" s="1017"/>
    </row>
    <row r="177" spans="1:79" s="668" customFormat="1">
      <c r="A177" s="1341" t="s">
        <v>885</v>
      </c>
      <c r="B177" s="1576" t="s">
        <v>886</v>
      </c>
      <c r="C177" s="178" t="s">
        <v>876</v>
      </c>
      <c r="D177" s="178" t="str">
        <f>VLOOKUP(F177,'Baumaterialien Matériaux'!$A$10:$AD$432,30,FALSE)</f>
        <v>Bois massif épicéa / sapin / mélèze, séché à l'air, brut</v>
      </c>
      <c r="E177" s="178" t="str">
        <f>VLOOKUP(F177,'Baumaterialien Matériaux'!$A$10:$AD$432,7,FALSE)</f>
        <v>kg</v>
      </c>
      <c r="F177" s="316" t="s">
        <v>734</v>
      </c>
      <c r="G177" s="281">
        <f>1/0.6*0.06*0.06+1/0.35*0.024*0.048*485</f>
        <v>1.6023428571428571</v>
      </c>
      <c r="H177" s="178"/>
      <c r="I177" s="178">
        <v>40</v>
      </c>
      <c r="J177" s="1319"/>
      <c r="K177" s="1319"/>
      <c r="L177" s="281">
        <f>$G177*_xlfn.XLOOKUP($F177,'Baumaterialien Matériaux'!$A:$A,'Baumaterialien Matériaux'!AA:AA,0,0)</f>
        <v>0.14485179428571426</v>
      </c>
      <c r="M177" s="281">
        <f>$G177*_xlfn.XLOOKUP($F177,'Baumaterialien Matériaux'!$A:$A,'Baumaterialien Matériaux'!AB:AB,0,0)</f>
        <v>6.2491371428571425E-2</v>
      </c>
      <c r="N177" s="281">
        <f>$G177*_xlfn.XLOOKUP($F177,'Baumaterialien Matériaux'!$A:$A,'Baumaterialien Matériaux'!AC:AC,0,0)*44/12</f>
        <v>2.4264811999999996</v>
      </c>
      <c r="O177" s="281">
        <f>$G177*_xlfn.XLOOKUP($F177,'Baumaterialien Matériaux'!$A:$A,'Baumaterialien Matériaux'!AG:AG,0,0)</f>
        <v>4.4224662857142855E-2</v>
      </c>
      <c r="P177" s="281">
        <f>$G177*_xlfn.XLOOKUP($F177,'Baumaterialien Matériaux'!$A:$A,'Baumaterialien Matériaux'!AH:AH,0,0)</f>
        <v>1.0687626857142855E-2</v>
      </c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</row>
    <row r="178" spans="1:79" s="172" customFormat="1">
      <c r="B178" s="1576"/>
      <c r="C178" s="178" t="s">
        <v>877</v>
      </c>
      <c r="D178" s="178" t="str">
        <f>VLOOKUP(F178,'Baumaterialien Matériaux'!$A$10:$AD$432,30,FALSE)</f>
        <v>Voile de polyéthylène (PE)</v>
      </c>
      <c r="E178" s="178" t="str">
        <f>VLOOKUP(F178,'Baumaterialien Matériaux'!$A$10:$AD$432,7,FALSE)</f>
        <v>kg</v>
      </c>
      <c r="F178" s="591" t="s">
        <v>715</v>
      </c>
      <c r="G178" s="281">
        <v>0.14000000000000001</v>
      </c>
      <c r="H178" s="178"/>
      <c r="I178" s="178">
        <v>40</v>
      </c>
      <c r="J178" s="1319"/>
      <c r="K178" s="1319"/>
      <c r="L178" s="281">
        <f>$G178*_xlfn.XLOOKUP($F178,'Baumaterialien Matériaux'!$A:$A,'Baumaterialien Matériaux'!AA:AA,0,0)</f>
        <v>0.41440000000000005</v>
      </c>
      <c r="M178" s="281">
        <f>$G178*_xlfn.XLOOKUP($F178,'Baumaterialien Matériaux'!$A:$A,'Baumaterialien Matériaux'!AB:AB,0,0)</f>
        <v>0.37380000000000002</v>
      </c>
      <c r="N178" s="281">
        <f>$G178*_xlfn.XLOOKUP($F178,'Baumaterialien Matériaux'!$A:$A,'Baumaterialien Matériaux'!AC:AC,0,0)*44/12</f>
        <v>0</v>
      </c>
      <c r="O178" s="281">
        <f>$G178*_xlfn.XLOOKUP($F178,'Baumaterialien Matériaux'!$A:$A,'Baumaterialien Matériaux'!AG:AG,0,0)</f>
        <v>0.39200000000000002</v>
      </c>
      <c r="P178" s="281">
        <f>$G178*_xlfn.XLOOKUP($F178,'Baumaterialien Matériaux'!$A:$A,'Baumaterialien Matériaux'!AH:AH,0,0)</f>
        <v>0.35980000000000001</v>
      </c>
    </row>
    <row r="179" spans="1:79" s="172" customFormat="1">
      <c r="B179" s="1576"/>
      <c r="C179" s="178" t="s">
        <v>878</v>
      </c>
      <c r="D179" s="178" t="str">
        <f>VLOOKUP(F179,'Baumaterialien Matériaux'!$A$10:$AD$432,30,FALSE)</f>
        <v>Tuile en terre cuite</v>
      </c>
      <c r="E179" s="178" t="str">
        <f>VLOOKUP(F179,'Baumaterialien Matériaux'!$A$10:$AD$432,7,FALSE)</f>
        <v>kg</v>
      </c>
      <c r="F179" s="591" t="s">
        <v>778</v>
      </c>
      <c r="G179" s="281">
        <v>50</v>
      </c>
      <c r="H179" s="178"/>
      <c r="I179" s="178">
        <v>40</v>
      </c>
      <c r="J179" s="1319"/>
      <c r="K179" s="1319"/>
      <c r="L179" s="281">
        <f>$G179*_xlfn.XLOOKUP($F179,'Baumaterialien Matériaux'!$A:$A,'Baumaterialien Matériaux'!AA:AA,0,0)</f>
        <v>18.649999999999999</v>
      </c>
      <c r="M179" s="281">
        <f>$G179*_xlfn.XLOOKUP($F179,'Baumaterialien Matériaux'!$A:$A,'Baumaterialien Matériaux'!AB:AB,0,0)</f>
        <v>0.63500000000000001</v>
      </c>
      <c r="N179" s="281">
        <f>$G179*_xlfn.XLOOKUP($F179,'Baumaterialien Matériaux'!$A:$A,'Baumaterialien Matériaux'!AC:AC,0,0)*44/12</f>
        <v>0</v>
      </c>
      <c r="O179" s="281">
        <f>$G179*_xlfn.XLOOKUP($F179,'Baumaterialien Matériaux'!$A:$A,'Baumaterialien Matériaux'!AG:AG,0,0)</f>
        <v>15.8</v>
      </c>
      <c r="P179" s="281">
        <f>$G179*_xlfn.XLOOKUP($F179,'Baumaterialien Matériaux'!$A:$A,'Baumaterialien Matériaux'!AH:AH,0,0)</f>
        <v>0.1275</v>
      </c>
    </row>
    <row r="180" spans="1:79" s="172" customFormat="1">
      <c r="B180" s="1576"/>
      <c r="C180" s="178" t="s">
        <v>879</v>
      </c>
      <c r="D180" s="178" t="str">
        <f>VLOOKUP(F180,'Baumaterialien Matériaux'!$A$10:$AD$432,30,FALSE)</f>
        <v>Tôle d'acier, zinguée</v>
      </c>
      <c r="E180" s="178" t="str">
        <f>VLOOKUP(F180,'Baumaterialien Matériaux'!$A$10:$AD$432,7,FALSE)</f>
        <v>kg</v>
      </c>
      <c r="F180" s="591" t="s">
        <v>772</v>
      </c>
      <c r="G180" s="281">
        <f>2.2*3.14*0.0035^2*0.33*7850</f>
        <v>0.21921588150000007</v>
      </c>
      <c r="H180" s="178"/>
      <c r="I180" s="178">
        <v>40</v>
      </c>
      <c r="J180" s="1319"/>
      <c r="K180" s="1319"/>
      <c r="L180" s="281">
        <f>$G180*_xlfn.XLOOKUP($F180,'Baumaterialien Matériaux'!$A:$A,'Baumaterialien Matériaux'!AA:AA,0,0)</f>
        <v>0.98208714912000039</v>
      </c>
      <c r="M180" s="281">
        <f>$G180*_xlfn.XLOOKUP($F180,'Baumaterialien Matériaux'!$A:$A,'Baumaterialien Matériaux'!AB:AB,0,0)</f>
        <v>1.5191660587950005E-3</v>
      </c>
      <c r="N180" s="281">
        <f>$G180*_xlfn.XLOOKUP($F180,'Baumaterialien Matériaux'!$A:$A,'Baumaterialien Matériaux'!AC:AC,0,0)*44/12</f>
        <v>0</v>
      </c>
      <c r="O180" s="281">
        <f>$G180*_xlfn.XLOOKUP($F180,'Baumaterialien Matériaux'!$A:$A,'Baumaterialien Matériaux'!AG:AG,0,0)</f>
        <v>0.38143563381000012</v>
      </c>
      <c r="P180" s="281">
        <f>$G180*_xlfn.XLOOKUP($F180,'Baumaterialien Matériaux'!$A:$A,'Baumaterialien Matériaux'!AH:AH,0,0)</f>
        <v>0</v>
      </c>
    </row>
    <row r="181" spans="1:79" s="676" customFormat="1" ht="15.75" thickBot="1">
      <c r="F181" s="685"/>
      <c r="I181" s="686">
        <v>40</v>
      </c>
      <c r="J181" s="1321"/>
      <c r="K181" s="1321"/>
      <c r="L181" s="1010">
        <f t="shared" ref="L181:N181" si="34">SUM(L177:L180)</f>
        <v>20.191338943405714</v>
      </c>
      <c r="M181" s="1010">
        <f t="shared" si="34"/>
        <v>1.0728105374873664</v>
      </c>
      <c r="N181" s="1010">
        <f t="shared" si="34"/>
        <v>2.4264811999999996</v>
      </c>
      <c r="O181" s="1010">
        <f t="shared" ref="O181:P181" si="35">SUM(O177:O180)</f>
        <v>16.617660296667143</v>
      </c>
      <c r="P181" s="1010">
        <f t="shared" si="35"/>
        <v>0.49798762685714287</v>
      </c>
      <c r="Q181" s="172"/>
      <c r="R181" s="626">
        <f>(L181+M181)/I180</f>
        <v>0.53160373702232699</v>
      </c>
      <c r="S181" s="172">
        <v>0.51</v>
      </c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</row>
    <row r="182" spans="1:79" ht="15" thickTop="1">
      <c r="L182" s="132"/>
      <c r="M182" s="132"/>
      <c r="N182" s="132"/>
      <c r="O182" s="132"/>
      <c r="P182" s="132"/>
    </row>
    <row r="183" spans="1:79" s="145" customFormat="1" ht="17.25">
      <c r="A183" s="143"/>
      <c r="B183" s="143" t="str">
        <f>A155&amp; + " isolant"</f>
        <v>Toiture plate isolant</v>
      </c>
      <c r="C183" s="143"/>
      <c r="D183" s="143"/>
      <c r="E183" s="143"/>
      <c r="F183" s="587"/>
      <c r="G183" s="143" t="s">
        <v>750</v>
      </c>
      <c r="H183" s="143"/>
      <c r="J183" s="1324"/>
      <c r="K183" s="1324"/>
      <c r="L183" s="935"/>
      <c r="M183" s="935"/>
      <c r="N183" s="935"/>
      <c r="O183" s="935"/>
      <c r="P183" s="935"/>
    </row>
    <row r="184" spans="1:79" s="624" customFormat="1">
      <c r="A184" s="624" t="s">
        <v>809</v>
      </c>
      <c r="B184" s="181" t="s">
        <v>887</v>
      </c>
      <c r="C184" s="694" t="s">
        <v>888</v>
      </c>
      <c r="D184" s="624" t="str">
        <f>VLOOKUP(F184,'Baumaterialien Matériaux'!$A$10:$AD$432,30,FALSE)</f>
        <v>Polystyrène expansé (EPS)</v>
      </c>
      <c r="E184" s="624" t="str">
        <f>VLOOKUP(F184,'Baumaterialien Matériaux'!$A$10:$AD$432,7,FALSE)</f>
        <v>kg</v>
      </c>
      <c r="F184" s="657" t="s">
        <v>811</v>
      </c>
      <c r="G184" s="625">
        <f>25*0.22</f>
        <v>5.5</v>
      </c>
      <c r="I184" s="624">
        <v>30</v>
      </c>
      <c r="J184" s="1319"/>
      <c r="K184" s="1319"/>
      <c r="L184" s="625">
        <f>$G184*_xlfn.XLOOKUP($F184,'Baumaterialien Matériaux'!$A:$A,'Baumaterialien Matériaux'!AA:AA,0,0)</f>
        <v>24.805</v>
      </c>
      <c r="M184" s="625">
        <f>$G184*_xlfn.XLOOKUP($F184,'Baumaterialien Matériaux'!$A:$A,'Baumaterialien Matériaux'!AB:AB,0,0)</f>
        <v>16.994999999999997</v>
      </c>
      <c r="N184" s="625">
        <f>$G184*_xlfn.XLOOKUP($F184,'Baumaterialien Matériaux'!$A:$A,'Baumaterialien Matériaux'!AC:AC,0,0)*44/12</f>
        <v>0</v>
      </c>
      <c r="O184" s="625">
        <f>$G184*_xlfn.XLOOKUP($F184,'Baumaterialien Matériaux'!$A:$A,'Baumaterialien Matériaux'!AG:AG,0,0)</f>
        <v>10.945</v>
      </c>
      <c r="P184" s="625">
        <f>$G184*_xlfn.XLOOKUP($F184,'Baumaterialien Matériaux'!$A:$A,'Baumaterialien Matériaux'!AH:AH,0,0)</f>
        <v>3.883</v>
      </c>
    </row>
    <row r="185" spans="1:79" s="172" customFormat="1">
      <c r="F185" s="690"/>
      <c r="J185" s="1226"/>
      <c r="K185" s="1226"/>
      <c r="L185" s="691"/>
      <c r="M185" s="691"/>
      <c r="N185" s="691"/>
      <c r="O185" s="691"/>
      <c r="P185" s="691"/>
    </row>
    <row r="186" spans="1:79" s="624" customFormat="1">
      <c r="A186" s="624" t="s">
        <v>812</v>
      </c>
      <c r="B186" s="181" t="s">
        <v>889</v>
      </c>
      <c r="C186" s="624" t="s">
        <v>890</v>
      </c>
      <c r="D186" s="624" t="str">
        <f>VLOOKUP(F186,'Baumaterialien Matériaux'!$A$10:$AD$432,30,FALSE)</f>
        <v>Laine de roche</v>
      </c>
      <c r="E186" s="624" t="str">
        <f>VLOOKUP(F186,'Baumaterialien Matériaux'!$A$10:$AD$432,7,FALSE)</f>
        <v>kg</v>
      </c>
      <c r="F186" s="647" t="s">
        <v>814</v>
      </c>
      <c r="G186" s="625">
        <f>0.28*160</f>
        <v>44.800000000000004</v>
      </c>
      <c r="I186" s="624">
        <v>30</v>
      </c>
      <c r="J186" s="1319"/>
      <c r="K186" s="1319"/>
      <c r="L186" s="625">
        <f>$G186*_xlfn.XLOOKUP($F186,'Baumaterialien Matériaux'!$A:$A,'Baumaterialien Matériaux'!AA:AA,0,0)</f>
        <v>50.624000000000002</v>
      </c>
      <c r="M186" s="625">
        <f>$G186*_xlfn.XLOOKUP($F186,'Baumaterialien Matériaux'!$A:$A,'Baumaterialien Matériaux'!AB:AB,0,0)</f>
        <v>2.6521600000000003</v>
      </c>
      <c r="N186" s="625">
        <f>$G186*_xlfn.XLOOKUP($F186,'Baumaterialien Matériaux'!$A:$A,'Baumaterialien Matériaux'!AC:AC,0,0)*44/12</f>
        <v>0</v>
      </c>
      <c r="O186" s="625">
        <f>$G186*_xlfn.XLOOKUP($F186,'Baumaterialien Matériaux'!$A:$A,'Baumaterialien Matériaux'!AG:AG,0,0)</f>
        <v>25.536000000000001</v>
      </c>
      <c r="P186" s="625">
        <f>$G186*_xlfn.XLOOKUP($F186,'Baumaterialien Matériaux'!$A:$A,'Baumaterialien Matériaux'!AH:AH,0,0)</f>
        <v>0.15590400000000001</v>
      </c>
    </row>
    <row r="187" spans="1:79" s="172" customFormat="1">
      <c r="F187" s="1288"/>
      <c r="G187" s="691"/>
      <c r="J187" s="1229"/>
      <c r="K187" s="1229"/>
      <c r="L187" s="691"/>
      <c r="M187" s="691"/>
      <c r="N187" s="691"/>
      <c r="O187" s="691"/>
      <c r="P187" s="691"/>
    </row>
    <row r="188" spans="1:79" s="178" customFormat="1">
      <c r="A188" s="178" t="s">
        <v>817</v>
      </c>
      <c r="B188" s="181"/>
      <c r="C188" s="1283" t="s">
        <v>891</v>
      </c>
      <c r="D188" s="178" t="str">
        <f>VLOOKUP(F188,'Baumaterialien Matériaux'!$A$10:$AD$432,30,FALSE)</f>
        <v>Laine de verre</v>
      </c>
      <c r="E188" s="178" t="str">
        <f>VLOOKUP(F188,'Baumaterialien Matériaux'!$A$10:$AD$432,7,FALSE)</f>
        <v>kg</v>
      </c>
      <c r="F188" s="591" t="s">
        <v>819</v>
      </c>
      <c r="G188" s="281">
        <f>0.22*60</f>
        <v>13.2</v>
      </c>
      <c r="I188" s="178">
        <v>30</v>
      </c>
      <c r="J188" s="1319"/>
      <c r="K188" s="1319"/>
      <c r="L188" s="281">
        <f>$G188*_xlfn.XLOOKUP($F188,'Baumaterialien Matériaux'!$A:$A,'Baumaterialien Matériaux'!AA:AA,0,0)</f>
        <v>13.728</v>
      </c>
      <c r="M188" s="281">
        <f>$G188*_xlfn.XLOOKUP($F188,'Baumaterialien Matériaux'!$A:$A,'Baumaterialien Matériaux'!AB:AB,0,0)</f>
        <v>0.78144000000000002</v>
      </c>
      <c r="N188" s="281">
        <f>$G188*_xlfn.XLOOKUP($F188,'Baumaterialien Matériaux'!$A:$A,'Baumaterialien Matériaux'!AC:AC,0,0)*44/12</f>
        <v>0</v>
      </c>
      <c r="O188" s="281">
        <f>$G188*_xlfn.XLOOKUP($F188,'Baumaterialien Matériaux'!$A:$A,'Baumaterialien Matériaux'!AG:AG,0,0)</f>
        <v>5.5703999999999994</v>
      </c>
      <c r="P188" s="281">
        <f>$G188*_xlfn.XLOOKUP($F188,'Baumaterialien Matériaux'!$A:$A,'Baumaterialien Matériaux'!AH:AH,0,0)</f>
        <v>4.5935999999999998E-2</v>
      </c>
    </row>
    <row r="189" spans="1:79" s="172" customFormat="1">
      <c r="F189" s="690"/>
      <c r="J189" s="1226"/>
      <c r="K189" s="1226"/>
      <c r="L189" s="691"/>
      <c r="M189" s="691"/>
      <c r="N189" s="691"/>
      <c r="O189" s="691"/>
      <c r="P189" s="691"/>
    </row>
    <row r="190" spans="1:79" s="624" customFormat="1">
      <c r="A190" s="624" t="s">
        <v>226</v>
      </c>
      <c r="B190" s="181"/>
      <c r="F190" s="647"/>
      <c r="G190" s="625"/>
      <c r="I190" s="624">
        <v>30</v>
      </c>
      <c r="J190" s="1319"/>
      <c r="K190" s="1319"/>
      <c r="L190" s="625"/>
      <c r="M190" s="625"/>
      <c r="N190" s="625"/>
      <c r="O190" s="625"/>
      <c r="P190" s="625"/>
    </row>
    <row r="191" spans="1:79" s="172" customFormat="1">
      <c r="F191" s="690"/>
      <c r="J191" s="1226"/>
      <c r="K191" s="1226"/>
      <c r="L191" s="691"/>
      <c r="M191" s="691"/>
      <c r="N191" s="691"/>
      <c r="O191" s="691"/>
      <c r="P191" s="691"/>
    </row>
    <row r="192" spans="1:79" s="181" customFormat="1">
      <c r="A192" s="178" t="s">
        <v>892</v>
      </c>
      <c r="B192" s="181" t="s">
        <v>893</v>
      </c>
      <c r="C192" s="604" t="s">
        <v>894</v>
      </c>
      <c r="D192" s="181" t="str">
        <f>VLOOKUP(F192,'Baumaterialien Matériaux'!$A$10:$AD$432,30,FALSE)</f>
        <v>Polyuréthane (PUR/PIR)</v>
      </c>
      <c r="E192" s="181" t="s">
        <v>294</v>
      </c>
      <c r="F192" s="1281" t="s">
        <v>895</v>
      </c>
      <c r="G192" s="182">
        <f>30*0.16</f>
        <v>4.8</v>
      </c>
      <c r="I192" s="620">
        <v>30</v>
      </c>
      <c r="J192" s="1319"/>
      <c r="K192" s="1319"/>
      <c r="L192" s="1009">
        <f>$G192*_xlfn.XLOOKUP($F192,'Baumaterialien Matériaux'!$A:$A,'Baumaterialien Matériaux'!AA:AA,0,0)</f>
        <v>22.992000000000001</v>
      </c>
      <c r="M192" s="1009">
        <f>$G192*_xlfn.XLOOKUP($F192,'Baumaterialien Matériaux'!$A:$A,'Baumaterialien Matériaux'!AB:AB,0,0)</f>
        <v>12.719999999999999</v>
      </c>
      <c r="N192" s="1009">
        <f>$G192*_xlfn.XLOOKUP($F192,'Baumaterialien Matériaux'!$A:$A,'Baumaterialien Matériaux'!AC:AC,0,0)*44/12</f>
        <v>0</v>
      </c>
      <c r="O192" s="1009">
        <f>$G192*_xlfn.XLOOKUP($F192,'Baumaterialien Matériaux'!$A:$A,'Baumaterialien Matériaux'!AG:AG,0,0)</f>
        <v>9.0719999999999992</v>
      </c>
      <c r="P192" s="1009">
        <f>$G192*_xlfn.XLOOKUP($F192,'Baumaterialien Matériaux'!$A:$A,'Baumaterialien Matériaux'!AH:AH,0,0)</f>
        <v>4.1856</v>
      </c>
    </row>
    <row r="193" spans="1:79" s="172" customFormat="1">
      <c r="C193" s="1336"/>
      <c r="F193" s="1289"/>
      <c r="G193" s="691"/>
      <c r="J193" s="691"/>
      <c r="K193" s="691"/>
      <c r="L193" s="691"/>
      <c r="M193" s="691"/>
      <c r="N193" s="691"/>
      <c r="O193" s="691"/>
      <c r="P193" s="691"/>
    </row>
    <row r="194" spans="1:79">
      <c r="A194" s="671" t="s">
        <v>896</v>
      </c>
      <c r="C194" s="149"/>
      <c r="F194" s="1289"/>
      <c r="G194" s="132"/>
      <c r="I194" s="1290"/>
      <c r="J194" s="1229"/>
      <c r="K194" s="1229"/>
      <c r="L194" s="1291"/>
      <c r="M194" s="1291"/>
      <c r="N194" s="1291"/>
      <c r="O194" s="1291"/>
      <c r="P194" s="1291"/>
    </row>
    <row r="195" spans="1:79" s="172" customFormat="1">
      <c r="F195" s="690"/>
      <c r="J195" s="1226"/>
      <c r="K195" s="1226"/>
      <c r="L195" s="691"/>
      <c r="M195" s="691"/>
      <c r="N195" s="691"/>
      <c r="O195" s="691"/>
      <c r="P195" s="691"/>
    </row>
    <row r="196" spans="1:79" s="145" customFormat="1" ht="17.25">
      <c r="A196" s="143"/>
      <c r="B196" s="143" t="str">
        <f>A163&amp; + " isolant"</f>
        <v>Toiture inclinée isolant</v>
      </c>
      <c r="C196" s="143"/>
      <c r="D196" s="143"/>
      <c r="E196" s="143"/>
      <c r="F196" s="587"/>
      <c r="G196" s="143" t="s">
        <v>750</v>
      </c>
      <c r="H196" s="143"/>
      <c r="J196" s="1324"/>
      <c r="K196" s="1324"/>
      <c r="L196" s="935"/>
      <c r="M196" s="935"/>
      <c r="N196" s="935"/>
      <c r="O196" s="935"/>
      <c r="P196" s="935"/>
    </row>
    <row r="197" spans="1:79" s="624" customFormat="1">
      <c r="A197" s="624" t="str">
        <f t="shared" ref="A197:A205" si="36">A184</f>
        <v>EPS</v>
      </c>
      <c r="B197" s="181" t="s">
        <v>887</v>
      </c>
      <c r="C197" s="694" t="s">
        <v>888</v>
      </c>
      <c r="D197" s="624" t="str">
        <f>VLOOKUP(F197,'Baumaterialien Matériaux'!$A$10:$AD$432,30,FALSE)</f>
        <v>Polystyrène expansé (EPS)</v>
      </c>
      <c r="E197" s="624" t="str">
        <f>VLOOKUP(F197,'Baumaterialien Matériaux'!$A$10:$AD$432,7,FALSE)</f>
        <v>kg</v>
      </c>
      <c r="F197" s="657" t="s">
        <v>811</v>
      </c>
      <c r="G197" s="625">
        <f>25*0.22</f>
        <v>5.5</v>
      </c>
      <c r="I197" s="624">
        <v>40</v>
      </c>
      <c r="J197" s="1319"/>
      <c r="K197" s="1319"/>
      <c r="L197" s="625">
        <f>$G197*_xlfn.XLOOKUP($F197,'Baumaterialien Matériaux'!$A:$A,'Baumaterialien Matériaux'!AA:AA,0,0)</f>
        <v>24.805</v>
      </c>
      <c r="M197" s="625">
        <f>$G197*_xlfn.XLOOKUP($F197,'Baumaterialien Matériaux'!$A:$A,'Baumaterialien Matériaux'!AB:AB,0,0)</f>
        <v>16.994999999999997</v>
      </c>
      <c r="N197" s="625">
        <f>$G197*_xlfn.XLOOKUP($F197,'Baumaterialien Matériaux'!$A:$A,'Baumaterialien Matériaux'!AC:AC,0,0)*44/12</f>
        <v>0</v>
      </c>
      <c r="O197" s="625">
        <f>$G197*_xlfn.XLOOKUP($F197,'Baumaterialien Matériaux'!$A:$A,'Baumaterialien Matériaux'!AG:AG,0,0)</f>
        <v>10.945</v>
      </c>
      <c r="P197" s="625">
        <f>$G197*_xlfn.XLOOKUP($F197,'Baumaterialien Matériaux'!$A:$A,'Baumaterialien Matériaux'!AH:AH,0,0)</f>
        <v>3.883</v>
      </c>
      <c r="R197" s="626"/>
    </row>
    <row r="198" spans="1:79" s="172" customFormat="1">
      <c r="A198" s="172">
        <f t="shared" si="36"/>
        <v>0</v>
      </c>
      <c r="F198" s="690"/>
      <c r="J198" s="1226"/>
      <c r="K198" s="1226"/>
      <c r="L198" s="691"/>
      <c r="M198" s="691"/>
      <c r="N198" s="691"/>
      <c r="O198" s="691"/>
      <c r="P198" s="691"/>
    </row>
    <row r="199" spans="1:79" s="624" customFormat="1">
      <c r="A199" s="624" t="str">
        <f t="shared" si="36"/>
        <v>Laine de roche</v>
      </c>
      <c r="B199" s="181" t="s">
        <v>897</v>
      </c>
      <c r="C199" s="624" t="s">
        <v>898</v>
      </c>
      <c r="D199" s="624" t="str">
        <f>VLOOKUP(F199,'Baumaterialien Matériaux'!$A$10:$AD$432,30,FALSE)</f>
        <v>Laine de roche</v>
      </c>
      <c r="E199" s="624" t="str">
        <f>VLOOKUP(F199,'Baumaterialien Matériaux'!$A$10:$AD$432,7,FALSE)</f>
        <v>kg</v>
      </c>
      <c r="F199" s="647" t="s">
        <v>814</v>
      </c>
      <c r="G199" s="625">
        <f>0.28*90</f>
        <v>25.200000000000003</v>
      </c>
      <c r="I199" s="624">
        <v>40</v>
      </c>
      <c r="J199" s="1319"/>
      <c r="K199" s="1319"/>
      <c r="L199" s="625">
        <f>$G199*_xlfn.XLOOKUP($F199,'Baumaterialien Matériaux'!$A:$A,'Baumaterialien Matériaux'!AA:AA,0,0)</f>
        <v>28.475999999999999</v>
      </c>
      <c r="M199" s="625">
        <f>$G199*_xlfn.XLOOKUP($F199,'Baumaterialien Matériaux'!$A:$A,'Baumaterialien Matériaux'!AB:AB,0,0)</f>
        <v>1.4918400000000003</v>
      </c>
      <c r="N199" s="625">
        <f>$G199*_xlfn.XLOOKUP($F199,'Baumaterialien Matériaux'!$A:$A,'Baumaterialien Matériaux'!AC:AC,0,0)*44/12</f>
        <v>0</v>
      </c>
      <c r="O199" s="625">
        <f>$G199*_xlfn.XLOOKUP($F199,'Baumaterialien Matériaux'!$A:$A,'Baumaterialien Matériaux'!AG:AG,0,0)</f>
        <v>14.364000000000001</v>
      </c>
      <c r="P199" s="625">
        <f>$G199*_xlfn.XLOOKUP($F199,'Baumaterialien Matériaux'!$A:$A,'Baumaterialien Matériaux'!AH:AH,0,0)</f>
        <v>8.769600000000001E-2</v>
      </c>
    </row>
    <row r="200" spans="1:79" s="172" customFormat="1">
      <c r="A200" s="172">
        <f t="shared" si="36"/>
        <v>0</v>
      </c>
      <c r="F200" s="1288"/>
      <c r="G200" s="691"/>
      <c r="J200" s="1229"/>
      <c r="K200" s="1229"/>
      <c r="L200" s="691"/>
      <c r="M200" s="691"/>
      <c r="N200" s="691"/>
      <c r="O200" s="691"/>
      <c r="P200" s="691"/>
    </row>
    <row r="201" spans="1:79" s="178" customFormat="1">
      <c r="A201" s="178" t="str">
        <f t="shared" si="36"/>
        <v>Laine de verre</v>
      </c>
      <c r="B201" s="181"/>
      <c r="C201" s="1283" t="s">
        <v>891</v>
      </c>
      <c r="D201" s="178" t="str">
        <f>VLOOKUP(F201,'Baumaterialien Matériaux'!$A$10:$AD$432,30,FALSE)</f>
        <v>Laine de verre</v>
      </c>
      <c r="E201" s="178" t="str">
        <f>VLOOKUP(F201,'Baumaterialien Matériaux'!$A$10:$AD$432,7,FALSE)</f>
        <v>kg</v>
      </c>
      <c r="F201" s="591" t="s">
        <v>819</v>
      </c>
      <c r="G201" s="281">
        <f>0.22*60</f>
        <v>13.2</v>
      </c>
      <c r="I201" s="178">
        <v>40</v>
      </c>
      <c r="J201" s="1319"/>
      <c r="K201" s="1319"/>
      <c r="L201" s="281">
        <f>$G201*_xlfn.XLOOKUP($F201,'Baumaterialien Matériaux'!$A:$A,'Baumaterialien Matériaux'!AA:AA,0,0)</f>
        <v>13.728</v>
      </c>
      <c r="M201" s="281">
        <f>$G201*_xlfn.XLOOKUP($F201,'Baumaterialien Matériaux'!$A:$A,'Baumaterialien Matériaux'!AB:AB,0,0)</f>
        <v>0.78144000000000002</v>
      </c>
      <c r="N201" s="281">
        <f>$G201*_xlfn.XLOOKUP($F201,'Baumaterialien Matériaux'!$A:$A,'Baumaterialien Matériaux'!AC:AC,0,0)*44/12</f>
        <v>0</v>
      </c>
      <c r="O201" s="281">
        <f>$G201*_xlfn.XLOOKUP($F201,'Baumaterialien Matériaux'!$A:$A,'Baumaterialien Matériaux'!AG:AG,0,0)</f>
        <v>5.5703999999999994</v>
      </c>
      <c r="P201" s="281">
        <f>$G201*_xlfn.XLOOKUP($F201,'Baumaterialien Matériaux'!$A:$A,'Baumaterialien Matériaux'!AH:AH,0,0)</f>
        <v>4.5935999999999998E-2</v>
      </c>
    </row>
    <row r="202" spans="1:79" s="172" customFormat="1">
      <c r="A202" s="172">
        <f t="shared" si="36"/>
        <v>0</v>
      </c>
      <c r="F202" s="690"/>
      <c r="J202" s="1226"/>
      <c r="K202" s="1226"/>
      <c r="L202" s="691"/>
      <c r="M202" s="691"/>
      <c r="N202" s="691"/>
      <c r="O202" s="691"/>
      <c r="P202" s="691"/>
    </row>
    <row r="203" spans="1:79" s="624" customFormat="1">
      <c r="A203" s="624" t="str">
        <f t="shared" si="36"/>
        <v>XPS</v>
      </c>
      <c r="B203" s="181"/>
      <c r="F203" s="647"/>
      <c r="G203" s="625"/>
      <c r="I203" s="624">
        <v>40</v>
      </c>
      <c r="J203" s="1319"/>
      <c r="K203" s="1319"/>
      <c r="L203" s="625"/>
      <c r="M203" s="625"/>
      <c r="N203" s="625"/>
      <c r="O203" s="625"/>
      <c r="P203" s="625"/>
    </row>
    <row r="204" spans="1:79" s="172" customFormat="1">
      <c r="A204" s="172">
        <f t="shared" si="36"/>
        <v>0</v>
      </c>
      <c r="F204" s="690"/>
      <c r="J204" s="1226"/>
      <c r="K204" s="1226"/>
      <c r="L204" s="691"/>
      <c r="M204" s="691"/>
      <c r="N204" s="691"/>
      <c r="O204" s="691"/>
      <c r="P204" s="691"/>
    </row>
    <row r="205" spans="1:79" s="181" customFormat="1">
      <c r="A205" s="178" t="str">
        <f t="shared" si="36"/>
        <v>PUR</v>
      </c>
      <c r="B205" s="181" t="s">
        <v>893</v>
      </c>
      <c r="C205" s="604" t="s">
        <v>894</v>
      </c>
      <c r="D205" s="181" t="str">
        <f>VLOOKUP(F205,'Baumaterialien Matériaux'!$A$10:$AD$432,30,FALSE)</f>
        <v>Polyuréthane (PUR/PIR)</v>
      </c>
      <c r="E205" s="181" t="s">
        <v>294</v>
      </c>
      <c r="F205" s="1281" t="s">
        <v>895</v>
      </c>
      <c r="G205" s="182">
        <f>30*0.16</f>
        <v>4.8</v>
      </c>
      <c r="I205" s="620">
        <v>40</v>
      </c>
      <c r="J205" s="1319"/>
      <c r="K205" s="1319"/>
      <c r="L205" s="1009">
        <f>$G205*_xlfn.XLOOKUP($F205,'Baumaterialien Matériaux'!$A:$A,'Baumaterialien Matériaux'!AA:AA,0,0)</f>
        <v>22.992000000000001</v>
      </c>
      <c r="M205" s="1009">
        <f>$G205*_xlfn.XLOOKUP($F205,'Baumaterialien Matériaux'!$A:$A,'Baumaterialien Matériaux'!AB:AB,0,0)</f>
        <v>12.719999999999999</v>
      </c>
      <c r="N205" s="1009">
        <f>$G205*_xlfn.XLOOKUP($F205,'Baumaterialien Matériaux'!$A:$A,'Baumaterialien Matériaux'!AC:AC,0,0)*44/12</f>
        <v>0</v>
      </c>
      <c r="O205" s="1009">
        <f>$G205*_xlfn.XLOOKUP($F205,'Baumaterialien Matériaux'!$A:$A,'Baumaterialien Matériaux'!AG:AG,0,0)</f>
        <v>9.0719999999999992</v>
      </c>
      <c r="P205" s="1009">
        <f>$G205*_xlfn.XLOOKUP($F205,'Baumaterialien Matériaux'!$A:$A,'Baumaterialien Matériaux'!AH:AH,0,0)</f>
        <v>4.1856</v>
      </c>
    </row>
    <row r="206" spans="1:79">
      <c r="A206" s="172"/>
      <c r="C206" s="149"/>
      <c r="F206" s="1289"/>
      <c r="G206" s="132"/>
      <c r="I206" s="1290"/>
      <c r="J206" s="1229"/>
      <c r="K206" s="1229"/>
      <c r="L206" s="1291"/>
      <c r="M206" s="1291"/>
      <c r="N206" s="1291"/>
      <c r="O206" s="1291"/>
      <c r="P206" s="1291"/>
    </row>
    <row r="207" spans="1:79" s="145" customFormat="1" ht="15">
      <c r="A207" s="143" t="s">
        <v>899</v>
      </c>
      <c r="B207" s="143"/>
      <c r="C207" s="143"/>
      <c r="D207" s="143"/>
      <c r="E207" s="143"/>
      <c r="F207" s="587"/>
      <c r="G207" s="143"/>
      <c r="H207" s="143"/>
      <c r="J207" s="1324"/>
      <c r="K207" s="1324"/>
      <c r="L207" s="935"/>
      <c r="M207" s="935"/>
      <c r="N207" s="935"/>
      <c r="O207" s="935"/>
      <c r="P207" s="935"/>
    </row>
    <row r="208" spans="1:79" s="160" customFormat="1">
      <c r="A208" s="1429" t="s">
        <v>900</v>
      </c>
      <c r="B208" s="1574" t="s">
        <v>901</v>
      </c>
      <c r="C208" s="181" t="s">
        <v>902</v>
      </c>
      <c r="D208" s="181" t="str">
        <f>VLOOKUP(F208,'Baumaterialien Matériaux'!$A$10:$AD$432,30,FALSE)</f>
        <v>Béton pour bâtiment (sans armature)</v>
      </c>
      <c r="E208" s="181" t="str">
        <f>VLOOKUP(F208,'Baumaterialien Matériaux'!$A$10:$AD$432,7,FALSE)</f>
        <v>kg</v>
      </c>
      <c r="F208" s="314" t="s">
        <v>685</v>
      </c>
      <c r="G208" s="182">
        <f>1/3*0.2^2*1*(1-300/7850)*2300</f>
        <v>29.49469214437368</v>
      </c>
      <c r="H208" s="181"/>
      <c r="I208" s="620">
        <v>60</v>
      </c>
      <c r="J208" s="1319"/>
      <c r="K208" s="1319"/>
      <c r="L208" s="1009">
        <f>$G208*_xlfn.XLOOKUP($F208,'Baumaterialien Matériaux'!$A:$A,'Baumaterialien Matériaux'!AA:AA,0,0)</f>
        <v>2.6161791932059453</v>
      </c>
      <c r="M208" s="1009">
        <f>$G208*_xlfn.XLOOKUP($F208,'Baumaterialien Matériaux'!$A:$A,'Baumaterialien Matériaux'!AB:AB,0,0)</f>
        <v>0.37163312101910839</v>
      </c>
      <c r="N208" s="1009">
        <f>$G208*_xlfn.XLOOKUP($F208,'Baumaterialien Matériaux'!$A:$A,'Baumaterialien Matériaux'!AC:AC,0,0)*44/12</f>
        <v>0</v>
      </c>
      <c r="O208" s="1009">
        <f>$G208*_xlfn.XLOOKUP($F208,'Baumaterialien Matériaux'!$A:$A,'Baumaterialien Matériaux'!AG:AG,0,0)</f>
        <v>0.61348959660297253</v>
      </c>
      <c r="P208" s="1009">
        <f>$G208*_xlfn.XLOOKUP($F208,'Baumaterialien Matériaux'!$A:$A,'Baumaterialien Matériaux'!AH:AH,0,0)</f>
        <v>7.9045774946921471E-2</v>
      </c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</row>
    <row r="209" spans="1:79">
      <c r="A209" s="671"/>
      <c r="B209" s="1574"/>
      <c r="C209" s="181" t="s">
        <v>729</v>
      </c>
      <c r="D209" s="181" t="str">
        <f>VLOOKUP(F209,'Baumaterialien Matériaux'!$A$10:$AD$432,30,FALSE)</f>
        <v>Acier d'armature</v>
      </c>
      <c r="E209" s="181" t="str">
        <f>VLOOKUP(F209,'Baumaterialien Matériaux'!$A$10:$AD$432,7,FALSE)</f>
        <v>kg</v>
      </c>
      <c r="F209" s="314" t="s">
        <v>687</v>
      </c>
      <c r="G209" s="182">
        <f>1/3*0.2^2*1*300</f>
        <v>4.0000000000000009</v>
      </c>
      <c r="H209" s="181"/>
      <c r="I209" s="620">
        <v>60</v>
      </c>
      <c r="J209" s="1319"/>
      <c r="K209" s="1319"/>
      <c r="L209" s="1009">
        <f>$G209*_xlfn.XLOOKUP($F209,'Baumaterialien Matériaux'!$A:$A,'Baumaterialien Matériaux'!AA:AA,0,0)</f>
        <v>3.092000000000001</v>
      </c>
      <c r="M209" s="1009">
        <f>$G209*_xlfn.XLOOKUP($F209,'Baumaterialien Matériaux'!$A:$A,'Baumaterialien Matériaux'!AB:AB,0,0)</f>
        <v>4.8800000000000017E-2</v>
      </c>
      <c r="N209" s="1009">
        <f>$G209*_xlfn.XLOOKUP($F209,'Baumaterialien Matériaux'!$A:$A,'Baumaterialien Matériaux'!AC:AC,0,0)*44/12</f>
        <v>0</v>
      </c>
      <c r="O209" s="1009">
        <f>$G209*_xlfn.XLOOKUP($F209,'Baumaterialien Matériaux'!$A:$A,'Baumaterialien Matériaux'!AG:AG,0,0)</f>
        <v>1.1640000000000001</v>
      </c>
      <c r="P209" s="1009">
        <f>$G209*_xlfn.XLOOKUP($F209,'Baumaterialien Matériaux'!$A:$A,'Baumaterialien Matériaux'!AH:AH,0,0)</f>
        <v>0</v>
      </c>
    </row>
    <row r="210" spans="1:79">
      <c r="A210" s="671"/>
      <c r="B210" s="1574"/>
      <c r="C210" s="181" t="s">
        <v>847</v>
      </c>
      <c r="D210" s="181" t="str">
        <f>VLOOKUP(F210,'Baumaterialien Matériaux'!$A$10:$AD$432,30,FALSE)</f>
        <v>Bois massif 3 et 5 plis</v>
      </c>
      <c r="E210" s="181" t="str">
        <f>VLOOKUP(F210,'Baumaterialien Matériaux'!$A$10:$AD$432,7,FALSE)</f>
        <v>kg</v>
      </c>
      <c r="F210" s="314" t="s">
        <v>705</v>
      </c>
      <c r="G210" s="182">
        <f>4*0.2*1/3/5*0.025*470</f>
        <v>0.62666666666666659</v>
      </c>
      <c r="H210" s="181"/>
      <c r="I210" s="620">
        <v>60</v>
      </c>
      <c r="J210" s="1319"/>
      <c r="K210" s="1319"/>
      <c r="L210" s="1009">
        <f>$G210*_xlfn.XLOOKUP($F210,'Baumaterialien Matériaux'!$A:$A,'Baumaterialien Matériaux'!AA:AA,0,0)</f>
        <v>0.25943999999999995</v>
      </c>
      <c r="M210" s="1009">
        <f>$G210*_xlfn.XLOOKUP($F210,'Baumaterialien Matériaux'!$A:$A,'Baumaterialien Matériaux'!AB:AB,0,0)</f>
        <v>3.4654666666666667E-2</v>
      </c>
      <c r="N210" s="1009">
        <f>$G210*_xlfn.XLOOKUP($F210,'Baumaterialien Matériaux'!$A:$A,'Baumaterialien Matériaux'!AC:AC,0,0)*44/12</f>
        <v>0.99493777777777759</v>
      </c>
      <c r="O210" s="1009">
        <f>$G210*_xlfn.XLOOKUP($F210,'Baumaterialien Matériaux'!$A:$A,'Baumaterialien Matériaux'!AG:AG,0,0)</f>
        <v>8.773333333333333E-2</v>
      </c>
      <c r="P210" s="1009">
        <f>$G210*_xlfn.XLOOKUP($F210,'Baumaterialien Matériaux'!$A:$A,'Baumaterialien Matériaux'!AH:AH,0,0)</f>
        <v>2.4377333333333327E-2</v>
      </c>
    </row>
    <row r="211" spans="1:79" s="658" customFormat="1" ht="15.75" thickBot="1">
      <c r="A211" s="673"/>
      <c r="F211" s="659"/>
      <c r="I211" s="672">
        <v>60</v>
      </c>
      <c r="J211" s="1321"/>
      <c r="K211" s="1321"/>
      <c r="L211" s="660">
        <f t="shared" ref="L211:N211" si="37">SUM(L208:L210)</f>
        <v>5.9676191932059464</v>
      </c>
      <c r="M211" s="660">
        <f t="shared" si="37"/>
        <v>0.45508778768577507</v>
      </c>
      <c r="N211" s="660">
        <f t="shared" si="37"/>
        <v>0.99493777777777759</v>
      </c>
      <c r="O211" s="660">
        <f t="shared" ref="O211:P211" si="38">SUM(O208:O210)</f>
        <v>1.8652229299363059</v>
      </c>
      <c r="P211" s="660">
        <f t="shared" si="38"/>
        <v>0.10342310828025481</v>
      </c>
      <c r="Q211" s="3"/>
      <c r="R211" s="626">
        <f>(L211+M211)/I210</f>
        <v>0.10704511634819536</v>
      </c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</row>
    <row r="212" spans="1:79" ht="15" thickTop="1">
      <c r="L212" s="132"/>
      <c r="M212" s="132"/>
      <c r="N212" s="132"/>
      <c r="O212" s="132"/>
      <c r="P212" s="132"/>
    </row>
    <row r="213" spans="1:79" s="160" customFormat="1">
      <c r="A213" s="1429" t="s">
        <v>903</v>
      </c>
      <c r="B213" s="1574" t="s">
        <v>904</v>
      </c>
      <c r="C213" s="181" t="s">
        <v>905</v>
      </c>
      <c r="D213" s="181" t="str">
        <f>VLOOKUP(F213,'Baumaterialien Matériaux'!$A$10:$AD$432,30,FALSE)</f>
        <v>Élément préfabriqué en béton, béton normal, sortie d'usine</v>
      </c>
      <c r="E213" s="181" t="str">
        <f>VLOOKUP(F213,'Baumaterialien Matériaux'!$A$10:$AD$432,7,FALSE)</f>
        <v>kg</v>
      </c>
      <c r="F213" s="314" t="s">
        <v>906</v>
      </c>
      <c r="G213" s="182">
        <f>1/3*0.2^2*1*(1-250/7850)*2500</f>
        <v>32.271762208067948</v>
      </c>
      <c r="H213" s="181"/>
      <c r="I213" s="620">
        <v>60</v>
      </c>
      <c r="J213" s="1319"/>
      <c r="K213" s="1319"/>
      <c r="L213" s="1009">
        <f>$G213*_xlfn.XLOOKUP($F213,'Baumaterialien Matériaux'!$A:$A,'Baumaterialien Matériaux'!AA:AA,0,0)</f>
        <v>5.3248407643312117</v>
      </c>
      <c r="M213" s="1009">
        <f>$G213*_xlfn.XLOOKUP($F213,'Baumaterialien Matériaux'!$A:$A,'Baumaterialien Matériaux'!AB:AB,0,0)</f>
        <v>0.39048832271762213</v>
      </c>
      <c r="N213" s="1009">
        <f>$G213*_xlfn.XLOOKUP($F213,'Baumaterialien Matériaux'!$A:$A,'Baumaterialien Matériaux'!AC:AC,0,0)*44/12</f>
        <v>0</v>
      </c>
      <c r="O213" s="1009">
        <f>$G213*_xlfn.XLOOKUP($F213,'Baumaterialien Matériaux'!$A:$A,'Baumaterialien Matériaux'!AG:AG,0,0)</f>
        <v>1.2101910828025479</v>
      </c>
      <c r="P213" s="1009">
        <f>$G213*_xlfn.XLOOKUP($F213,'Baumaterialien Matériaux'!$A:$A,'Baumaterialien Matériaux'!AH:AH,0,0)</f>
        <v>8.3583864118895984E-2</v>
      </c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</row>
    <row r="214" spans="1:79">
      <c r="A214" s="671"/>
      <c r="B214" s="1574"/>
      <c r="C214" s="181" t="s">
        <v>729</v>
      </c>
      <c r="D214" s="181" t="str">
        <f>VLOOKUP(F214,'Baumaterialien Matériaux'!$A$10:$AD$432,30,FALSE)</f>
        <v>Acier d'armature</v>
      </c>
      <c r="E214" s="181" t="str">
        <f>VLOOKUP(F214,'Baumaterialien Matériaux'!$A$10:$AD$432,7,FALSE)</f>
        <v>kg</v>
      </c>
      <c r="F214" s="314" t="s">
        <v>687</v>
      </c>
      <c r="G214" s="182">
        <f>1/3*0.3^2*1*250</f>
        <v>7.5</v>
      </c>
      <c r="H214" s="181"/>
      <c r="I214" s="620">
        <v>60</v>
      </c>
      <c r="J214" s="1319"/>
      <c r="K214" s="1319"/>
      <c r="L214" s="1009">
        <f>$G214*_xlfn.XLOOKUP($F214,'Baumaterialien Matériaux'!$A:$A,'Baumaterialien Matériaux'!AA:AA,0,0)</f>
        <v>5.7975000000000003</v>
      </c>
      <c r="M214" s="1009">
        <f>$G214*_xlfn.XLOOKUP($F214,'Baumaterialien Matériaux'!$A:$A,'Baumaterialien Matériaux'!AB:AB,0,0)</f>
        <v>9.1500000000000012E-2</v>
      </c>
      <c r="N214" s="1009">
        <f>$G214*_xlfn.XLOOKUP($F214,'Baumaterialien Matériaux'!$A:$A,'Baumaterialien Matériaux'!AC:AC,0,0)*44/12</f>
        <v>0</v>
      </c>
      <c r="O214" s="1009">
        <f>$G214*_xlfn.XLOOKUP($F214,'Baumaterialien Matériaux'!$A:$A,'Baumaterialien Matériaux'!AG:AG,0,0)</f>
        <v>2.1824999999999997</v>
      </c>
      <c r="P214" s="1009">
        <f>$G214*_xlfn.XLOOKUP($F214,'Baumaterialien Matériaux'!$A:$A,'Baumaterialien Matériaux'!AH:AH,0,0)</f>
        <v>0</v>
      </c>
    </row>
    <row r="215" spans="1:79">
      <c r="A215" s="671"/>
      <c r="B215" s="1574"/>
      <c r="C215" s="181" t="s">
        <v>847</v>
      </c>
      <c r="D215" s="181" t="str">
        <f>VLOOKUP(F215,'Baumaterialien Matériaux'!$A$10:$AD$432,30,FALSE)</f>
        <v>Bois massif 3 et 5 plis</v>
      </c>
      <c r="E215" s="181" t="str">
        <f>VLOOKUP(F215,'Baumaterialien Matériaux'!$A$10:$AD$432,7,FALSE)</f>
        <v>kg</v>
      </c>
      <c r="F215" s="314" t="s">
        <v>705</v>
      </c>
      <c r="G215" s="182">
        <f>4*0.2*1/3/5*0.025*470</f>
        <v>0.62666666666666659</v>
      </c>
      <c r="H215" s="181"/>
      <c r="I215" s="620">
        <v>60</v>
      </c>
      <c r="J215" s="1319"/>
      <c r="K215" s="1319"/>
      <c r="L215" s="1009">
        <f>$G215*_xlfn.XLOOKUP($F215,'Baumaterialien Matériaux'!$A:$A,'Baumaterialien Matériaux'!AA:AA,0,0)</f>
        <v>0.25943999999999995</v>
      </c>
      <c r="M215" s="1009">
        <f>$G215*_xlfn.XLOOKUP($F215,'Baumaterialien Matériaux'!$A:$A,'Baumaterialien Matériaux'!AB:AB,0,0)</f>
        <v>3.4654666666666667E-2</v>
      </c>
      <c r="N215" s="1009">
        <f>$G215*_xlfn.XLOOKUP($F215,'Baumaterialien Matériaux'!$A:$A,'Baumaterialien Matériaux'!AC:AC,0,0)*44/12</f>
        <v>0.99493777777777759</v>
      </c>
      <c r="O215" s="1009">
        <f>$G215*_xlfn.XLOOKUP($F215,'Baumaterialien Matériaux'!$A:$A,'Baumaterialien Matériaux'!AG:AG,0,0)</f>
        <v>8.773333333333333E-2</v>
      </c>
      <c r="P215" s="1009">
        <f>$G215*_xlfn.XLOOKUP($F215,'Baumaterialien Matériaux'!$A:$A,'Baumaterialien Matériaux'!AH:AH,0,0)</f>
        <v>2.4377333333333327E-2</v>
      </c>
    </row>
    <row r="216" spans="1:79" s="658" customFormat="1" ht="15.75" thickBot="1">
      <c r="A216" s="673"/>
      <c r="F216" s="659"/>
      <c r="I216" s="672">
        <v>60</v>
      </c>
      <c r="J216" s="1321"/>
      <c r="K216" s="1321"/>
      <c r="L216" s="660">
        <f t="shared" ref="L216:N216" si="39">SUM(L213:L215)</f>
        <v>11.381780764331213</v>
      </c>
      <c r="M216" s="660">
        <f t="shared" si="39"/>
        <v>0.51664298938428876</v>
      </c>
      <c r="N216" s="660">
        <f t="shared" si="39"/>
        <v>0.99493777777777759</v>
      </c>
      <c r="O216" s="660">
        <f t="shared" ref="O216:P216" si="40">SUM(O213:O215)</f>
        <v>3.480424416135881</v>
      </c>
      <c r="P216" s="660">
        <f t="shared" si="40"/>
        <v>0.10796119745222932</v>
      </c>
      <c r="Q216" s="3"/>
      <c r="R216" s="626">
        <f>(L216+M216)/I215</f>
        <v>0.19830706256192504</v>
      </c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</row>
    <row r="217" spans="1:79" ht="15" thickTop="1"/>
    <row r="219" spans="1:79" s="145" customFormat="1" ht="15">
      <c r="A219" s="143"/>
      <c r="B219" s="143"/>
      <c r="C219" s="143"/>
      <c r="D219" s="143"/>
      <c r="E219" s="143"/>
      <c r="F219" s="587"/>
      <c r="G219" s="143"/>
      <c r="H219" s="143"/>
      <c r="J219" s="1324"/>
      <c r="K219" s="1324"/>
    </row>
  </sheetData>
  <customSheetViews>
    <customSheetView guid="{B32447E2-AB5B-4CBB-881B-FF11349CA4D6}" scale="70" topLeftCell="B1">
      <pane ySplit="1" topLeftCell="A2" activePane="bottomLeft" state="frozen"/>
      <selection pane="bottomLeft" activeCell="Y3" sqref="Y3"/>
      <pageMargins left="0" right="0" top="0" bottom="0" header="0" footer="0"/>
      <pageSetup paperSize="9" orientation="portrait" r:id="rId1"/>
    </customSheetView>
    <customSheetView guid="{9FA74287-E657-475B-BF4B-3C8C757714AE}" scale="70" topLeftCell="B1">
      <pane ySplit="1" topLeftCell="A2" activePane="bottomLeft" state="frozen"/>
      <selection pane="bottomLeft" activeCell="Y3" sqref="Y3"/>
      <pageMargins left="0" right="0" top="0" bottom="0" header="0" footer="0"/>
      <pageSetup paperSize="9" orientation="portrait" r:id="rId2"/>
    </customSheetView>
    <customSheetView guid="{54A7C567-FA7D-467E-B353-ECB5E61AE756}" topLeftCell="B10">
      <selection activeCell="T13" sqref="T1:AS1048576"/>
      <pageMargins left="0" right="0" top="0" bottom="0" header="0" footer="0"/>
      <pageSetup paperSize="9" orientation="portrait" r:id="rId3"/>
    </customSheetView>
  </customSheetViews>
  <mergeCells count="26">
    <mergeCell ref="B163:B167"/>
    <mergeCell ref="B213:B215"/>
    <mergeCell ref="B51:B56"/>
    <mergeCell ref="B20:B22"/>
    <mergeCell ref="B109:B111"/>
    <mergeCell ref="B208:B210"/>
    <mergeCell ref="B94:B96"/>
    <mergeCell ref="B59:B62"/>
    <mergeCell ref="B65:B68"/>
    <mergeCell ref="B71:B74"/>
    <mergeCell ref="B177:B180"/>
    <mergeCell ref="B120:B122"/>
    <mergeCell ref="B130:B132"/>
    <mergeCell ref="B147:B150"/>
    <mergeCell ref="B170:B174"/>
    <mergeCell ref="B125:B126"/>
    <mergeCell ref="B155:B160"/>
    <mergeCell ref="B4:B6"/>
    <mergeCell ref="B12:B13"/>
    <mergeCell ref="B44:B48"/>
    <mergeCell ref="B27:B32"/>
    <mergeCell ref="B35:B41"/>
    <mergeCell ref="B77:B79"/>
    <mergeCell ref="B16:B17"/>
    <mergeCell ref="B104:B106"/>
    <mergeCell ref="B99:B101"/>
  </mergeCells>
  <pageMargins left="0" right="0" top="0" bottom="0" header="0" footer="0"/>
  <pageSetup paperSize="9" orientation="portrait" r:id="rId4"/>
  <drawing r:id="rId5"/>
  <legacyDrawing r:id="rId6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7">
    <pageSetUpPr autoPageBreaks="0"/>
  </sheetPr>
  <dimension ref="A1:T191"/>
  <sheetViews>
    <sheetView topLeftCell="A58" zoomScale="70" zoomScaleNormal="70" workbookViewId="0">
      <selection activeCell="D90" sqref="D90"/>
    </sheetView>
  </sheetViews>
  <sheetFormatPr baseColWidth="10" defaultColWidth="10.75" defaultRowHeight="15" outlineLevelRow="1" outlineLevelCol="1"/>
  <cols>
    <col min="1" max="1" width="59.75" style="3" bestFit="1" customWidth="1"/>
    <col min="2" max="2" width="47" style="3" customWidth="1"/>
    <col min="3" max="3" width="48.125" style="3" customWidth="1"/>
    <col min="4" max="4" width="17" style="3" customWidth="1"/>
    <col min="5" max="5" width="13.25" style="3" customWidth="1"/>
    <col min="6" max="6" width="10.75" style="588"/>
    <col min="7" max="7" width="10.75" style="3"/>
    <col min="8" max="8" width="4.25" style="3" bestFit="1" customWidth="1"/>
    <col min="9" max="9" width="10.75" style="3"/>
    <col min="10" max="10" width="10.5" style="3" customWidth="1"/>
    <col min="11" max="11" width="30.25" style="3" customWidth="1"/>
    <col min="12" max="15" width="10.75" style="3"/>
    <col min="16" max="16" width="10.625" style="144" customWidth="1" outlineLevel="1"/>
    <col min="17" max="17" width="10.75" style="144"/>
    <col min="18" max="18" width="15.625" style="144" bestFit="1" customWidth="1"/>
    <col min="19" max="19" width="10.75" style="145"/>
    <col min="20" max="16384" width="10.75" style="3"/>
  </cols>
  <sheetData>
    <row r="1" spans="1:20" ht="90">
      <c r="B1" s="1" t="s">
        <v>617</v>
      </c>
      <c r="C1" s="1" t="s">
        <v>618</v>
      </c>
      <c r="D1" s="1" t="s">
        <v>619</v>
      </c>
      <c r="E1" s="131" t="s">
        <v>620</v>
      </c>
      <c r="F1" s="1" t="s">
        <v>621</v>
      </c>
      <c r="G1" s="131" t="s">
        <v>680</v>
      </c>
      <c r="I1" s="131" t="s">
        <v>623</v>
      </c>
      <c r="J1" s="131" t="s">
        <v>624</v>
      </c>
      <c r="K1" s="131" t="s">
        <v>625</v>
      </c>
      <c r="L1" s="131" t="s">
        <v>626</v>
      </c>
      <c r="M1" s="131" t="s">
        <v>627</v>
      </c>
      <c r="N1" s="131" t="s">
        <v>628</v>
      </c>
      <c r="O1" s="131" t="s">
        <v>629</v>
      </c>
      <c r="P1" s="131" t="s">
        <v>630</v>
      </c>
      <c r="Q1" s="622"/>
      <c r="R1" s="622"/>
      <c r="S1" s="622"/>
      <c r="T1"/>
    </row>
    <row r="2" spans="1:20" s="1147" customFormat="1" ht="15.75">
      <c r="B2" s="1148"/>
      <c r="C2" s="1148"/>
      <c r="D2" s="1148"/>
      <c r="E2" s="1149"/>
      <c r="F2" s="1149">
        <v>0</v>
      </c>
      <c r="G2" s="1149">
        <v>0</v>
      </c>
      <c r="H2" s="1149">
        <v>0</v>
      </c>
      <c r="I2" s="1149">
        <v>0</v>
      </c>
      <c r="J2" s="1149">
        <v>0</v>
      </c>
      <c r="K2" s="1149">
        <v>0</v>
      </c>
      <c r="L2" s="1149">
        <v>0</v>
      </c>
      <c r="M2" s="1149">
        <v>0</v>
      </c>
      <c r="N2" s="1149">
        <v>0</v>
      </c>
      <c r="O2" s="1149">
        <v>0</v>
      </c>
      <c r="P2" s="1149">
        <v>0</v>
      </c>
      <c r="Q2" s="622"/>
      <c r="R2" s="622"/>
      <c r="S2" s="622"/>
      <c r="T2" s="1150"/>
    </row>
    <row r="3" spans="1:20" s="145" customFormat="1" ht="15.75" customHeight="1">
      <c r="A3" s="143" t="s">
        <v>907</v>
      </c>
      <c r="B3" s="143" t="str">
        <f>'Outil détaillé'!D30</f>
        <v>Parois intérieures</v>
      </c>
      <c r="C3" s="143"/>
      <c r="D3" s="143"/>
      <c r="E3" s="143"/>
      <c r="Q3" s="144"/>
      <c r="R3" s="144"/>
      <c r="S3" s="763"/>
    </row>
    <row r="4" spans="1:20" ht="15.75" customHeight="1">
      <c r="A4" s="1"/>
      <c r="B4" s="1"/>
      <c r="C4" s="1"/>
      <c r="D4" s="1"/>
      <c r="E4" s="1"/>
      <c r="F4" s="586"/>
      <c r="G4" s="131"/>
      <c r="H4" s="1"/>
      <c r="I4" s="131"/>
      <c r="J4" s="131"/>
      <c r="K4" s="131"/>
      <c r="L4" s="131"/>
      <c r="M4" s="131"/>
      <c r="N4" s="131"/>
      <c r="O4" s="131"/>
      <c r="P4" s="131"/>
    </row>
    <row r="5" spans="1:20" s="160" customFormat="1" ht="15.75" customHeight="1">
      <c r="A5" s="1341" t="s">
        <v>908</v>
      </c>
      <c r="B5" s="1575" t="s">
        <v>727</v>
      </c>
      <c r="C5" s="148" t="s">
        <v>728</v>
      </c>
      <c r="D5" s="181" t="str">
        <f>VLOOKUP(F5,'Baumaterialien Matériaux'!$A$10:$AD$432,30,FALSE)</f>
        <v>Béton pour bâtiment (sans armature)</v>
      </c>
      <c r="E5" s="181" t="str">
        <f>_xlfn.XLOOKUP($F5,'Baumaterialien Matériaux'!$A:$A,'Baumaterialien Matériaux'!G:G,0,0)</f>
        <v>kg</v>
      </c>
      <c r="F5" s="314" t="s">
        <v>685</v>
      </c>
      <c r="G5" s="614">
        <f>(0.2-G6/7850)*2300</f>
        <v>454.2866242038217</v>
      </c>
      <c r="H5" s="181"/>
      <c r="I5" s="1030">
        <v>60</v>
      </c>
      <c r="J5" s="614"/>
      <c r="K5" s="614"/>
      <c r="L5" s="614">
        <f>$G5*_xlfn.XLOOKUP($F5,'Baumaterialien Matériaux'!$A:$A,'Baumaterialien Matériaux'!AA:AA,0,0)</f>
        <v>40.295223566878988</v>
      </c>
      <c r="M5" s="614">
        <f>$G5*_xlfn.XLOOKUP($F5,'Baumaterialien Matériaux'!$A:$A,'Baumaterialien Matériaux'!AB:AB,0,0)</f>
        <v>5.7240114649681537</v>
      </c>
      <c r="N5" s="614">
        <f>$G5*_xlfn.XLOOKUP($F5,'Baumaterialien Matériaux'!$A:$A,'Baumaterialien Matériaux'!AC:AC,0,0)*44/12</f>
        <v>0</v>
      </c>
      <c r="O5" s="614">
        <f>$G5*_xlfn.XLOOKUP($F5,'Baumaterialien Matériaux'!$A:$A,'Baumaterialien Matériaux'!AG:AG,0,0)</f>
        <v>9.4491617834394912</v>
      </c>
      <c r="P5" s="1355">
        <f>$G5*_xlfn.XLOOKUP($F5,'Baumaterialien Matériaux'!$A:$A,'Baumaterialien Matériaux'!AH:AH,0,0)</f>
        <v>1.2174881528662422</v>
      </c>
      <c r="Q5" s="144"/>
      <c r="R5" s="144"/>
      <c r="S5" s="1582"/>
      <c r="T5" s="1340"/>
    </row>
    <row r="6" spans="1:20" ht="15.75" customHeight="1">
      <c r="A6" s="172"/>
      <c r="B6" s="1575"/>
      <c r="C6" s="148" t="s">
        <v>729</v>
      </c>
      <c r="D6" s="181" t="str">
        <f>VLOOKUP(F6,'Baumaterialien Matériaux'!$A$10:$AD$432,30,FALSE)</f>
        <v>Acier d'armature</v>
      </c>
      <c r="E6" s="181" t="str">
        <f>_xlfn.XLOOKUP($F6,'Baumaterialien Matériaux'!$A:$A,'Baumaterialien Matériaux'!G:G,0,0)</f>
        <v>kg</v>
      </c>
      <c r="F6" s="314" t="s">
        <v>687</v>
      </c>
      <c r="G6" s="614">
        <f>97.5*0.2</f>
        <v>19.5</v>
      </c>
      <c r="H6" s="181"/>
      <c r="I6" s="1030">
        <v>60</v>
      </c>
      <c r="J6" s="614"/>
      <c r="K6" s="614"/>
      <c r="L6" s="614">
        <f>$G6*_xlfn.XLOOKUP($F6,'Baumaterialien Matériaux'!$A:$A,'Baumaterialien Matériaux'!AA:AA,0,0)</f>
        <v>15.073500000000001</v>
      </c>
      <c r="M6" s="614">
        <f>$G6*_xlfn.XLOOKUP($F6,'Baumaterialien Matériaux'!$A:$A,'Baumaterialien Matériaux'!AB:AB,0,0)</f>
        <v>0.23790000000000003</v>
      </c>
      <c r="N6" s="614">
        <f>$G6*_xlfn.XLOOKUP($F6,'Baumaterialien Matériaux'!$A:$A,'Baumaterialien Matériaux'!AC:AC,0,0)*44/12</f>
        <v>0</v>
      </c>
      <c r="O6" s="614">
        <f>$G6*_xlfn.XLOOKUP($F6,'Baumaterialien Matériaux'!$A:$A,'Baumaterialien Matériaux'!AG:AG,0,0)</f>
        <v>5.6744999999999992</v>
      </c>
      <c r="P6" s="1355">
        <f>$G6*_xlfn.XLOOKUP($F6,'Baumaterialien Matériaux'!$A:$A,'Baumaterialien Matériaux'!AH:AH,0,0)</f>
        <v>0</v>
      </c>
      <c r="S6" s="1582"/>
    </row>
    <row r="7" spans="1:20" ht="15.75" customHeight="1">
      <c r="A7" s="172"/>
      <c r="B7" s="1575"/>
      <c r="C7" s="148" t="s">
        <v>730</v>
      </c>
      <c r="D7" s="181" t="str">
        <f>VLOOKUP(F7,'Baumaterialien Matériaux'!$A$10:$AD$432,30,FALSE)</f>
        <v>Bois massif 3 et 5 plis</v>
      </c>
      <c r="E7" s="181" t="str">
        <f>_xlfn.XLOOKUP($F7,'Baumaterialien Matériaux'!$A:$A,'Baumaterialien Matériaux'!G:G,0,0)</f>
        <v>kg</v>
      </c>
      <c r="F7" s="314" t="s">
        <v>705</v>
      </c>
      <c r="G7" s="182">
        <f>2/5*0.025*470</f>
        <v>4.7000000000000011</v>
      </c>
      <c r="H7" s="181"/>
      <c r="I7" s="597">
        <v>60</v>
      </c>
      <c r="J7" s="182"/>
      <c r="K7" s="182"/>
      <c r="L7" s="1018">
        <f>$G7*_xlfn.XLOOKUP($F7,'Baumaterialien Matériaux'!$A:$A,'Baumaterialien Matériaux'!AA:AA,0,0)</f>
        <v>1.9458000000000004</v>
      </c>
      <c r="M7" s="1018">
        <f>$G7*_xlfn.XLOOKUP($F7,'Baumaterialien Matériaux'!$A:$A,'Baumaterialien Matériaux'!AB:AB,0,0)</f>
        <v>0.25991000000000009</v>
      </c>
      <c r="N7" s="1018">
        <f>$G7*_xlfn.XLOOKUP($F7,'Baumaterialien Matériaux'!$A:$A,'Baumaterialien Matériaux'!AC:AC,0,0)*44/12</f>
        <v>7.4620333333333342</v>
      </c>
      <c r="O7" s="1018">
        <f>$G7*_xlfn.XLOOKUP($F7,'Baumaterialien Matériaux'!$A:$A,'Baumaterialien Matériaux'!AG:AG,0,0)</f>
        <v>0.65800000000000025</v>
      </c>
      <c r="P7" s="1356">
        <f>$G7*_xlfn.XLOOKUP($F7,'Baumaterialien Matériaux'!$A:$A,'Baumaterialien Matériaux'!AH:AH,0,0)</f>
        <v>0.18283000000000002</v>
      </c>
      <c r="S7" s="1582"/>
    </row>
    <row r="8" spans="1:20" s="658" customFormat="1" ht="16.5" customHeight="1" thickBot="1">
      <c r="B8" s="705"/>
      <c r="F8" s="659"/>
      <c r="G8" s="698"/>
      <c r="I8" s="1031"/>
      <c r="J8" s="698"/>
      <c r="K8" s="698"/>
      <c r="L8" s="1019">
        <f t="shared" ref="L8:N8" si="0">SUM(L5:L7)</f>
        <v>57.314523566878989</v>
      </c>
      <c r="M8" s="1019">
        <f t="shared" si="0"/>
        <v>6.2218214649681531</v>
      </c>
      <c r="N8" s="1019">
        <f t="shared" si="0"/>
        <v>7.4620333333333342</v>
      </c>
      <c r="O8" s="1019">
        <f t="shared" ref="O8:P8" si="1">SUM(O5:O7)</f>
        <v>15.781661783439491</v>
      </c>
      <c r="P8" s="1019">
        <f t="shared" si="1"/>
        <v>1.4003181528662423</v>
      </c>
      <c r="Q8" s="144"/>
      <c r="R8" s="1445">
        <f>(L8+M8)/I7</f>
        <v>1.0589390838641191</v>
      </c>
      <c r="S8" s="936"/>
    </row>
    <row r="9" spans="1:20" ht="16.5" customHeight="1" thickTop="1">
      <c r="G9" s="2"/>
      <c r="I9" s="1184"/>
      <c r="J9" s="2"/>
      <c r="K9" s="2"/>
      <c r="L9" s="1185"/>
      <c r="M9" s="1185"/>
      <c r="N9" s="1185"/>
      <c r="O9" s="1185"/>
      <c r="P9" s="1185"/>
      <c r="S9" s="936"/>
    </row>
    <row r="10" spans="1:20" s="1340" customFormat="1" ht="16.5" customHeight="1">
      <c r="A10" s="1341" t="s">
        <v>909</v>
      </c>
      <c r="B10" s="1583" t="s">
        <v>910</v>
      </c>
      <c r="C10" s="291" t="s">
        <v>911</v>
      </c>
      <c r="D10" s="178" t="str">
        <f>VLOOKUP(F10,'Baumaterialien Matériaux'!$A$10:$AD$432,30,FALSE)</f>
        <v>Bois massif 3 et 5 plis</v>
      </c>
      <c r="E10" s="178" t="str">
        <f>VLOOKUP(F10,'Baumaterialien Matériaux'!$A$10:$AD$432,7,FALSE)</f>
        <v>kg</v>
      </c>
      <c r="F10" s="1347" t="s">
        <v>705</v>
      </c>
      <c r="G10" s="281">
        <f>453*0.072*2</f>
        <v>65.231999999999999</v>
      </c>
      <c r="H10" s="1341"/>
      <c r="I10" s="1030">
        <v>60</v>
      </c>
      <c r="J10" s="614"/>
      <c r="K10" s="614"/>
      <c r="L10" s="614">
        <f>$G10*_xlfn.XLOOKUP($F10,'Baumaterialien Matériaux'!$A:$A,'Baumaterialien Matériaux'!AA:AA,0,0)</f>
        <v>27.006048</v>
      </c>
      <c r="M10" s="614">
        <f>$G10*_xlfn.XLOOKUP($F10,'Baumaterialien Matériaux'!$A:$A,'Baumaterialien Matériaux'!AB:AB,0,0)</f>
        <v>3.6073295999999999</v>
      </c>
      <c r="N10" s="614">
        <f>$G10*_xlfn.XLOOKUP($F10,'Baumaterialien Matériaux'!$A:$A,'Baumaterialien Matériaux'!AC:AC,0,0)*44/12</f>
        <v>103.566672</v>
      </c>
      <c r="O10" s="614">
        <f>$G10*_xlfn.XLOOKUP($F10,'Baumaterialien Matériaux'!$A:$A,'Baumaterialien Matériaux'!AG:AG,0,0)</f>
        <v>9.132480000000001</v>
      </c>
      <c r="P10" s="1355">
        <f>$G10*_xlfn.XLOOKUP($F10,'Baumaterialien Matériaux'!$A:$A,'Baumaterialien Matériaux'!AH:AH,0,0)</f>
        <v>2.5375247999999999</v>
      </c>
      <c r="Q10" s="144"/>
      <c r="R10" s="144"/>
      <c r="S10" s="145"/>
    </row>
    <row r="11" spans="1:20" ht="16.5" customHeight="1">
      <c r="A11" s="172"/>
      <c r="B11" s="1585"/>
      <c r="C11" s="291" t="s">
        <v>912</v>
      </c>
      <c r="D11" s="181" t="str">
        <f>VLOOKUP(F11,'Baumaterialien Matériaux'!$A$10:$AD$432,30,FALSE)</f>
        <v>Laine de roche</v>
      </c>
      <c r="E11" s="181" t="str">
        <f>VLOOKUP(F11,'Baumaterialien Matériaux'!$A$10:$AD$432,7,FALSE)</f>
        <v>kg</v>
      </c>
      <c r="F11" s="1351" t="s">
        <v>814</v>
      </c>
      <c r="G11" s="182">
        <f>0.075*90</f>
        <v>6.75</v>
      </c>
      <c r="H11" s="172"/>
      <c r="I11" s="1030">
        <v>60</v>
      </c>
      <c r="J11" s="614"/>
      <c r="K11" s="614"/>
      <c r="L11" s="614">
        <f>$G11*_xlfn.XLOOKUP($F11,'Baumaterialien Matériaux'!$A:$A,'Baumaterialien Matériaux'!AA:AA,0,0)</f>
        <v>7.6274999999999995</v>
      </c>
      <c r="M11" s="614">
        <f>$G11*_xlfn.XLOOKUP($F11,'Baumaterialien Matériaux'!$A:$A,'Baumaterialien Matériaux'!AB:AB,0,0)</f>
        <v>0.39960000000000001</v>
      </c>
      <c r="N11" s="614">
        <f>$G11*_xlfn.XLOOKUP($F11,'Baumaterialien Matériaux'!$A:$A,'Baumaterialien Matériaux'!AC:AC,0,0)*44/12</f>
        <v>0</v>
      </c>
      <c r="O11" s="614">
        <f>$G11*_xlfn.XLOOKUP($F11,'Baumaterialien Matériaux'!$A:$A,'Baumaterialien Matériaux'!AG:AG,0,0)</f>
        <v>3.8474999999999997</v>
      </c>
      <c r="P11" s="1355">
        <f>$G11*_xlfn.XLOOKUP($F11,'Baumaterialien Matériaux'!$A:$A,'Baumaterialien Matériaux'!AH:AH,0,0)</f>
        <v>2.349E-2</v>
      </c>
    </row>
    <row r="12" spans="1:20" s="658" customFormat="1" ht="16.5" customHeight="1" thickBot="1">
      <c r="A12" s="676"/>
      <c r="B12" s="1348"/>
      <c r="C12" s="676"/>
      <c r="F12" s="1352"/>
      <c r="G12" s="679"/>
      <c r="H12" s="676"/>
      <c r="I12" s="1349"/>
      <c r="J12" s="1350"/>
      <c r="K12" s="1350"/>
      <c r="L12" s="1022">
        <f t="shared" ref="L12:P12" si="2">SUM(L10:L11)</f>
        <v>34.633547999999998</v>
      </c>
      <c r="M12" s="1022">
        <f t="shared" si="2"/>
        <v>4.0069296000000003</v>
      </c>
      <c r="N12" s="1022">
        <f t="shared" si="2"/>
        <v>103.566672</v>
      </c>
      <c r="O12" s="1022">
        <f t="shared" si="2"/>
        <v>12.979980000000001</v>
      </c>
      <c r="P12" s="1022">
        <f t="shared" si="2"/>
        <v>2.5610147999999997</v>
      </c>
      <c r="Q12" s="144"/>
      <c r="R12" s="1445">
        <f>(L12+M12)/I11</f>
        <v>0.64400795999999993</v>
      </c>
      <c r="S12" s="145"/>
    </row>
    <row r="13" spans="1:20" ht="16.5" customHeight="1" thickTop="1">
      <c r="A13" s="1"/>
      <c r="B13" s="1"/>
      <c r="C13" s="1"/>
      <c r="D13" s="1"/>
      <c r="E13" s="1"/>
      <c r="F13" s="586"/>
      <c r="G13" s="131"/>
      <c r="H13" s="1"/>
      <c r="I13" s="1032"/>
      <c r="J13" s="131"/>
      <c r="K13" s="131"/>
      <c r="L13" s="1020"/>
      <c r="M13" s="1020"/>
      <c r="N13" s="1020"/>
      <c r="O13" s="1020"/>
      <c r="P13" s="1020"/>
    </row>
    <row r="14" spans="1:20" s="668" customFormat="1" ht="13.9" customHeight="1">
      <c r="A14" s="1430" t="s">
        <v>913</v>
      </c>
      <c r="B14" s="1580" t="s">
        <v>914</v>
      </c>
      <c r="C14" s="291" t="s">
        <v>915</v>
      </c>
      <c r="D14" s="181" t="str">
        <f>VLOOKUP(F14,'Baumaterialien Matériaux'!$A$10:$AD$432,30,FALSE)</f>
        <v>Brique en terre cuite</v>
      </c>
      <c r="E14" s="181" t="str">
        <f>_xlfn.XLOOKUP($F14,'Baumaterialien Matériaux'!$A:$A,'Baumaterialien Matériaux'!G:G,0,0)</f>
        <v>kg</v>
      </c>
      <c r="F14" s="316" t="s">
        <v>738</v>
      </c>
      <c r="G14" s="281">
        <f>16.7*7.7</f>
        <v>128.59</v>
      </c>
      <c r="H14" s="178"/>
      <c r="I14" s="286">
        <v>60</v>
      </c>
      <c r="J14" s="281"/>
      <c r="K14" s="281"/>
      <c r="L14" s="1021">
        <f>$G14*_xlfn.XLOOKUP($F14,'Baumaterialien Matériaux'!$A:$A,'Baumaterialien Matériaux'!AA:AA,0,0)</f>
        <v>32.661860000000004</v>
      </c>
      <c r="M14" s="1021">
        <f>$G14*_xlfn.XLOOKUP($F14,'Baumaterialien Matériaux'!$A:$A,'Baumaterialien Matériaux'!AB:AB,0,0)</f>
        <v>1.6330929999999999</v>
      </c>
      <c r="N14" s="1021">
        <f>$G14*_xlfn.XLOOKUP($F14,'Baumaterialien Matériaux'!$A:$A,'Baumaterialien Matériaux'!AC:AC,0,0)*44/12</f>
        <v>0</v>
      </c>
      <c r="O14" s="1021">
        <f>$G14*_xlfn.XLOOKUP($F14,'Baumaterialien Matériaux'!$A:$A,'Baumaterialien Matériaux'!AG:AG,0,0)</f>
        <v>4.937856</v>
      </c>
      <c r="P14" s="1346">
        <f>$G14*_xlfn.XLOOKUP($F14,'Baumaterialien Matériaux'!$A:$A,'Baumaterialien Matériaux'!AH:AH,0,0)</f>
        <v>0.32790450000000004</v>
      </c>
      <c r="Q14" s="144"/>
      <c r="R14" s="144"/>
      <c r="S14" s="1582"/>
      <c r="T14" s="1341"/>
    </row>
    <row r="15" spans="1:20" s="172" customFormat="1" ht="15.75" customHeight="1">
      <c r="A15" s="670"/>
      <c r="B15" s="1581"/>
      <c r="C15" s="291" t="s">
        <v>739</v>
      </c>
      <c r="D15" s="181" t="str">
        <f>VLOOKUP(F15,'Baumaterialien Matériaux'!$A$10:$AD$432,30,FALSE)</f>
        <v>Enduit de ciment</v>
      </c>
      <c r="E15" s="181" t="str">
        <f>_xlfn.XLOOKUP($F15,'Baumaterialien Matériaux'!$A:$A,'Baumaterialien Matériaux'!G:G,0,0)</f>
        <v>kg</v>
      </c>
      <c r="F15" s="591" t="s">
        <v>740</v>
      </c>
      <c r="G15" s="281">
        <f>27*1.6</f>
        <v>43.2</v>
      </c>
      <c r="H15" s="178"/>
      <c r="I15" s="286">
        <v>60</v>
      </c>
      <c r="J15" s="281"/>
      <c r="K15" s="281"/>
      <c r="L15" s="1021">
        <f>$G15*_xlfn.XLOOKUP($F15,'Baumaterialien Matériaux'!$A:$A,'Baumaterialien Matériaux'!AA:AA,0,0)</f>
        <v>10.713600000000001</v>
      </c>
      <c r="M15" s="1021">
        <f>$G15*_xlfn.XLOOKUP($F15,'Baumaterialien Matériaux'!$A:$A,'Baumaterialien Matériaux'!AB:AB,0,0)</f>
        <v>0.54864000000000002</v>
      </c>
      <c r="N15" s="1021">
        <f>$G15*_xlfn.XLOOKUP($F15,'Baumaterialien Matériaux'!$A:$A,'Baumaterialien Matériaux'!AC:AC,0,0)*44/12</f>
        <v>0</v>
      </c>
      <c r="O15" s="1021">
        <f>$G15*_xlfn.XLOOKUP($F15,'Baumaterialien Matériaux'!$A:$A,'Baumaterialien Matériaux'!AG:AG,0,0)</f>
        <v>4.0392000000000001</v>
      </c>
      <c r="P15" s="1346">
        <f>$G15*_xlfn.XLOOKUP($F15,'Baumaterialien Matériaux'!$A:$A,'Baumaterialien Matériaux'!AH:AH,0,0)</f>
        <v>0.141264</v>
      </c>
      <c r="Q15" s="144"/>
      <c r="R15" s="144"/>
      <c r="S15" s="1582"/>
    </row>
    <row r="16" spans="1:20" s="676" customFormat="1" ht="16.5" customHeight="1" thickBot="1">
      <c r="B16" s="706"/>
      <c r="F16" s="685"/>
      <c r="I16" s="1033"/>
      <c r="L16" s="1022">
        <f t="shared" ref="L16:N16" si="3">SUM(L14:L15)</f>
        <v>43.375460000000004</v>
      </c>
      <c r="M16" s="1022">
        <f t="shared" si="3"/>
        <v>2.1817329999999999</v>
      </c>
      <c r="N16" s="1022">
        <f t="shared" si="3"/>
        <v>0</v>
      </c>
      <c r="O16" s="1022">
        <f t="shared" ref="O16:P16" si="4">SUM(O14:O15)</f>
        <v>8.977056000000001</v>
      </c>
      <c r="P16" s="1022">
        <f t="shared" si="4"/>
        <v>0.46916850000000004</v>
      </c>
      <c r="Q16" s="144"/>
      <c r="R16" s="1445">
        <f>(L16+M16)/I15</f>
        <v>0.75928655000000012</v>
      </c>
      <c r="S16" s="936"/>
    </row>
    <row r="17" spans="1:20" ht="16.5" customHeight="1" thickTop="1">
      <c r="B17" s="1157"/>
      <c r="I17" s="1034"/>
      <c r="L17" s="1023"/>
      <c r="M17" s="1023"/>
      <c r="N17" s="1023"/>
      <c r="O17" s="1023"/>
      <c r="P17" s="1023"/>
    </row>
    <row r="18" spans="1:20" s="668" customFormat="1" ht="13.9" customHeight="1">
      <c r="A18" s="1430" t="s">
        <v>916</v>
      </c>
      <c r="B18" s="1586" t="s">
        <v>917</v>
      </c>
      <c r="C18" s="291" t="s">
        <v>918</v>
      </c>
      <c r="D18" s="181" t="str">
        <f>VLOOKUP(F18,'Baumaterialien Matériaux'!$A$10:$AD$432,30,FALSE)</f>
        <v>Grès</v>
      </c>
      <c r="E18" s="181" t="str">
        <f>_xlfn.XLOOKUP($F18,'Baumaterialien Matériaux'!$A:$A,'Baumaterialien Matériaux'!G:G,0,0)</f>
        <v>kg</v>
      </c>
      <c r="F18" s="708" t="s">
        <v>919</v>
      </c>
      <c r="G18" s="281">
        <f>19.2*10.7</f>
        <v>205.43999999999997</v>
      </c>
      <c r="H18" s="178"/>
      <c r="I18" s="286">
        <v>60</v>
      </c>
      <c r="J18" s="281"/>
      <c r="K18" s="281"/>
      <c r="L18" s="1021">
        <f>$G18*_xlfn.XLOOKUP($F18,'Baumaterialien Matériaux'!$A:$A,'Baumaterialien Matériaux'!AA:AA,0,0)</f>
        <v>30.610559999999992</v>
      </c>
      <c r="M18" s="1021">
        <f>$G18*_xlfn.XLOOKUP($F18,'Baumaterialien Matériaux'!$A:$A,'Baumaterialien Matériaux'!AB:AB,0,0)</f>
        <v>2.6090879999999994</v>
      </c>
      <c r="N18" s="1021">
        <f>$G18*_xlfn.XLOOKUP($F18,'Baumaterialien Matériaux'!$A:$A,'Baumaterialien Matériaux'!AC:AC,0,0)*44/12</f>
        <v>0</v>
      </c>
      <c r="O18" s="1021">
        <f>$G18*_xlfn.XLOOKUP($F18,'Baumaterialien Matériaux'!$A:$A,'Baumaterialien Matériaux'!AG:AG,0,0)</f>
        <v>24.858239999999995</v>
      </c>
      <c r="P18" s="1346">
        <f>$G18*_xlfn.XLOOKUP($F18,'Baumaterialien Matériaux'!$A:$A,'Baumaterialien Matériaux'!AH:AH,0,0)</f>
        <v>0.4951103999999999</v>
      </c>
      <c r="Q18" s="144"/>
      <c r="R18" s="144"/>
      <c r="S18" s="1588"/>
      <c r="T18" s="1341"/>
    </row>
    <row r="19" spans="1:20" s="172" customFormat="1" ht="15.75" customHeight="1">
      <c r="A19" s="670"/>
      <c r="B19" s="1587"/>
      <c r="C19" s="291" t="s">
        <v>739</v>
      </c>
      <c r="D19" s="181" t="str">
        <f>VLOOKUP(F19,'Baumaterialien Matériaux'!$A$10:$AD$432,30,FALSE)</f>
        <v>Enduit de ciment</v>
      </c>
      <c r="E19" s="181" t="str">
        <f>_xlfn.XLOOKUP($F19,'Baumaterialien Matériaux'!$A:$A,'Baumaterialien Matériaux'!G:G,0,0)</f>
        <v>kg</v>
      </c>
      <c r="F19" s="709" t="s">
        <v>740</v>
      </c>
      <c r="G19" s="281">
        <f>23*1.6</f>
        <v>36.800000000000004</v>
      </c>
      <c r="H19" s="178"/>
      <c r="I19" s="286">
        <v>60</v>
      </c>
      <c r="J19" s="281"/>
      <c r="K19" s="281"/>
      <c r="L19" s="1021">
        <f>$G19*_xlfn.XLOOKUP($F19,'Baumaterialien Matériaux'!$A:$A,'Baumaterialien Matériaux'!AA:AA,0,0)</f>
        <v>9.1264000000000003</v>
      </c>
      <c r="M19" s="1021">
        <f>$G19*_xlfn.XLOOKUP($F19,'Baumaterialien Matériaux'!$A:$A,'Baumaterialien Matériaux'!AB:AB,0,0)</f>
        <v>0.46736000000000005</v>
      </c>
      <c r="N19" s="1021">
        <f>$G19*_xlfn.XLOOKUP($F19,'Baumaterialien Matériaux'!$A:$A,'Baumaterialien Matériaux'!AC:AC,0,0)*44/12</f>
        <v>0</v>
      </c>
      <c r="O19" s="1021">
        <f>$G19*_xlfn.XLOOKUP($F19,'Baumaterialien Matériaux'!$A:$A,'Baumaterialien Matériaux'!AG:AG,0,0)</f>
        <v>3.4408000000000003</v>
      </c>
      <c r="P19" s="1346">
        <f>$G19*_xlfn.XLOOKUP($F19,'Baumaterialien Matériaux'!$A:$A,'Baumaterialien Matériaux'!AH:AH,0,0)</f>
        <v>0.12033600000000001</v>
      </c>
      <c r="Q19" s="144"/>
      <c r="R19" s="144"/>
      <c r="S19" s="1589"/>
    </row>
    <row r="20" spans="1:20" s="676" customFormat="1" ht="16.5" customHeight="1" thickBot="1">
      <c r="B20" s="706"/>
      <c r="F20" s="685"/>
      <c r="I20" s="1033"/>
      <c r="L20" s="1022">
        <f t="shared" ref="L20:N20" si="5">SUM(L18:L19)</f>
        <v>39.736959999999996</v>
      </c>
      <c r="M20" s="1022">
        <f t="shared" si="5"/>
        <v>3.0764479999999996</v>
      </c>
      <c r="N20" s="1022">
        <f t="shared" si="5"/>
        <v>0</v>
      </c>
      <c r="O20" s="1022">
        <f t="shared" ref="O20:P20" si="6">SUM(O18:O19)</f>
        <v>28.299039999999994</v>
      </c>
      <c r="P20" s="1022">
        <f t="shared" si="6"/>
        <v>0.61544639999999995</v>
      </c>
      <c r="Q20" s="144"/>
      <c r="R20" s="1445">
        <f>(L20+M20)/I19</f>
        <v>0.71355679999999988</v>
      </c>
      <c r="S20" s="936"/>
    </row>
    <row r="21" spans="1:20" ht="16.5" customHeight="1" thickTop="1">
      <c r="I21" s="1034"/>
      <c r="L21" s="1023"/>
      <c r="M21" s="1023"/>
      <c r="N21" s="1023"/>
      <c r="O21" s="1023"/>
      <c r="P21" s="1023"/>
    </row>
    <row r="22" spans="1:20" ht="16.5" customHeight="1">
      <c r="I22" s="1034"/>
      <c r="L22" s="1023"/>
      <c r="M22" s="1023"/>
      <c r="N22" s="1023"/>
      <c r="O22" s="1023"/>
      <c r="P22" s="1023"/>
    </row>
    <row r="23" spans="1:20" s="145" customFormat="1" ht="15.75" customHeight="1">
      <c r="A23" s="143" t="s">
        <v>920</v>
      </c>
      <c r="B23" s="143"/>
      <c r="C23" s="143"/>
      <c r="D23" s="143"/>
      <c r="E23" s="143"/>
      <c r="Q23" s="144"/>
      <c r="R23" s="144"/>
      <c r="S23" s="763"/>
    </row>
    <row r="24" spans="1:20" ht="16.5" customHeight="1">
      <c r="I24" s="1034"/>
      <c r="L24" s="1023"/>
      <c r="M24" s="1023"/>
      <c r="N24" s="1023"/>
      <c r="O24" s="1023"/>
      <c r="P24" s="1023"/>
    </row>
    <row r="25" spans="1:20" s="668" customFormat="1" ht="15.75" customHeight="1">
      <c r="A25" s="1341" t="s">
        <v>921</v>
      </c>
      <c r="B25" s="1583" t="s">
        <v>910</v>
      </c>
      <c r="C25" s="291" t="s">
        <v>922</v>
      </c>
      <c r="D25" s="178" t="str">
        <f>VLOOKUP(F25,'Baumaterialien Matériaux'!$A$10:$AD$432,30,FALSE)</f>
        <v>Plaque de plâtre armé de fibres</v>
      </c>
      <c r="E25" s="181" t="str">
        <f>_xlfn.XLOOKUP($F25,'Baumaterialien Matériaux'!$A:$A,'Baumaterialien Matériaux'!G:G,0,0)</f>
        <v>kg</v>
      </c>
      <c r="F25" s="591" t="s">
        <v>923</v>
      </c>
      <c r="G25" s="281">
        <f>(0.0125+0.01)*2*1200</f>
        <v>54</v>
      </c>
      <c r="H25" s="1341"/>
      <c r="I25" s="286">
        <v>30</v>
      </c>
      <c r="J25" s="281"/>
      <c r="K25" s="281"/>
      <c r="L25" s="1021">
        <f>$G25*_xlfn.XLOOKUP($F25,'Baumaterialien Matériaux'!$A:$A,'Baumaterialien Matériaux'!AA:AA,0,0)</f>
        <v>28.782</v>
      </c>
      <c r="M25" s="1021">
        <f>$G25*_xlfn.XLOOKUP($F25,'Baumaterialien Matériaux'!$A:$A,'Baumaterialien Matériaux'!AB:AB,0,0)</f>
        <v>1.0044</v>
      </c>
      <c r="N25" s="1021">
        <f>$G25*_xlfn.XLOOKUP($F25,'Baumaterialien Matériaux'!$A:$A,'Baumaterialien Matériaux'!AC:AC,0,0)*44/12</f>
        <v>8.8902000000000019</v>
      </c>
      <c r="O25" s="1021">
        <f>$G25*_xlfn.XLOOKUP($F25,'Baumaterialien Matériaux'!$A:$A,'Baumaterialien Matériaux'!AG:AG,0,0)</f>
        <v>28.134</v>
      </c>
      <c r="P25" s="1346">
        <f>$G25*_xlfn.XLOOKUP($F25,'Baumaterialien Matériaux'!$A:$A,'Baumaterialien Matériaux'!AH:AH,0,0)</f>
        <v>0.17927999999999999</v>
      </c>
      <c r="Q25" s="144"/>
      <c r="R25" s="144"/>
      <c r="S25" s="1343"/>
      <c r="T25" s="1341"/>
    </row>
    <row r="26" spans="1:20" s="172" customFormat="1" ht="15.75" customHeight="1">
      <c r="B26" s="1584"/>
      <c r="C26" s="291" t="s">
        <v>771</v>
      </c>
      <c r="D26" s="178" t="str">
        <f>VLOOKUP(F26,'Baumaterialien Matériaux'!$A$10:$AD$432,30,FALSE)</f>
        <v>Tôle d'acier, zinguée</v>
      </c>
      <c r="E26" s="181" t="str">
        <f>_xlfn.XLOOKUP($F26,'Baumaterialien Matériaux'!$A:$A,'Baumaterialien Matériaux'!G:G,0,0)</f>
        <v>kg</v>
      </c>
      <c r="F26" s="316" t="s">
        <v>772</v>
      </c>
      <c r="G26" s="281">
        <v>1.3188</v>
      </c>
      <c r="I26" s="286">
        <v>30</v>
      </c>
      <c r="J26" s="281"/>
      <c r="K26" s="281"/>
      <c r="L26" s="1021">
        <f>$G26*_xlfn.XLOOKUP($F26,'Baumaterialien Matériaux'!$A:$A,'Baumaterialien Matériaux'!AA:AA,0,0)</f>
        <v>5.9082240000000006</v>
      </c>
      <c r="M26" s="1021">
        <f>$G26*_xlfn.XLOOKUP($F26,'Baumaterialien Matériaux'!$A:$A,'Baumaterialien Matériaux'!AB:AB,0,0)</f>
        <v>9.139284000000001E-3</v>
      </c>
      <c r="N26" s="1021">
        <f>$G26*_xlfn.XLOOKUP($F26,'Baumaterialien Matériaux'!$A:$A,'Baumaterialien Matériaux'!AC:AC,0,0)*44/12</f>
        <v>0</v>
      </c>
      <c r="O26" s="1021">
        <f>$G26*_xlfn.XLOOKUP($F26,'Baumaterialien Matériaux'!$A:$A,'Baumaterialien Matériaux'!AG:AG,0,0)</f>
        <v>2.2947120000000001</v>
      </c>
      <c r="P26" s="1346">
        <f>$G26*_xlfn.XLOOKUP($F26,'Baumaterialien Matériaux'!$A:$A,'Baumaterialien Matériaux'!AH:AH,0,0)</f>
        <v>0</v>
      </c>
      <c r="Q26" s="144"/>
      <c r="R26" s="144"/>
      <c r="S26" s="1343"/>
    </row>
    <row r="27" spans="1:20" s="172" customFormat="1" ht="15.75" customHeight="1">
      <c r="B27" s="1585"/>
      <c r="C27" s="291" t="s">
        <v>912</v>
      </c>
      <c r="D27" s="178" t="str">
        <f>VLOOKUP(F27,'Baumaterialien Matériaux'!$A$10:$AD$432,30,FALSE)</f>
        <v>Laine de roche</v>
      </c>
      <c r="E27" s="181" t="str">
        <f>_xlfn.XLOOKUP($F27,'Baumaterialien Matériaux'!$A:$A,'Baumaterialien Matériaux'!G:G,0,0)</f>
        <v>kg</v>
      </c>
      <c r="F27" s="591" t="s">
        <v>814</v>
      </c>
      <c r="G27" s="182">
        <f>0.075*90</f>
        <v>6.75</v>
      </c>
      <c r="I27" s="286">
        <v>30</v>
      </c>
      <c r="J27" s="281"/>
      <c r="K27" s="281"/>
      <c r="L27" s="1021">
        <f>$G27*_xlfn.XLOOKUP($F27,'Baumaterialien Matériaux'!$A:$A,'Baumaterialien Matériaux'!AA:AA,0,0)</f>
        <v>7.6274999999999995</v>
      </c>
      <c r="M27" s="1021">
        <f>$G27*_xlfn.XLOOKUP($F27,'Baumaterialien Matériaux'!$A:$A,'Baumaterialien Matériaux'!AB:AB,0,0)</f>
        <v>0.39960000000000001</v>
      </c>
      <c r="N27" s="1021">
        <f>$G27*_xlfn.XLOOKUP($F27,'Baumaterialien Matériaux'!$A:$A,'Baumaterialien Matériaux'!AC:AC,0,0)*44/12</f>
        <v>0</v>
      </c>
      <c r="O27" s="1021">
        <f>$G27*_xlfn.XLOOKUP($F27,'Baumaterialien Matériaux'!$A:$A,'Baumaterialien Matériaux'!AG:AG,0,0)</f>
        <v>3.8474999999999997</v>
      </c>
      <c r="P27" s="1346">
        <f>$G27*_xlfn.XLOOKUP($F27,'Baumaterialien Matériaux'!$A:$A,'Baumaterialien Matériaux'!AH:AH,0,0)</f>
        <v>2.349E-2</v>
      </c>
      <c r="Q27" s="144"/>
      <c r="R27" s="144"/>
      <c r="S27" s="1343"/>
    </row>
    <row r="28" spans="1:20" s="676" customFormat="1" ht="16.5" customHeight="1" thickBot="1">
      <c r="B28" s="706"/>
      <c r="F28" s="685"/>
      <c r="I28" s="1033">
        <v>30</v>
      </c>
      <c r="L28" s="1022">
        <f>SUM(L25:L27)</f>
        <v>42.317723999999998</v>
      </c>
      <c r="M28" s="1022">
        <f>SUM(M25:M27)</f>
        <v>1.4131392839999999</v>
      </c>
      <c r="N28" s="1022">
        <f>SUM(N25:N27)</f>
        <v>8.8902000000000019</v>
      </c>
      <c r="O28" s="1022">
        <f>SUM(O25:O27)</f>
        <v>34.276212000000001</v>
      </c>
      <c r="P28" s="1022">
        <f>SUM(P25:P27)</f>
        <v>0.20277000000000001</v>
      </c>
      <c r="Q28" s="144"/>
      <c r="R28" s="1445">
        <f>(L28+M28)/I27</f>
        <v>1.4576954428</v>
      </c>
      <c r="S28" s="936"/>
    </row>
    <row r="29" spans="1:20" s="172" customFormat="1" ht="16.5" customHeight="1" thickTop="1">
      <c r="F29" s="690"/>
      <c r="I29" s="283"/>
      <c r="L29" s="1301"/>
      <c r="M29" s="1301"/>
      <c r="N29" s="1301"/>
      <c r="O29" s="1301"/>
      <c r="P29" s="1301"/>
      <c r="Q29" s="144"/>
      <c r="R29" s="144"/>
      <c r="S29" s="936"/>
    </row>
    <row r="30" spans="1:20" ht="16.5" customHeight="1">
      <c r="A30" s="3" t="s">
        <v>924</v>
      </c>
      <c r="B30" s="1583" t="s">
        <v>910</v>
      </c>
      <c r="C30" s="291" t="s">
        <v>925</v>
      </c>
      <c r="D30" s="178" t="str">
        <f>VLOOKUP(F30,'Baumaterialien Matériaux'!$A$10:$AD$432,30,FALSE)</f>
        <v>Plaque de plâtre armé de fibres</v>
      </c>
      <c r="E30" s="178" t="str">
        <f>VLOOKUP(F30,'Baumaterialien Matériaux'!$A$10:$AD$432,7,FALSE)</f>
        <v>kg</v>
      </c>
      <c r="F30" s="591" t="s">
        <v>923</v>
      </c>
      <c r="G30" s="281">
        <f>(0.0125)*2*1200</f>
        <v>30</v>
      </c>
      <c r="H30" s="1341"/>
      <c r="I30" s="286">
        <v>30</v>
      </c>
      <c r="J30" s="281"/>
      <c r="K30" s="281"/>
      <c r="L30" s="1021">
        <f>$G30*_xlfn.XLOOKUP($F30,'Baumaterialien Matériaux'!$A:$A,'Baumaterialien Matériaux'!AA:AA,0,0)</f>
        <v>15.99</v>
      </c>
      <c r="M30" s="1021">
        <f>$G30*_xlfn.XLOOKUP($F30,'Baumaterialien Matériaux'!$A:$A,'Baumaterialien Matériaux'!AB:AB,0,0)</f>
        <v>0.55799999999999994</v>
      </c>
      <c r="N30" s="1021">
        <f>$G30*_xlfn.XLOOKUP($F30,'Baumaterialien Matériaux'!$A:$A,'Baumaterialien Matériaux'!AC:AC,0,0)*44/12</f>
        <v>4.9390000000000001</v>
      </c>
      <c r="O30" s="1021">
        <f>$G30*_xlfn.XLOOKUP($F30,'Baumaterialien Matériaux'!$A:$A,'Baumaterialien Matériaux'!AG:AG,0,0)</f>
        <v>15.63</v>
      </c>
      <c r="P30" s="1346">
        <f>$G30*_xlfn.XLOOKUP($F30,'Baumaterialien Matériaux'!$A:$A,'Baumaterialien Matériaux'!AH:AH,0,0)</f>
        <v>9.9599999999999994E-2</v>
      </c>
      <c r="Q30" s="131"/>
      <c r="R30" s="131"/>
      <c r="S30" s="3"/>
    </row>
    <row r="31" spans="1:20" ht="16.5" customHeight="1">
      <c r="B31" s="1584"/>
      <c r="C31" s="291" t="s">
        <v>771</v>
      </c>
      <c r="D31" s="178" t="str">
        <f>VLOOKUP(F31,'Baumaterialien Matériaux'!$A$10:$AD$432,30,FALSE)</f>
        <v>Tôle d'acier, zinguée</v>
      </c>
      <c r="E31" s="178" t="str">
        <f>VLOOKUP(F31,'Baumaterialien Matériaux'!$A$10:$AD$432,7,FALSE)</f>
        <v>kg</v>
      </c>
      <c r="F31" s="316" t="s">
        <v>772</v>
      </c>
      <c r="G31" s="281">
        <v>1.3188</v>
      </c>
      <c r="H31" s="172"/>
      <c r="I31" s="286">
        <v>30</v>
      </c>
      <c r="J31" s="281"/>
      <c r="K31" s="281"/>
      <c r="L31" s="1021">
        <f>$G31*_xlfn.XLOOKUP($F31,'Baumaterialien Matériaux'!$A:$A,'Baumaterialien Matériaux'!AA:AA,0,0)</f>
        <v>5.9082240000000006</v>
      </c>
      <c r="M31" s="1021">
        <f>$G31*_xlfn.XLOOKUP($F31,'Baumaterialien Matériaux'!$A:$A,'Baumaterialien Matériaux'!AB:AB,0,0)</f>
        <v>9.139284000000001E-3</v>
      </c>
      <c r="N31" s="1021">
        <f>$G31*_xlfn.XLOOKUP($F31,'Baumaterialien Matériaux'!$A:$A,'Baumaterialien Matériaux'!AC:AC,0,0)*44/12</f>
        <v>0</v>
      </c>
      <c r="O31" s="1021">
        <f>$G31*_xlfn.XLOOKUP($F31,'Baumaterialien Matériaux'!$A:$A,'Baumaterialien Matériaux'!AG:AG,0,0)</f>
        <v>2.2947120000000001</v>
      </c>
      <c r="P31" s="1346">
        <f>$G31*_xlfn.XLOOKUP($F31,'Baumaterialien Matériaux'!$A:$A,'Baumaterialien Matériaux'!AH:AH,0,0)</f>
        <v>0</v>
      </c>
      <c r="Q31" s="131"/>
      <c r="R31" s="131"/>
      <c r="S31" s="3"/>
    </row>
    <row r="32" spans="1:20" ht="16.5" customHeight="1">
      <c r="B32" s="1585"/>
      <c r="C32" s="291" t="s">
        <v>912</v>
      </c>
      <c r="D32" s="181" t="str">
        <f>VLOOKUP(F32,'Baumaterialien Matériaux'!$A$10:$AD$432,30,FALSE)</f>
        <v>Laine de roche</v>
      </c>
      <c r="E32" s="181" t="str">
        <f>VLOOKUP(F32,'Baumaterialien Matériaux'!$A$10:$AD$432,7,FALSE)</f>
        <v>kg</v>
      </c>
      <c r="F32" s="1351" t="s">
        <v>814</v>
      </c>
      <c r="G32" s="182">
        <f>0.075*90</f>
        <v>6.75</v>
      </c>
      <c r="H32" s="172"/>
      <c r="I32" s="286">
        <v>30</v>
      </c>
      <c r="J32" s="281"/>
      <c r="K32" s="281"/>
      <c r="L32" s="1021">
        <f>$G32*_xlfn.XLOOKUP($F32,'Baumaterialien Matériaux'!$A:$A,'Baumaterialien Matériaux'!AA:AA,0,0)</f>
        <v>7.6274999999999995</v>
      </c>
      <c r="M32" s="1021">
        <f>$G32*_xlfn.XLOOKUP($F32,'Baumaterialien Matériaux'!$A:$A,'Baumaterialien Matériaux'!AB:AB,0,0)</f>
        <v>0.39960000000000001</v>
      </c>
      <c r="N32" s="1021">
        <f>$G32*_xlfn.XLOOKUP($F32,'Baumaterialien Matériaux'!$A:$A,'Baumaterialien Matériaux'!AC:AC,0,0)*44/12</f>
        <v>0</v>
      </c>
      <c r="O32" s="1021">
        <f>$G32*_xlfn.XLOOKUP($F32,'Baumaterialien Matériaux'!$A:$A,'Baumaterialien Matériaux'!AG:AG,0,0)</f>
        <v>3.8474999999999997</v>
      </c>
      <c r="P32" s="1346">
        <f>$G32*_xlfn.XLOOKUP($F32,'Baumaterialien Matériaux'!$A:$A,'Baumaterialien Matériaux'!AH:AH,0,0)</f>
        <v>2.349E-2</v>
      </c>
      <c r="Q32" s="131"/>
      <c r="R32" s="131"/>
      <c r="S32" s="3"/>
    </row>
    <row r="33" spans="1:20" ht="16.5" customHeight="1" thickBot="1">
      <c r="B33" s="670"/>
      <c r="C33" s="172"/>
      <c r="F33" s="1399"/>
      <c r="G33" s="132"/>
      <c r="H33" s="172"/>
      <c r="I33" s="1033">
        <v>30</v>
      </c>
      <c r="J33" s="676"/>
      <c r="K33" s="676"/>
      <c r="L33" s="1022">
        <f>SUM(L30:L32)</f>
        <v>29.525723999999997</v>
      </c>
      <c r="M33" s="1022">
        <f>SUM(M30:M32)</f>
        <v>0.96673928399999998</v>
      </c>
      <c r="N33" s="1022">
        <f>SUM(N30:N32)</f>
        <v>4.9390000000000001</v>
      </c>
      <c r="O33" s="1022">
        <f>SUM(O30:O32)</f>
        <v>21.772212</v>
      </c>
      <c r="P33" s="1022">
        <f>SUM(P30:P32)</f>
        <v>0.12308999999999999</v>
      </c>
      <c r="Q33" s="131"/>
      <c r="R33" s="1445">
        <f>(L33+M33)/I32</f>
        <v>1.0164154427999998</v>
      </c>
      <c r="S33" s="3"/>
    </row>
    <row r="34" spans="1:20" ht="16.5" customHeight="1" thickTop="1">
      <c r="I34" s="1034"/>
      <c r="L34" s="1023"/>
      <c r="M34" s="1023"/>
      <c r="N34" s="1023"/>
      <c r="O34" s="1023"/>
      <c r="P34" s="1023"/>
    </row>
    <row r="35" spans="1:20" s="1340" customFormat="1" ht="16.5" customHeight="1">
      <c r="A35" s="1341" t="s">
        <v>909</v>
      </c>
      <c r="B35" s="1583" t="s">
        <v>910</v>
      </c>
      <c r="C35" s="291" t="s">
        <v>911</v>
      </c>
      <c r="D35" s="178" t="str">
        <f>VLOOKUP(F35,'Baumaterialien Matériaux'!$A$10:$AD$432,30,FALSE)</f>
        <v>Bois massif 3 et 5 plis</v>
      </c>
      <c r="E35" s="178" t="str">
        <f>VLOOKUP(F35,'Baumaterialien Matériaux'!$A$10:$AD$432,7,FALSE)</f>
        <v>kg</v>
      </c>
      <c r="F35" s="1347" t="s">
        <v>705</v>
      </c>
      <c r="G35" s="281">
        <f>453*0.072*2</f>
        <v>65.231999999999999</v>
      </c>
      <c r="H35" s="1341"/>
      <c r="I35" s="1030">
        <v>30</v>
      </c>
      <c r="J35" s="614"/>
      <c r="K35" s="614"/>
      <c r="L35" s="614">
        <f>$G35*_xlfn.XLOOKUP($F35,'Baumaterialien Matériaux'!$A:$A,'Baumaterialien Matériaux'!AA:AA,0,0)</f>
        <v>27.006048</v>
      </c>
      <c r="M35" s="614">
        <f>$G35*_xlfn.XLOOKUP($F35,'Baumaterialien Matériaux'!$A:$A,'Baumaterialien Matériaux'!AB:AB,0,0)</f>
        <v>3.6073295999999999</v>
      </c>
      <c r="N35" s="614">
        <f>$G35*_xlfn.XLOOKUP($F35,'Baumaterialien Matériaux'!$A:$A,'Baumaterialien Matériaux'!AC:AC,0,0)*44/12</f>
        <v>103.566672</v>
      </c>
      <c r="O35" s="614">
        <f>$G35*_xlfn.XLOOKUP($F35,'Baumaterialien Matériaux'!$A:$A,'Baumaterialien Matériaux'!AG:AG,0,0)</f>
        <v>9.132480000000001</v>
      </c>
      <c r="P35" s="1355">
        <f>$G35*_xlfn.XLOOKUP($F35,'Baumaterialien Matériaux'!$A:$A,'Baumaterialien Matériaux'!AH:AH,0,0)</f>
        <v>2.5375247999999999</v>
      </c>
      <c r="Q35" s="144"/>
      <c r="R35" s="144"/>
      <c r="S35" s="145"/>
    </row>
    <row r="36" spans="1:20" ht="16.5" customHeight="1">
      <c r="A36" s="172"/>
      <c r="B36" s="1585"/>
      <c r="C36" s="291" t="s">
        <v>912</v>
      </c>
      <c r="D36" s="181" t="str">
        <f>VLOOKUP(F36,'Baumaterialien Matériaux'!$A$10:$AD$432,30,FALSE)</f>
        <v>Laine de roche</v>
      </c>
      <c r="E36" s="181" t="str">
        <f>VLOOKUP(F36,'Baumaterialien Matériaux'!$A$10:$AD$432,7,FALSE)</f>
        <v>kg</v>
      </c>
      <c r="F36" s="1351" t="s">
        <v>814</v>
      </c>
      <c r="G36" s="182">
        <f>0.075*90</f>
        <v>6.75</v>
      </c>
      <c r="H36" s="172"/>
      <c r="I36" s="1030">
        <v>30</v>
      </c>
      <c r="J36" s="614"/>
      <c r="K36" s="614"/>
      <c r="L36" s="614">
        <f>$G36*_xlfn.XLOOKUP($F36,'Baumaterialien Matériaux'!$A:$A,'Baumaterialien Matériaux'!AA:AA,0,0)</f>
        <v>7.6274999999999995</v>
      </c>
      <c r="M36" s="614">
        <f>$G36*_xlfn.XLOOKUP($F36,'Baumaterialien Matériaux'!$A:$A,'Baumaterialien Matériaux'!AB:AB,0,0)</f>
        <v>0.39960000000000001</v>
      </c>
      <c r="N36" s="614">
        <f>$G36*_xlfn.XLOOKUP($F36,'Baumaterialien Matériaux'!$A:$A,'Baumaterialien Matériaux'!AC:AC,0,0)*44/12</f>
        <v>0</v>
      </c>
      <c r="O36" s="614">
        <f>$G36*_xlfn.XLOOKUP($F36,'Baumaterialien Matériaux'!$A:$A,'Baumaterialien Matériaux'!AG:AG,0,0)</f>
        <v>3.8474999999999997</v>
      </c>
      <c r="P36" s="1355">
        <f>$G36*_xlfn.XLOOKUP($F36,'Baumaterialien Matériaux'!$A:$A,'Baumaterialien Matériaux'!AH:AH,0,0)</f>
        <v>2.349E-2</v>
      </c>
    </row>
    <row r="37" spans="1:20" s="658" customFormat="1" ht="16.5" customHeight="1" thickBot="1">
      <c r="A37" s="676"/>
      <c r="B37" s="1348"/>
      <c r="C37" s="676"/>
      <c r="F37" s="1352"/>
      <c r="G37" s="679"/>
      <c r="H37" s="676"/>
      <c r="I37" s="1349"/>
      <c r="J37" s="1350"/>
      <c r="K37" s="1350"/>
      <c r="L37" s="1022">
        <f t="shared" ref="L37:P37" si="7">SUM(L35:L36)</f>
        <v>34.633547999999998</v>
      </c>
      <c r="M37" s="1022">
        <f t="shared" si="7"/>
        <v>4.0069296000000003</v>
      </c>
      <c r="N37" s="1022">
        <f t="shared" si="7"/>
        <v>103.566672</v>
      </c>
      <c r="O37" s="1022">
        <f t="shared" si="7"/>
        <v>12.979980000000001</v>
      </c>
      <c r="P37" s="1022">
        <f t="shared" si="7"/>
        <v>2.5610147999999997</v>
      </c>
      <c r="Q37" s="144"/>
      <c r="R37" s="1445">
        <f>(L37+M37)/I36</f>
        <v>1.2880159199999999</v>
      </c>
      <c r="S37" s="145"/>
    </row>
    <row r="38" spans="1:20" ht="16.5" customHeight="1" thickTop="1">
      <c r="I38" s="1034"/>
      <c r="L38" s="1301"/>
      <c r="M38" s="1301"/>
      <c r="N38" s="1301"/>
      <c r="O38" s="1301"/>
      <c r="P38" s="1301"/>
    </row>
    <row r="39" spans="1:20" s="145" customFormat="1" ht="17.25">
      <c r="A39" s="143" t="s">
        <v>554</v>
      </c>
      <c r="B39" s="143" t="str">
        <f>'Outil détaillé'!D34</f>
        <v>Planchers internes</v>
      </c>
      <c r="C39" s="143"/>
      <c r="D39" s="143"/>
      <c r="E39" s="143"/>
      <c r="F39" s="587"/>
      <c r="G39" s="144" t="s">
        <v>750</v>
      </c>
      <c r="H39" s="143"/>
      <c r="I39" s="1035"/>
      <c r="J39" s="144"/>
      <c r="K39" s="144"/>
      <c r="L39" s="1024"/>
      <c r="M39" s="1024"/>
      <c r="N39" s="1024"/>
      <c r="O39" s="1024"/>
      <c r="P39" s="1024"/>
      <c r="Q39" s="144"/>
      <c r="R39" s="144"/>
    </row>
    <row r="40" spans="1:20" s="643" customFormat="1" ht="15.75" customHeight="1">
      <c r="A40" s="1282" t="s">
        <v>836</v>
      </c>
      <c r="B40" s="641" t="s">
        <v>837</v>
      </c>
      <c r="C40" s="656" t="s">
        <v>838</v>
      </c>
      <c r="D40" s="624" t="str">
        <f>VLOOKUP(F40,'Baumaterialien Matériaux'!$A$10:$AD$432,30,FALSE)</f>
        <v>Béton pour bâtiment (sans armature)</v>
      </c>
      <c r="E40" s="181" t="str">
        <f>_xlfn.XLOOKUP($F40,'Baumaterialien Matériaux'!$A:$A,'Baumaterialien Matériaux'!G:G,0,0)</f>
        <v>kg</v>
      </c>
      <c r="F40" s="647" t="s">
        <v>685</v>
      </c>
      <c r="G40" s="625">
        <f>(0.25-G41/7850)*2300</f>
        <v>568.40764331210187</v>
      </c>
      <c r="H40" s="624"/>
      <c r="I40" s="627">
        <v>60</v>
      </c>
      <c r="J40" s="625"/>
      <c r="K40" s="625"/>
      <c r="L40" s="1025">
        <f>$G40*_xlfn.XLOOKUP($F40,'Baumaterialien Matériaux'!$A:$A,'Baumaterialien Matériaux'!AA:AA,0,0)</f>
        <v>50.417757961783437</v>
      </c>
      <c r="M40" s="1025">
        <f>$G40*_xlfn.XLOOKUP($F40,'Baumaterialien Matériaux'!$A:$A,'Baumaterialien Matériaux'!AB:AB,0,0)</f>
        <v>7.1619363057324836</v>
      </c>
      <c r="N40" s="1025">
        <f>$G40*_xlfn.XLOOKUP($F40,'Baumaterialien Matériaux'!$A:$A,'Baumaterialien Matériaux'!AC:AC,0,0)*44/12</f>
        <v>0</v>
      </c>
      <c r="O40" s="1025">
        <f>$G40*_xlfn.XLOOKUP($F40,'Baumaterialien Matériaux'!$A:$A,'Baumaterialien Matériaux'!AG:AG,0,0)</f>
        <v>11.822878980891719</v>
      </c>
      <c r="P40" s="1357">
        <f>$G40*_xlfn.XLOOKUP($F40,'Baumaterialien Matériaux'!$A:$A,'Baumaterialien Matériaux'!AH:AH,0,0)</f>
        <v>1.5233324840764331</v>
      </c>
      <c r="Q40" s="144"/>
      <c r="R40" s="144"/>
      <c r="S40" s="1344"/>
      <c r="T40" s="1282"/>
    </row>
    <row r="41" spans="1:20" s="626" customFormat="1" ht="15.75" customHeight="1">
      <c r="B41" s="641"/>
      <c r="C41" s="711" t="s">
        <v>926</v>
      </c>
      <c r="D41" s="624" t="str">
        <f>VLOOKUP(F41,'Baumaterialien Matériaux'!$A$10:$AD$432,30,FALSE)</f>
        <v>Acier d'armature</v>
      </c>
      <c r="E41" s="181" t="str">
        <f>_xlfn.XLOOKUP($F41,'Baumaterialien Matériaux'!$A:$A,'Baumaterialien Matériaux'!G:G,0,0)</f>
        <v>kg</v>
      </c>
      <c r="F41" s="632" t="s">
        <v>687</v>
      </c>
      <c r="G41" s="625">
        <f>90*0.25</f>
        <v>22.5</v>
      </c>
      <c r="H41" s="624"/>
      <c r="I41" s="627">
        <v>60</v>
      </c>
      <c r="J41" s="625"/>
      <c r="K41" s="625"/>
      <c r="L41" s="1025">
        <f>$G41*_xlfn.XLOOKUP($F41,'Baumaterialien Matériaux'!$A:$A,'Baumaterialien Matériaux'!AA:AA,0,0)</f>
        <v>17.392500000000002</v>
      </c>
      <c r="M41" s="1025">
        <f>$G41*_xlfn.XLOOKUP($F41,'Baumaterialien Matériaux'!$A:$A,'Baumaterialien Matériaux'!AB:AB,0,0)</f>
        <v>0.27450000000000002</v>
      </c>
      <c r="N41" s="1025">
        <f>$G41*_xlfn.XLOOKUP($F41,'Baumaterialien Matériaux'!$A:$A,'Baumaterialien Matériaux'!AC:AC,0,0)*44/12</f>
        <v>0</v>
      </c>
      <c r="O41" s="1025">
        <f>$G41*_xlfn.XLOOKUP($F41,'Baumaterialien Matériaux'!$A:$A,'Baumaterialien Matériaux'!AG:AG,0,0)</f>
        <v>6.5474999999999994</v>
      </c>
      <c r="P41" s="1357">
        <f>$G41*_xlfn.XLOOKUP($F41,'Baumaterialien Matériaux'!$A:$A,'Baumaterialien Matériaux'!AH:AH,0,0)</f>
        <v>0</v>
      </c>
      <c r="Q41" s="144"/>
      <c r="R41" s="144"/>
      <c r="S41" s="1344"/>
    </row>
    <row r="42" spans="1:20" s="626" customFormat="1" ht="15.75" customHeight="1">
      <c r="B42" s="641"/>
      <c r="C42" s="656" t="s">
        <v>730</v>
      </c>
      <c r="D42" s="624" t="str">
        <f>VLOOKUP(F42,'Baumaterialien Matériaux'!$A$10:$AD$432,30,FALSE)</f>
        <v>Bois massif 3 et 5 plis</v>
      </c>
      <c r="E42" s="181" t="str">
        <f>_xlfn.XLOOKUP($F42,'Baumaterialien Matériaux'!$A:$A,'Baumaterialien Matériaux'!G:G,0,0)</f>
        <v>kg</v>
      </c>
      <c r="F42" s="632" t="s">
        <v>705</v>
      </c>
      <c r="G42" s="625">
        <f>2/5*0.025*470</f>
        <v>4.7000000000000011</v>
      </c>
      <c r="H42" s="624"/>
      <c r="I42" s="627">
        <v>60</v>
      </c>
      <c r="J42" s="625"/>
      <c r="K42" s="625"/>
      <c r="L42" s="1025">
        <f>$G42*_xlfn.XLOOKUP($F42,'Baumaterialien Matériaux'!$A:$A,'Baumaterialien Matériaux'!AA:AA,0,0)</f>
        <v>1.9458000000000004</v>
      </c>
      <c r="M42" s="1025">
        <f>$G42*_xlfn.XLOOKUP($F42,'Baumaterialien Matériaux'!$A:$A,'Baumaterialien Matériaux'!AB:AB,0,0)</f>
        <v>0.25991000000000009</v>
      </c>
      <c r="N42" s="1025">
        <f>$G42*_xlfn.XLOOKUP($F42,'Baumaterialien Matériaux'!$A:$A,'Baumaterialien Matériaux'!AC:AC,0,0)*44/12</f>
        <v>7.4620333333333342</v>
      </c>
      <c r="O42" s="1025">
        <f>$G42*_xlfn.XLOOKUP($F42,'Baumaterialien Matériaux'!$A:$A,'Baumaterialien Matériaux'!AG:AG,0,0)</f>
        <v>0.65800000000000025</v>
      </c>
      <c r="P42" s="1357">
        <f>$G42*_xlfn.XLOOKUP($F42,'Baumaterialien Matériaux'!$A:$A,'Baumaterialien Matériaux'!AH:AH,0,0)</f>
        <v>0.18283000000000002</v>
      </c>
      <c r="Q42" s="144"/>
      <c r="R42" s="144"/>
      <c r="S42" s="1344"/>
    </row>
    <row r="43" spans="1:20" s="663" customFormat="1" ht="16.5" customHeight="1" thickBot="1">
      <c r="B43" s="712"/>
      <c r="D43" s="666"/>
      <c r="F43" s="665"/>
      <c r="I43" s="1036"/>
      <c r="L43" s="1026">
        <f t="shared" ref="L43:N43" si="8">SUM(L40:L42)</f>
        <v>69.756057961783441</v>
      </c>
      <c r="M43" s="1026">
        <f t="shared" si="8"/>
        <v>7.696346305732483</v>
      </c>
      <c r="N43" s="1026">
        <f t="shared" si="8"/>
        <v>7.4620333333333342</v>
      </c>
      <c r="O43" s="1026">
        <f t="shared" ref="O43:P43" si="9">SUM(O40:O42)</f>
        <v>19.02837898089172</v>
      </c>
      <c r="P43" s="1026">
        <f t="shared" si="9"/>
        <v>1.7061624840764331</v>
      </c>
      <c r="Q43" s="144"/>
      <c r="R43" s="1445">
        <f>(L43+M43)/I42</f>
        <v>1.2908734044585988</v>
      </c>
      <c r="S43" s="763">
        <v>1.45</v>
      </c>
    </row>
    <row r="44" spans="1:20" ht="16.5" customHeight="1" thickTop="1">
      <c r="I44" s="1034"/>
      <c r="L44" s="1023"/>
      <c r="M44" s="1023"/>
      <c r="N44" s="1023"/>
      <c r="O44" s="1023"/>
      <c r="P44" s="1023"/>
    </row>
    <row r="45" spans="1:20" s="643" customFormat="1" ht="14.25" customHeight="1">
      <c r="A45" s="1282" t="s">
        <v>927</v>
      </c>
      <c r="B45" s="641" t="s">
        <v>928</v>
      </c>
      <c r="C45" s="656" t="s">
        <v>733</v>
      </c>
      <c r="D45" s="624" t="str">
        <f>VLOOKUP(F45,'Baumaterialien Matériaux'!$A$10:$AD$432,30,FALSE)</f>
        <v>Bois massif épicéa / sapin / mélèze, séché en cellule, raboté</v>
      </c>
      <c r="E45" s="181" t="str">
        <f>_xlfn.XLOOKUP($F45,'Baumaterialien Matériaux'!$A:$A,'Baumaterialien Matériaux'!G:G,0,0)</f>
        <v>kg</v>
      </c>
      <c r="F45" s="654" t="s">
        <v>766</v>
      </c>
      <c r="G45" s="625">
        <f>0.0896*465</f>
        <v>41.664000000000001</v>
      </c>
      <c r="H45" s="624"/>
      <c r="I45" s="627">
        <v>60</v>
      </c>
      <c r="J45" s="625"/>
      <c r="K45" s="625"/>
      <c r="L45" s="1025">
        <f>$G45*_xlfn.XLOOKUP($F45,'Baumaterialien Matériaux'!$A:$A,'Baumaterialien Matériaux'!AA:AA,0,0)</f>
        <v>5.5829760000000004</v>
      </c>
      <c r="M45" s="1025">
        <f>$G45*_xlfn.XLOOKUP($F45,'Baumaterialien Matériaux'!$A:$A,'Baumaterialien Matériaux'!AB:AB,0,0)</f>
        <v>1.6248960000000001</v>
      </c>
      <c r="N45" s="1025">
        <f>$G45*_xlfn.XLOOKUP($F45,'Baumaterialien Matériaux'!$A:$A,'Baumaterialien Matériaux'!AC:AC,0,0)*44/12</f>
        <v>68.898368000000005</v>
      </c>
      <c r="O45" s="1025">
        <f>$G45*_xlfn.XLOOKUP($F45,'Baumaterialien Matériaux'!$A:$A,'Baumaterialien Matériaux'!AG:AG,0,0)</f>
        <v>1.7915519999999998</v>
      </c>
      <c r="P45" s="1357">
        <f>$G45*_xlfn.XLOOKUP($F45,'Baumaterialien Matériaux'!$A:$A,'Baumaterialien Matériaux'!AH:AH,0,0)</f>
        <v>0.30331392000000001</v>
      </c>
      <c r="Q45" s="144"/>
      <c r="R45" s="144"/>
      <c r="S45" s="1344"/>
      <c r="T45" s="1282"/>
    </row>
    <row r="46" spans="1:20" s="626" customFormat="1" ht="15.75" customHeight="1">
      <c r="B46" s="641"/>
      <c r="C46" s="656" t="s">
        <v>929</v>
      </c>
      <c r="D46" s="624" t="str">
        <f>VLOOKUP(F46,'Baumaterialien Matériaux'!$A$10:$AD$432,30,FALSE)</f>
        <v>Colle bicomposant</v>
      </c>
      <c r="E46" s="181" t="str">
        <f>_xlfn.XLOOKUP($F46,'Baumaterialien Matériaux'!$A:$A,'Baumaterialien Matériaux'!G:G,0,0)</f>
        <v>kg</v>
      </c>
      <c r="F46" s="654" t="s">
        <v>855</v>
      </c>
      <c r="G46" s="624">
        <v>0.2</v>
      </c>
      <c r="H46" s="624"/>
      <c r="I46" s="627">
        <v>60</v>
      </c>
      <c r="J46" s="624"/>
      <c r="K46" s="624"/>
      <c r="L46" s="1025">
        <f>$G46*_xlfn.XLOOKUP($F46,'Baumaterialien Matériaux'!$A:$A,'Baumaterialien Matériaux'!AA:AA,0,0)</f>
        <v>0.93000000000000016</v>
      </c>
      <c r="M46" s="1025">
        <f>$G46*_xlfn.XLOOKUP($F46,'Baumaterialien Matériaux'!$A:$A,'Baumaterialien Matériaux'!AB:AB,0,0)</f>
        <v>3.7400000000000003E-2</v>
      </c>
      <c r="N46" s="1025">
        <f>$G46*_xlfn.XLOOKUP($F46,'Baumaterialien Matériaux'!$A:$A,'Baumaterialien Matériaux'!AC:AC,0,0)*44/12</f>
        <v>0</v>
      </c>
      <c r="O46" s="1025">
        <f>$G46*_xlfn.XLOOKUP($F46,'Baumaterialien Matériaux'!$A:$A,'Baumaterialien Matériaux'!AG:AG,0,0)</f>
        <v>0.90800000000000003</v>
      </c>
      <c r="P46" s="1357">
        <f>$G46*_xlfn.XLOOKUP($F46,'Baumaterialien Matériaux'!$A:$A,'Baumaterialien Matériaux'!AH:AH,0,0)</f>
        <v>8.5800000000000001E-2</v>
      </c>
      <c r="Q46" s="144"/>
      <c r="R46" s="144"/>
      <c r="S46" s="1344"/>
    </row>
    <row r="47" spans="1:20" s="626" customFormat="1" ht="15.75" customHeight="1">
      <c r="B47" s="641"/>
      <c r="C47" s="656" t="s">
        <v>930</v>
      </c>
      <c r="D47" s="624" t="str">
        <f>VLOOKUP(F47,'Baumaterialien Matériaux'!$A$10:$AD$432,30,FALSE)</f>
        <v>Gravier concassé</v>
      </c>
      <c r="E47" s="181" t="str">
        <f>_xlfn.XLOOKUP($F47,'Baumaterialien Matériaux'!$A:$A,'Baumaterialien Matériaux'!G:G,0,0)</f>
        <v>kg</v>
      </c>
      <c r="F47" s="654" t="s">
        <v>931</v>
      </c>
      <c r="G47" s="624">
        <v>80</v>
      </c>
      <c r="H47" s="624"/>
      <c r="I47" s="627">
        <v>60</v>
      </c>
      <c r="J47" s="624"/>
      <c r="K47" s="624"/>
      <c r="L47" s="1025">
        <f>$G47*_xlfn.XLOOKUP($F47,'Baumaterialien Matériaux'!$A:$A,'Baumaterialien Matériaux'!AA:AA,0,0)</f>
        <v>0.4</v>
      </c>
      <c r="M47" s="1025">
        <f>$G47*_xlfn.XLOOKUP($F47,'Baumaterialien Matériaux'!$A:$A,'Baumaterialien Matériaux'!AB:AB,0,0)</f>
        <v>1.008</v>
      </c>
      <c r="N47" s="1025">
        <f>$G47*_xlfn.XLOOKUP($F47,'Baumaterialien Matériaux'!$A:$A,'Baumaterialien Matériaux'!AC:AC,0,0)*44/12</f>
        <v>0</v>
      </c>
      <c r="O47" s="1025">
        <f>$G47*_xlfn.XLOOKUP($F47,'Baumaterialien Matériaux'!$A:$A,'Baumaterialien Matériaux'!AG:AG,0,0)</f>
        <v>0.16320000000000001</v>
      </c>
      <c r="P47" s="1357">
        <f>$G47*_xlfn.XLOOKUP($F47,'Baumaterialien Matériaux'!$A:$A,'Baumaterialien Matériaux'!AH:AH,0,0)</f>
        <v>0.18880000000000002</v>
      </c>
      <c r="Q47" s="144"/>
      <c r="R47" s="144"/>
      <c r="S47" s="1344"/>
    </row>
    <row r="48" spans="1:20" s="663" customFormat="1" ht="16.5" customHeight="1" thickBot="1">
      <c r="B48" s="712"/>
      <c r="F48" s="665"/>
      <c r="I48" s="1036"/>
      <c r="L48" s="1026">
        <f t="shared" ref="L48:N48" si="10">SUM(L45:L47)</f>
        <v>6.9129760000000005</v>
      </c>
      <c r="M48" s="1026">
        <f t="shared" si="10"/>
        <v>2.6702960000000004</v>
      </c>
      <c r="N48" s="1026">
        <f t="shared" si="10"/>
        <v>68.898368000000005</v>
      </c>
      <c r="O48" s="1026">
        <f t="shared" ref="O48:P48" si="11">SUM(O45:O47)</f>
        <v>2.8627519999999995</v>
      </c>
      <c r="P48" s="1026">
        <f t="shared" si="11"/>
        <v>0.57791392000000008</v>
      </c>
      <c r="Q48" s="144"/>
      <c r="R48" s="1445">
        <f>(L48+M48)/I47</f>
        <v>0.15972120000000001</v>
      </c>
      <c r="S48" s="763">
        <v>0.32</v>
      </c>
    </row>
    <row r="49" spans="1:20" ht="16.5" customHeight="1" thickTop="1">
      <c r="B49" s="1157"/>
      <c r="I49" s="1034"/>
      <c r="L49" s="1023"/>
      <c r="M49" s="1023"/>
      <c r="N49" s="1023"/>
      <c r="O49" s="1023"/>
      <c r="P49" s="1023"/>
      <c r="Q49" s="131"/>
      <c r="R49" s="131"/>
      <c r="S49" s="1008"/>
    </row>
    <row r="50" spans="1:20" s="1340" customFormat="1" ht="14.25">
      <c r="A50" s="818" t="s">
        <v>851</v>
      </c>
      <c r="B50" s="1575" t="s">
        <v>850</v>
      </c>
      <c r="C50" s="181" t="s">
        <v>932</v>
      </c>
      <c r="D50" s="181" t="str">
        <f>VLOOKUP(F50,'Baumaterialien Matériaux'!$A$10:$AD$432,30,FALSE)</f>
        <v>Bois massif épicéa / sapin / mélèze, séché en cellule, raboté</v>
      </c>
      <c r="E50" s="181" t="str">
        <f>VLOOKUP(F50,'Baumaterialien Matériaux'!$A$10:$AD$432,7,FALSE)</f>
        <v>kg</v>
      </c>
      <c r="F50" s="601" t="s">
        <v>766</v>
      </c>
      <c r="G50" s="182">
        <f>0.58*465*24*6/3016</f>
        <v>12.876923076923076</v>
      </c>
      <c r="H50" s="181"/>
      <c r="I50" s="181">
        <v>60</v>
      </c>
      <c r="J50" s="182">
        <f>$G50*VLOOKUP(F50,'Baumaterialien Matériaux'!$A$10:$AD$432,22,FALSE)</f>
        <v>8.8593230769230757</v>
      </c>
      <c r="K50" s="182">
        <f>G50*VLOOKUP(F50,'Baumaterialien Matériaux'!$A$10:$AD$432,25,FALSE)</f>
        <v>1.1434707692307691</v>
      </c>
      <c r="L50" s="1018">
        <f>$G50*_xlfn.XLOOKUP($F50,'Baumaterialien Matériaux'!$A:$A,'Baumaterialien Matériaux'!AA:AA,0,0)</f>
        <v>1.7255076923076922</v>
      </c>
      <c r="M50" s="1018">
        <f>$G50*_xlfn.XLOOKUP($F50,'Baumaterialien Matériaux'!$A:$A,'Baumaterialien Matériaux'!AB:AB,0,0)</f>
        <v>0.50219999999999998</v>
      </c>
      <c r="N50" s="1018">
        <f>$G50*_xlfn.XLOOKUP($F50,'Baumaterialien Matériaux'!$A:$A,'Baumaterialien Matériaux'!AC:AC,0,0)*44/12</f>
        <v>21.294138461538459</v>
      </c>
      <c r="O50" s="1018">
        <f>$G50*_xlfn.XLOOKUP($F50,'Baumaterialien Matériaux'!$A:$A,'Baumaterialien Matériaux'!AG:AG,0,0)</f>
        <v>0.55370769230769223</v>
      </c>
      <c r="P50" s="1356">
        <f>$G50*_xlfn.XLOOKUP($F50,'Baumaterialien Matériaux'!$A:$A,'Baumaterialien Matériaux'!AH:AH,0,0)</f>
        <v>9.3743999999999994E-2</v>
      </c>
      <c r="Q50" s="1578"/>
      <c r="R50" s="1578"/>
      <c r="S50" s="1578"/>
    </row>
    <row r="51" spans="1:20" ht="14.25">
      <c r="B51" s="1575"/>
      <c r="C51" s="181" t="s">
        <v>933</v>
      </c>
      <c r="D51" s="181" t="str">
        <f>VLOOKUP(F51,'Baumaterialien Matériaux'!$A$10:$AD$432,30,FALSE)</f>
        <v>Bois lamellé-collé</v>
      </c>
      <c r="E51" s="181" t="str">
        <f>VLOOKUP(F51,'Baumaterialien Matériaux'!$A$10:$AD$432,7,FALSE)</f>
        <v>kg</v>
      </c>
      <c r="F51" s="314" t="s">
        <v>934</v>
      </c>
      <c r="G51" s="182">
        <f>0.026*439*120/600</f>
        <v>2.2827999999999999</v>
      </c>
      <c r="H51" s="181"/>
      <c r="I51" s="181">
        <v>60</v>
      </c>
      <c r="J51" s="182">
        <f>$G51*VLOOKUP(F51,'Baumaterialien Matériaux'!$A$10:$AD$432,22,FALSE)</f>
        <v>3.2872319999999999</v>
      </c>
      <c r="K51" s="182">
        <f>G51*VLOOKUP(F51,'Baumaterialien Matériaux'!$A$10:$AD$432,25,FALSE)</f>
        <v>0.2077348</v>
      </c>
      <c r="L51" s="1018">
        <f>$G51*_xlfn.XLOOKUP($F51,'Baumaterialien Matériaux'!$A:$A,'Baumaterialien Matériaux'!AA:AA,0,0)</f>
        <v>0.6505979999999999</v>
      </c>
      <c r="M51" s="1018">
        <f>$G51*_xlfn.XLOOKUP($F51,'Baumaterialien Matériaux'!$A:$A,'Baumaterialien Matériaux'!AB:AB,0,0)</f>
        <v>0.11231376</v>
      </c>
      <c r="N51" s="1018">
        <f>$G51*_xlfn.XLOOKUP($F51,'Baumaterialien Matériaux'!$A:$A,'Baumaterialien Matériaux'!AC:AC,0,0)*44/12</f>
        <v>3.7331389333333331</v>
      </c>
      <c r="O51" s="1018">
        <f>$G51*_xlfn.XLOOKUP($F51,'Baumaterialien Matériaux'!$A:$A,'Baumaterialien Matériaux'!AG:AG,0,0)</f>
        <v>0.40177279999999999</v>
      </c>
      <c r="P51" s="1356">
        <f>$G51*_xlfn.XLOOKUP($F51,'Baumaterialien Matériaux'!$A:$A,'Baumaterialien Matériaux'!AH:AH,0,0)</f>
        <v>9.6790719999999997E-2</v>
      </c>
      <c r="Q51" s="1579"/>
      <c r="R51" s="1579"/>
      <c r="S51" s="1579"/>
    </row>
    <row r="52" spans="1:20" ht="14.25">
      <c r="B52" s="1575"/>
      <c r="C52" s="181" t="s">
        <v>854</v>
      </c>
      <c r="D52" s="181" t="str">
        <f>VLOOKUP(F52,'Baumaterialien Matériaux'!$A$10:$AD$432,30,FALSE)</f>
        <v>Colle bicomposant</v>
      </c>
      <c r="E52" s="181" t="str">
        <f>VLOOKUP(F52,'Baumaterialien Matériaux'!$A$10:$AD$432,7,FALSE)</f>
        <v>kg</v>
      </c>
      <c r="F52" s="601" t="s">
        <v>855</v>
      </c>
      <c r="G52" s="182">
        <v>0.28000000000000003</v>
      </c>
      <c r="H52" s="181"/>
      <c r="I52" s="181">
        <v>60</v>
      </c>
      <c r="J52" s="182">
        <f>$G52*VLOOKUP(F52,'Baumaterialien Matériaux'!$A$10:$AD$432,22,FALSE)</f>
        <v>6.7760000000000007</v>
      </c>
      <c r="K52" s="182">
        <f>G52*VLOOKUP(F52,'Baumaterialien Matériaux'!$A$10:$AD$432,25,FALSE)</f>
        <v>1.5624000000000002E-2</v>
      </c>
      <c r="L52" s="1018">
        <f>$G52*_xlfn.XLOOKUP($F52,'Baumaterialien Matériaux'!$A:$A,'Baumaterialien Matériaux'!AA:AA,0,0)</f>
        <v>1.3020000000000003</v>
      </c>
      <c r="M52" s="1018">
        <f>$G52*_xlfn.XLOOKUP($F52,'Baumaterialien Matériaux'!$A:$A,'Baumaterialien Matériaux'!AB:AB,0,0)</f>
        <v>5.2360000000000004E-2</v>
      </c>
      <c r="N52" s="1018">
        <f>$G52*_xlfn.XLOOKUP($F52,'Baumaterialien Matériaux'!$A:$A,'Baumaterialien Matériaux'!AC:AC,0,0)*44/12</f>
        <v>0</v>
      </c>
      <c r="O52" s="1018">
        <f>$G52*_xlfn.XLOOKUP($F52,'Baumaterialien Matériaux'!$A:$A,'Baumaterialien Matériaux'!AG:AG,0,0)</f>
        <v>1.2712000000000001</v>
      </c>
      <c r="P52" s="1356">
        <f>$G52*_xlfn.XLOOKUP($F52,'Baumaterialien Matériaux'!$A:$A,'Baumaterialien Matériaux'!AH:AH,0,0)</f>
        <v>0.12012</v>
      </c>
      <c r="Q52" s="1579"/>
      <c r="R52" s="1579"/>
      <c r="S52" s="1579"/>
    </row>
    <row r="53" spans="1:20" s="658" customFormat="1" ht="15.75" thickBot="1">
      <c r="B53" s="1389"/>
      <c r="C53" s="658" t="s">
        <v>935</v>
      </c>
      <c r="D53" s="661" t="str">
        <f>VLOOKUP(F53,'Baumaterialien Matériaux'!$A$10:$AD$432,30,FALSE)</f>
        <v>Bois massif 3 et 5 plis</v>
      </c>
      <c r="E53" s="661" t="str">
        <f>VLOOKUP(F53,'Baumaterialien Matériaux'!$A$10:$AD$432,7,FALSE)</f>
        <v>kg</v>
      </c>
      <c r="F53" s="1306" t="s">
        <v>705</v>
      </c>
      <c r="G53" s="1003">
        <f>0.032*453</f>
        <v>14.496</v>
      </c>
      <c r="I53" s="661">
        <v>60</v>
      </c>
      <c r="J53" s="1003"/>
      <c r="K53" s="1003"/>
      <c r="L53" s="1368">
        <f>$G53*_xlfn.XLOOKUP($F53,'Baumaterialien Matériaux'!$A:$A,'Baumaterialien Matériaux'!AA:AA,0,0)</f>
        <v>6.0013439999999996</v>
      </c>
      <c r="M53" s="1368">
        <f>$G53*_xlfn.XLOOKUP($F53,'Baumaterialien Matériaux'!$A:$A,'Baumaterialien Matériaux'!AB:AB,0,0)</f>
        <v>0.80162880000000003</v>
      </c>
      <c r="N53" s="1368">
        <f>$G53*_xlfn.XLOOKUP($F53,'Baumaterialien Matériaux'!$A:$A,'Baumaterialien Matériaux'!AC:AC,0,0)*44/12</f>
        <v>23.014816</v>
      </c>
      <c r="O53" s="1368">
        <f>$G53*_xlfn.XLOOKUP($F53,'Baumaterialien Matériaux'!$A:$A,'Baumaterialien Matériaux'!AG:AG,0,0)</f>
        <v>2.0294400000000001</v>
      </c>
      <c r="P53" s="1369">
        <f>$G53*_xlfn.XLOOKUP($F53,'Baumaterialien Matériaux'!$A:$A,'Baumaterialien Matériaux'!AH:AH,0,0)</f>
        <v>0.56389440000000002</v>
      </c>
      <c r="Q53" s="1390"/>
      <c r="R53" s="1445">
        <f>(L53+M53)/I52</f>
        <v>0.11338287999999999</v>
      </c>
      <c r="S53" s="1390"/>
    </row>
    <row r="54" spans="1:20" thickTop="1">
      <c r="B54" s="1334"/>
      <c r="D54" s="615"/>
      <c r="E54" s="615"/>
      <c r="F54" s="1388"/>
      <c r="G54" s="1151"/>
      <c r="I54" s="1157"/>
      <c r="J54" s="1158"/>
      <c r="K54" s="1158"/>
      <c r="L54" s="1361"/>
      <c r="M54" s="1361"/>
      <c r="N54" s="1361"/>
      <c r="O54" s="1361"/>
      <c r="P54" s="1362"/>
      <c r="Q54" s="1139"/>
      <c r="R54" s="1139"/>
      <c r="S54" s="1139"/>
    </row>
    <row r="55" spans="1:20" s="160" customFormat="1" ht="13.9" customHeight="1">
      <c r="A55" s="1341" t="s">
        <v>936</v>
      </c>
      <c r="B55" s="180" t="s">
        <v>937</v>
      </c>
      <c r="C55" s="148" t="s">
        <v>938</v>
      </c>
      <c r="D55" s="181" t="str">
        <f>VLOOKUP(F55,'Baumaterialien Matériaux'!$A$10:$AD$432,30,FALSE)</f>
        <v>Béton pour bâtiment (sans armature)</v>
      </c>
      <c r="E55" s="181" t="str">
        <f>_xlfn.XLOOKUP($F55,'Baumaterialien Matériaux'!$A:$A,'Baumaterialien Matériaux'!G:G,0,0)</f>
        <v>kg</v>
      </c>
      <c r="F55" s="603" t="s">
        <v>685</v>
      </c>
      <c r="G55" s="182">
        <f>0.09*(1-30/7850)*2300</f>
        <v>206.20891719745222</v>
      </c>
      <c r="H55" s="181"/>
      <c r="I55" s="597">
        <v>60</v>
      </c>
      <c r="J55" s="182"/>
      <c r="K55" s="182"/>
      <c r="L55" s="1018">
        <f>$G55*_xlfn.XLOOKUP($F55,'Baumaterialien Matériaux'!$A:$A,'Baumaterialien Matériaux'!AA:AA,0,0)</f>
        <v>18.290730955414013</v>
      </c>
      <c r="M55" s="1018">
        <f>$G55*_xlfn.XLOOKUP($F55,'Baumaterialien Matériaux'!$A:$A,'Baumaterialien Matériaux'!AB:AB,0,0)</f>
        <v>2.5982323566878982</v>
      </c>
      <c r="N55" s="1018">
        <f>$G55*_xlfn.XLOOKUP($F55,'Baumaterialien Matériaux'!$A:$A,'Baumaterialien Matériaux'!AC:AC,0,0)*44/12</f>
        <v>0</v>
      </c>
      <c r="O55" s="1018">
        <f>$G55*_xlfn.XLOOKUP($F55,'Baumaterialien Matériaux'!$A:$A,'Baumaterialien Matériaux'!AG:AG,0,0)</f>
        <v>4.2891454777070059</v>
      </c>
      <c r="P55" s="1356">
        <f>$G55*_xlfn.XLOOKUP($F55,'Baumaterialien Matériaux'!$A:$A,'Baumaterialien Matériaux'!AH:AH,0,0)</f>
        <v>0.55263989808917202</v>
      </c>
      <c r="Q55" s="144"/>
      <c r="R55" s="144"/>
      <c r="S55" s="1344"/>
      <c r="T55" s="1340"/>
    </row>
    <row r="56" spans="1:20" ht="15.75" customHeight="1">
      <c r="A56" s="172"/>
      <c r="B56" s="180"/>
      <c r="C56" s="148" t="s">
        <v>729</v>
      </c>
      <c r="D56" s="181" t="str">
        <f>VLOOKUP(F56,'Baumaterialien Matériaux'!$A$10:$AD$432,30,FALSE)</f>
        <v>Acier d'armature</v>
      </c>
      <c r="E56" s="181" t="str">
        <f>_xlfn.XLOOKUP($F56,'Baumaterialien Matériaux'!$A:$A,'Baumaterialien Matériaux'!G:G,0,0)</f>
        <v>kg</v>
      </c>
      <c r="F56" s="591" t="s">
        <v>687</v>
      </c>
      <c r="G56" s="182">
        <v>2.7</v>
      </c>
      <c r="H56" s="181"/>
      <c r="I56" s="597">
        <v>60</v>
      </c>
      <c r="J56" s="182"/>
      <c r="K56" s="182"/>
      <c r="L56" s="1018">
        <f>$G56*_xlfn.XLOOKUP($F56,'Baumaterialien Matériaux'!$A:$A,'Baumaterialien Matériaux'!AA:AA,0,0)</f>
        <v>2.0871000000000004</v>
      </c>
      <c r="M56" s="1018">
        <f>$G56*_xlfn.XLOOKUP($F56,'Baumaterialien Matériaux'!$A:$A,'Baumaterialien Matériaux'!AB:AB,0,0)</f>
        <v>3.2940000000000004E-2</v>
      </c>
      <c r="N56" s="1018">
        <f>$G56*_xlfn.XLOOKUP($F56,'Baumaterialien Matériaux'!$A:$A,'Baumaterialien Matériaux'!AC:AC,0,0)*44/12</f>
        <v>0</v>
      </c>
      <c r="O56" s="1018">
        <f>$G56*_xlfn.XLOOKUP($F56,'Baumaterialien Matériaux'!$A:$A,'Baumaterialien Matériaux'!AG:AG,0,0)</f>
        <v>0.78569999999999995</v>
      </c>
      <c r="P56" s="1356">
        <f>$G56*_xlfn.XLOOKUP($F56,'Baumaterialien Matériaux'!$A:$A,'Baumaterialien Matériaux'!AH:AH,0,0)</f>
        <v>0</v>
      </c>
      <c r="S56" s="1344"/>
    </row>
    <row r="57" spans="1:20" ht="15.75" customHeight="1">
      <c r="A57" s="172"/>
      <c r="B57" s="180"/>
      <c r="C57" s="148" t="s">
        <v>733</v>
      </c>
      <c r="D57" s="181" t="str">
        <f>VLOOKUP(F57,'Baumaterialien Matériaux'!$A$10:$AD$432,30,FALSE)</f>
        <v>Bois massif épicéa / sapin / mélèze, séché à l'air, brut</v>
      </c>
      <c r="E57" s="181" t="str">
        <f>_xlfn.XLOOKUP($F57,'Baumaterialien Matériaux'!$A:$A,'Baumaterialien Matériaux'!G:G,0,0)</f>
        <v>kg</v>
      </c>
      <c r="F57" s="591" t="s">
        <v>734</v>
      </c>
      <c r="G57" s="182">
        <f>0.13*485</f>
        <v>63.050000000000004</v>
      </c>
      <c r="H57" s="181"/>
      <c r="I57" s="597">
        <v>60</v>
      </c>
      <c r="J57" s="182"/>
      <c r="K57" s="182"/>
      <c r="L57" s="1018">
        <f>$G57*_xlfn.XLOOKUP($F57,'Baumaterialien Matériaux'!$A:$A,'Baumaterialien Matériaux'!AA:AA,0,0)</f>
        <v>5.6997200000000001</v>
      </c>
      <c r="M57" s="1018">
        <f>$G57*_xlfn.XLOOKUP($F57,'Baumaterialien Matériaux'!$A:$A,'Baumaterialien Matériaux'!AB:AB,0,0)</f>
        <v>2.4589500000000002</v>
      </c>
      <c r="N57" s="1018">
        <f>$G57*_xlfn.XLOOKUP($F57,'Baumaterialien Matériaux'!$A:$A,'Baumaterialien Matériaux'!AC:AC,0,0)*44/12</f>
        <v>95.478716666666671</v>
      </c>
      <c r="O57" s="1018">
        <f>$G57*_xlfn.XLOOKUP($F57,'Baumaterialien Matériaux'!$A:$A,'Baumaterialien Matériaux'!AG:AG,0,0)</f>
        <v>1.7401800000000001</v>
      </c>
      <c r="P57" s="1356">
        <f>$G57*_xlfn.XLOOKUP($F57,'Baumaterialien Matériaux'!$A:$A,'Baumaterialien Matériaux'!AH:AH,0,0)</f>
        <v>0.42054350000000001</v>
      </c>
      <c r="S57" s="1344"/>
    </row>
    <row r="58" spans="1:20" s="658" customFormat="1" ht="16.5" customHeight="1" thickBot="1">
      <c r="B58" s="705"/>
      <c r="F58" s="659"/>
      <c r="I58" s="1037"/>
      <c r="L58" s="1027">
        <f t="shared" ref="L58:N58" si="12">SUM(L55:L57)</f>
        <v>26.077550955414011</v>
      </c>
      <c r="M58" s="1027">
        <f t="shared" si="12"/>
        <v>5.0901223566878979</v>
      </c>
      <c r="N58" s="1027">
        <f t="shared" si="12"/>
        <v>95.478716666666671</v>
      </c>
      <c r="O58" s="1027">
        <f t="shared" ref="O58:P58" si="13">SUM(O55:O57)</f>
        <v>6.8150254777070067</v>
      </c>
      <c r="P58" s="1027">
        <f t="shared" si="13"/>
        <v>0.97318339808917198</v>
      </c>
      <c r="Q58" s="144"/>
      <c r="R58" s="1445">
        <f>(L58+M58)/I57</f>
        <v>0.51946122186836519</v>
      </c>
      <c r="S58" s="763">
        <v>0.66</v>
      </c>
    </row>
    <row r="59" spans="1:20" ht="16.5" customHeight="1" thickTop="1">
      <c r="I59" s="1034"/>
      <c r="L59" s="1023"/>
      <c r="M59" s="1023"/>
      <c r="N59" s="1023"/>
      <c r="O59" s="1023"/>
      <c r="P59" s="1023"/>
    </row>
    <row r="60" spans="1:20" s="145" customFormat="1" ht="15.75" customHeight="1">
      <c r="A60" s="720" t="s">
        <v>558</v>
      </c>
      <c r="B60" s="145" t="str">
        <f>'Outil détaillé'!D38</f>
        <v>Escaliers et rampes</v>
      </c>
      <c r="F60" s="714"/>
      <c r="I60" s="1038"/>
      <c r="L60" s="1028"/>
      <c r="M60" s="1028"/>
      <c r="N60" s="1028"/>
      <c r="O60" s="1028"/>
      <c r="P60" s="1028"/>
      <c r="Q60" s="144"/>
      <c r="R60" s="144"/>
    </row>
    <row r="61" spans="1:20" s="710" customFormat="1" ht="16.5" customHeight="1" thickBot="1">
      <c r="A61" s="1282" t="s">
        <v>939</v>
      </c>
      <c r="B61" s="641" t="s">
        <v>837</v>
      </c>
      <c r="C61" s="656" t="s">
        <v>838</v>
      </c>
      <c r="D61" s="624" t="str">
        <f>VLOOKUP(F61,'Baumaterialien Matériaux'!$A$10:$AD$432,30,FALSE)</f>
        <v>Béton pour bâtiment (sans armature)</v>
      </c>
      <c r="E61" s="181" t="str">
        <f>_xlfn.XLOOKUP($F61,'Baumaterialien Matériaux'!$A:$A,'Baumaterialien Matériaux'!G:G,0,0)</f>
        <v>kg</v>
      </c>
      <c r="F61" s="647" t="s">
        <v>685</v>
      </c>
      <c r="G61" s="625">
        <f>(0.25-G62/7850)*2300</f>
        <v>568.40764331210187</v>
      </c>
      <c r="H61" s="624"/>
      <c r="I61" s="627">
        <v>60</v>
      </c>
      <c r="J61" s="625"/>
      <c r="K61" s="625"/>
      <c r="L61" s="1025">
        <f>$G61*_xlfn.XLOOKUP($F61,'Baumaterialien Matériaux'!$A:$A,'Baumaterialien Matériaux'!AA:AA,0,0)</f>
        <v>50.417757961783437</v>
      </c>
      <c r="M61" s="1025">
        <f>$G61*_xlfn.XLOOKUP($F61,'Baumaterialien Matériaux'!$A:$A,'Baumaterialien Matériaux'!AB:AB,0,0)</f>
        <v>7.1619363057324836</v>
      </c>
      <c r="N61" s="1025">
        <f>$G61*_xlfn.XLOOKUP($F61,'Baumaterialien Matériaux'!$A:$A,'Baumaterialien Matériaux'!AC:AC,0,0)*44/12</f>
        <v>0</v>
      </c>
      <c r="O61" s="1025">
        <f>$G61*_xlfn.XLOOKUP($F61,'Baumaterialien Matériaux'!$A:$A,'Baumaterialien Matériaux'!AG:AG,0,0)</f>
        <v>11.822878980891719</v>
      </c>
      <c r="P61" s="1357">
        <f>$G61*_xlfn.XLOOKUP($F61,'Baumaterialien Matériaux'!$A:$A,'Baumaterialien Matériaux'!AH:AH,0,0)</f>
        <v>1.5233324840764331</v>
      </c>
      <c r="Q61" s="144"/>
      <c r="R61" s="144"/>
      <c r="S61" s="1344"/>
    </row>
    <row r="62" spans="1:20" s="626" customFormat="1" ht="16.5" customHeight="1" thickTop="1">
      <c r="A62" s="922"/>
      <c r="B62" s="641"/>
      <c r="C62" s="711" t="s">
        <v>926</v>
      </c>
      <c r="D62" s="624" t="str">
        <f>VLOOKUP(F62,'Baumaterialien Matériaux'!$A$10:$AD$432,30,FALSE)</f>
        <v>Acier d'armature</v>
      </c>
      <c r="E62" s="181" t="str">
        <f>_xlfn.XLOOKUP($F62,'Baumaterialien Matériaux'!$A:$A,'Baumaterialien Matériaux'!G:G,0,0)</f>
        <v>kg</v>
      </c>
      <c r="F62" s="632" t="s">
        <v>687</v>
      </c>
      <c r="G62" s="625">
        <f>90*0.25</f>
        <v>22.5</v>
      </c>
      <c r="H62" s="624"/>
      <c r="I62" s="627">
        <v>60</v>
      </c>
      <c r="J62" s="625"/>
      <c r="K62" s="625"/>
      <c r="L62" s="1025">
        <f>$G62*_xlfn.XLOOKUP($F62,'Baumaterialien Matériaux'!$A:$A,'Baumaterialien Matériaux'!AA:AA,0,0)</f>
        <v>17.392500000000002</v>
      </c>
      <c r="M62" s="1025">
        <f>$G62*_xlfn.XLOOKUP($F62,'Baumaterialien Matériaux'!$A:$A,'Baumaterialien Matériaux'!AB:AB,0,0)</f>
        <v>0.27450000000000002</v>
      </c>
      <c r="N62" s="1025">
        <f>$G62*_xlfn.XLOOKUP($F62,'Baumaterialien Matériaux'!$A:$A,'Baumaterialien Matériaux'!AC:AC,0,0)*44/12</f>
        <v>0</v>
      </c>
      <c r="O62" s="1025">
        <f>$G62*_xlfn.XLOOKUP($F62,'Baumaterialien Matériaux'!$A:$A,'Baumaterialien Matériaux'!AG:AG,0,0)</f>
        <v>6.5474999999999994</v>
      </c>
      <c r="P62" s="1357">
        <f>$G62*_xlfn.XLOOKUP($F62,'Baumaterialien Matériaux'!$A:$A,'Baumaterialien Matériaux'!AH:AH,0,0)</f>
        <v>0</v>
      </c>
      <c r="Q62" s="144"/>
      <c r="R62" s="144"/>
      <c r="S62" s="1344"/>
    </row>
    <row r="63" spans="1:20" s="626" customFormat="1" ht="15.75" customHeight="1">
      <c r="B63" s="641"/>
      <c r="C63" s="656" t="s">
        <v>730</v>
      </c>
      <c r="D63" s="624" t="str">
        <f>VLOOKUP(F63,'Baumaterialien Matériaux'!$A$10:$AD$432,30,FALSE)</f>
        <v>Bois massif 3 et 5 plis</v>
      </c>
      <c r="E63" s="181" t="str">
        <f>_xlfn.XLOOKUP($F63,'Baumaterialien Matériaux'!$A:$A,'Baumaterialien Matériaux'!G:G,0,0)</f>
        <v>kg</v>
      </c>
      <c r="F63" s="632" t="s">
        <v>705</v>
      </c>
      <c r="G63" s="625">
        <f>2/5*0.025*470</f>
        <v>4.7000000000000011</v>
      </c>
      <c r="H63" s="624"/>
      <c r="I63" s="627">
        <v>60</v>
      </c>
      <c r="J63" s="625"/>
      <c r="K63" s="625"/>
      <c r="L63" s="1025">
        <f>$G63*_xlfn.XLOOKUP($F63,'Baumaterialien Matériaux'!$A:$A,'Baumaterialien Matériaux'!AA:AA,0,0)</f>
        <v>1.9458000000000004</v>
      </c>
      <c r="M63" s="1025">
        <f>$G63*_xlfn.XLOOKUP($F63,'Baumaterialien Matériaux'!$A:$A,'Baumaterialien Matériaux'!AB:AB,0,0)</f>
        <v>0.25991000000000009</v>
      </c>
      <c r="N63" s="1025">
        <f>$G63*_xlfn.XLOOKUP($F63,'Baumaterialien Matériaux'!$A:$A,'Baumaterialien Matériaux'!AC:AC,0,0)*44/12</f>
        <v>7.4620333333333342</v>
      </c>
      <c r="O63" s="1025">
        <f>$G63*_xlfn.XLOOKUP($F63,'Baumaterialien Matériaux'!$A:$A,'Baumaterialien Matériaux'!AG:AG,0,0)</f>
        <v>0.65800000000000025</v>
      </c>
      <c r="P63" s="1357">
        <f>$G63*_xlfn.XLOOKUP($F63,'Baumaterialien Matériaux'!$A:$A,'Baumaterialien Matériaux'!AH:AH,0,0)</f>
        <v>0.18283000000000002</v>
      </c>
      <c r="Q63" s="144"/>
      <c r="R63" s="144"/>
      <c r="S63" s="1344"/>
    </row>
    <row r="64" spans="1:20" s="626" customFormat="1" ht="16.5" customHeight="1" thickBot="1">
      <c r="A64" s="923"/>
      <c r="B64" s="712"/>
      <c r="C64" s="663"/>
      <c r="D64" s="666"/>
      <c r="E64" s="663"/>
      <c r="F64" s="665"/>
      <c r="G64" s="663"/>
      <c r="H64" s="663"/>
      <c r="I64" s="1036"/>
      <c r="J64" s="663"/>
      <c r="K64" s="663"/>
      <c r="L64" s="1026">
        <f t="shared" ref="L64:N64" si="14">SUM(L61:L63)</f>
        <v>69.756057961783441</v>
      </c>
      <c r="M64" s="1026">
        <f t="shared" si="14"/>
        <v>7.696346305732483</v>
      </c>
      <c r="N64" s="1026">
        <f t="shared" si="14"/>
        <v>7.4620333333333342</v>
      </c>
      <c r="O64" s="1026">
        <f t="shared" ref="O64:P64" si="15">SUM(O61:O63)</f>
        <v>19.02837898089172</v>
      </c>
      <c r="P64" s="1026">
        <f t="shared" si="15"/>
        <v>1.7061624840764331</v>
      </c>
      <c r="Q64" s="144"/>
      <c r="R64" s="1445">
        <f>(L64+M64)/I63</f>
        <v>1.2908734044585988</v>
      </c>
      <c r="S64" s="763"/>
    </row>
    <row r="65" spans="1:20" ht="16.5" customHeight="1" thickTop="1">
      <c r="I65" s="1034"/>
      <c r="L65" s="1023"/>
      <c r="M65" s="1023"/>
      <c r="N65" s="1023"/>
      <c r="O65" s="1023"/>
      <c r="P65" s="1023"/>
    </row>
    <row r="66" spans="1:20" s="145" customFormat="1" ht="17.25">
      <c r="A66" s="143" t="s">
        <v>940</v>
      </c>
      <c r="B66" s="143" t="str">
        <f>'Outil détaillé'!D40</f>
        <v>Balcons, avant-toits</v>
      </c>
      <c r="C66" s="143"/>
      <c r="D66" s="143"/>
      <c r="E66" s="143"/>
      <c r="F66" s="587"/>
      <c r="G66" s="143" t="s">
        <v>750</v>
      </c>
      <c r="H66" s="143"/>
      <c r="I66" s="1039"/>
      <c r="J66" s="143"/>
      <c r="K66" s="143"/>
      <c r="L66" s="936"/>
      <c r="M66" s="936"/>
      <c r="N66" s="936"/>
      <c r="O66" s="936"/>
      <c r="P66" s="936"/>
      <c r="Q66" s="144"/>
      <c r="R66" s="144"/>
    </row>
    <row r="67" spans="1:20" ht="15.75" customHeight="1">
      <c r="I67" s="1034"/>
      <c r="L67" s="1023"/>
      <c r="M67" s="1023"/>
      <c r="N67" s="1023"/>
      <c r="O67" s="1023"/>
      <c r="P67" s="1023"/>
    </row>
    <row r="68" spans="1:20" s="668" customFormat="1" ht="15.75" customHeight="1">
      <c r="A68" s="1341" t="s">
        <v>561</v>
      </c>
      <c r="B68" s="1576" t="s">
        <v>941</v>
      </c>
      <c r="C68" s="291" t="s">
        <v>942</v>
      </c>
      <c r="D68" s="178" t="str">
        <f>VLOOKUP(F68,'Baumaterialien Matériaux'!$A$10:$AD$432,30,FALSE)</f>
        <v>Béton pour bâtiment (sans armature)</v>
      </c>
      <c r="E68" s="181" t="str">
        <f>_xlfn.XLOOKUP($F68,'Baumaterialien Matériaux'!$A:$A,'Baumaterialien Matériaux'!G:G,0,0)</f>
        <v>kg</v>
      </c>
      <c r="F68" s="703" t="s">
        <v>685</v>
      </c>
      <c r="G68" s="281">
        <f>0.326/1.6*2300</f>
        <v>468.62499999999994</v>
      </c>
      <c r="H68" s="178"/>
      <c r="I68" s="286">
        <v>40</v>
      </c>
      <c r="J68" s="281"/>
      <c r="K68" s="281"/>
      <c r="L68" s="1021">
        <f>$G68*_xlfn.XLOOKUP($F68,'Baumaterialien Matériaux'!$A:$A,'Baumaterialien Matériaux'!AA:AA,0,0)</f>
        <v>41.567037499999998</v>
      </c>
      <c r="M68" s="1021">
        <f>$G68*_xlfn.XLOOKUP($F68,'Baumaterialien Matériaux'!$A:$A,'Baumaterialien Matériaux'!AB:AB,0,0)</f>
        <v>5.9046749999999992</v>
      </c>
      <c r="N68" s="1021">
        <f>$G68*_xlfn.XLOOKUP($F68,'Baumaterialien Matériaux'!$A:$A,'Baumaterialien Matériaux'!AC:AC,0,0)*44/12</f>
        <v>0</v>
      </c>
      <c r="O68" s="1021">
        <f>$G68*_xlfn.XLOOKUP($F68,'Baumaterialien Matériaux'!$A:$A,'Baumaterialien Matériaux'!AG:AG,0,0)</f>
        <v>9.747399999999999</v>
      </c>
      <c r="P68" s="1346">
        <f>$G68*_xlfn.XLOOKUP($F68,'Baumaterialien Matériaux'!$A:$A,'Baumaterialien Matériaux'!AH:AH,0,0)</f>
        <v>1.2559149999999999</v>
      </c>
      <c r="Q68" s="144"/>
      <c r="R68" s="144"/>
      <c r="S68" s="1343"/>
      <c r="T68" s="1341"/>
    </row>
    <row r="69" spans="1:20" s="172" customFormat="1" ht="15.75" customHeight="1">
      <c r="B69" s="1576"/>
      <c r="C69" s="291" t="s">
        <v>943</v>
      </c>
      <c r="D69" s="178" t="str">
        <f>VLOOKUP(F69,'Baumaterialien Matériaux'!$A$10:$AD$432,30,FALSE)</f>
        <v>Acier d'armature</v>
      </c>
      <c r="E69" s="181" t="str">
        <f>_xlfn.XLOOKUP($F69,'Baumaterialien Matériaux'!$A:$A,'Baumaterialien Matériaux'!G:G,0,0)</f>
        <v>kg</v>
      </c>
      <c r="F69" s="606" t="s">
        <v>687</v>
      </c>
      <c r="G69" s="281">
        <f>28.05/1.6</f>
        <v>17.53125</v>
      </c>
      <c r="H69" s="178"/>
      <c r="I69" s="286">
        <v>40</v>
      </c>
      <c r="J69" s="281"/>
      <c r="K69" s="281"/>
      <c r="L69" s="1021">
        <f>$G69*_xlfn.XLOOKUP($F69,'Baumaterialien Matériaux'!$A:$A,'Baumaterialien Matériaux'!AA:AA,0,0)</f>
        <v>13.551656250000001</v>
      </c>
      <c r="M69" s="1021">
        <f>$G69*_xlfn.XLOOKUP($F69,'Baumaterialien Matériaux'!$A:$A,'Baumaterialien Matériaux'!AB:AB,0,0)</f>
        <v>0.21388125000000002</v>
      </c>
      <c r="N69" s="1021">
        <f>$G69*_xlfn.XLOOKUP($F69,'Baumaterialien Matériaux'!$A:$A,'Baumaterialien Matériaux'!AC:AC,0,0)*44/12</f>
        <v>0</v>
      </c>
      <c r="O69" s="1021">
        <f>$G69*_xlfn.XLOOKUP($F69,'Baumaterialien Matériaux'!$A:$A,'Baumaterialien Matériaux'!AG:AG,0,0)</f>
        <v>5.1015937499999993</v>
      </c>
      <c r="P69" s="1346">
        <f>$G69*_xlfn.XLOOKUP($F69,'Baumaterialien Matériaux'!$A:$A,'Baumaterialien Matériaux'!AH:AH,0,0)</f>
        <v>0</v>
      </c>
      <c r="Q69" s="144"/>
      <c r="R69" s="144"/>
      <c r="S69" s="1343"/>
    </row>
    <row r="70" spans="1:20" s="172" customFormat="1" ht="15.75" customHeight="1">
      <c r="B70" s="1576"/>
      <c r="C70" s="291" t="s">
        <v>847</v>
      </c>
      <c r="D70" s="178" t="str">
        <f>VLOOKUP(F70,'Baumaterialien Matériaux'!$A$10:$AD$432,30,FALSE)</f>
        <v>Bois massif 3 et 5 plis</v>
      </c>
      <c r="E70" s="181" t="str">
        <f>_xlfn.XLOOKUP($F70,'Baumaterialien Matériaux'!$A:$A,'Baumaterialien Matériaux'!G:G,0,0)</f>
        <v>kg</v>
      </c>
      <c r="F70" s="316" t="s">
        <v>705</v>
      </c>
      <c r="G70" s="281">
        <f>2/5*0.025*470</f>
        <v>4.7000000000000011</v>
      </c>
      <c r="H70" s="178"/>
      <c r="I70" s="286">
        <v>40</v>
      </c>
      <c r="J70" s="281"/>
      <c r="K70" s="281"/>
      <c r="L70" s="1021">
        <f>$G70*_xlfn.XLOOKUP($F70,'Baumaterialien Matériaux'!$A:$A,'Baumaterialien Matériaux'!AA:AA,0,0)</f>
        <v>1.9458000000000004</v>
      </c>
      <c r="M70" s="1021">
        <f>$G70*_xlfn.XLOOKUP($F70,'Baumaterialien Matériaux'!$A:$A,'Baumaterialien Matériaux'!AB:AB,0,0)</f>
        <v>0.25991000000000009</v>
      </c>
      <c r="N70" s="1021">
        <f>$G70*_xlfn.XLOOKUP($F70,'Baumaterialien Matériaux'!$A:$A,'Baumaterialien Matériaux'!AC:AC,0,0)*44/12</f>
        <v>7.4620333333333342</v>
      </c>
      <c r="O70" s="1021">
        <f>$G70*_xlfn.XLOOKUP($F70,'Baumaterialien Matériaux'!$A:$A,'Baumaterialien Matériaux'!AG:AG,0,0)</f>
        <v>0.65800000000000025</v>
      </c>
      <c r="P70" s="1346">
        <f>$G70*_xlfn.XLOOKUP($F70,'Baumaterialien Matériaux'!$A:$A,'Baumaterialien Matériaux'!AH:AH,0,0)</f>
        <v>0.18283000000000002</v>
      </c>
      <c r="Q70" s="144"/>
      <c r="R70" s="144"/>
      <c r="S70" s="1343"/>
    </row>
    <row r="71" spans="1:20" s="172" customFormat="1" ht="15.75" customHeight="1">
      <c r="B71" s="1576"/>
      <c r="C71" s="291" t="s">
        <v>944</v>
      </c>
      <c r="D71" s="178" t="str">
        <f>VLOOKUP(F71,'Baumaterialien Matériaux'!$A$10:$AD$432,30,FALSE)</f>
        <v>Tôle d'acier nickel-chrome 18/8, nue</v>
      </c>
      <c r="E71" s="181" t="str">
        <f>_xlfn.XLOOKUP($F71,'Baumaterialien Matériaux'!$A:$A,'Baumaterialien Matériaux'!G:G,0,0)</f>
        <v>kg</v>
      </c>
      <c r="F71" s="606" t="s">
        <v>769</v>
      </c>
      <c r="G71" s="281">
        <f>7.52/1.6</f>
        <v>4.6999999999999993</v>
      </c>
      <c r="H71" s="178"/>
      <c r="I71" s="286">
        <v>40</v>
      </c>
      <c r="J71" s="281"/>
      <c r="K71" s="281"/>
      <c r="L71" s="1021">
        <f>$G71*_xlfn.XLOOKUP($F71,'Baumaterialien Matériaux'!$A:$A,'Baumaterialien Matériaux'!AA:AA,0,0)</f>
        <v>19.317</v>
      </c>
      <c r="M71" s="1021">
        <f>$G71*_xlfn.XLOOKUP($F71,'Baumaterialien Matériaux'!$A:$A,'Baumaterialien Matériaux'!AB:AB,0,0)</f>
        <v>3.2570999999999996E-2</v>
      </c>
      <c r="N71" s="1021">
        <f>$G71*_xlfn.XLOOKUP($F71,'Baumaterialien Matériaux'!$A:$A,'Baumaterialien Matériaux'!AC:AC,0,0)*44/12</f>
        <v>0</v>
      </c>
      <c r="O71" s="1021">
        <f>$G71*_xlfn.XLOOKUP($F71,'Baumaterialien Matériaux'!$A:$A,'Baumaterialien Matériaux'!AG:AG,0,0)</f>
        <v>5.2169999999999996</v>
      </c>
      <c r="P71" s="1346">
        <f>$G71*_xlfn.XLOOKUP($F71,'Baumaterialien Matériaux'!$A:$A,'Baumaterialien Matériaux'!AH:AH,0,0)</f>
        <v>0</v>
      </c>
      <c r="Q71" s="144"/>
      <c r="R71" s="144"/>
      <c r="S71" s="1343"/>
    </row>
    <row r="72" spans="1:20" s="172" customFormat="1" ht="15.75" customHeight="1">
      <c r="B72" s="1576"/>
      <c r="C72" s="291" t="s">
        <v>945</v>
      </c>
      <c r="D72" s="178" t="str">
        <f>VLOOKUP(F72,'Baumaterialien Matériaux'!$A$10:$AD$432,30,FALSE)</f>
        <v>Polystyrène extrudé (XPS)</v>
      </c>
      <c r="E72" s="181" t="str">
        <f>_xlfn.XLOOKUP($F72,'Baumaterialien Matériaux'!$A:$A,'Baumaterialien Matériaux'!G:G,0,0)</f>
        <v>kg</v>
      </c>
      <c r="F72" s="606" t="s">
        <v>696</v>
      </c>
      <c r="G72" s="281">
        <f>0.48/1.6</f>
        <v>0.3</v>
      </c>
      <c r="H72" s="178"/>
      <c r="I72" s="286">
        <v>40</v>
      </c>
      <c r="J72" s="281"/>
      <c r="K72" s="281"/>
      <c r="L72" s="1021">
        <f>$G72*_xlfn.XLOOKUP($F72,'Baumaterialien Matériaux'!$A:$A,'Baumaterialien Matériaux'!AA:AA,0,0)</f>
        <v>3.39</v>
      </c>
      <c r="M72" s="1021">
        <f>$G72*_xlfn.XLOOKUP($F72,'Baumaterialien Matériaux'!$A:$A,'Baumaterialien Matériaux'!AB:AB,0,0)</f>
        <v>0.92699999999999994</v>
      </c>
      <c r="N72" s="1021">
        <f>$G72*_xlfn.XLOOKUP($F72,'Baumaterialien Matériaux'!$A:$A,'Baumaterialien Matériaux'!AC:AC,0,0)*44/12</f>
        <v>0</v>
      </c>
      <c r="O72" s="1021">
        <f>$G72*_xlfn.XLOOKUP($F72,'Baumaterialien Matériaux'!$A:$A,'Baumaterialien Matériaux'!AG:AG,0,0)</f>
        <v>0.52500000000000002</v>
      </c>
      <c r="P72" s="1346">
        <f>$G72*_xlfn.XLOOKUP($F72,'Baumaterialien Matériaux'!$A:$A,'Baumaterialien Matériaux'!AH:AH,0,0)</f>
        <v>0.21179999999999999</v>
      </c>
      <c r="Q72" s="144"/>
      <c r="R72" s="144"/>
      <c r="S72" s="1343"/>
    </row>
    <row r="73" spans="1:20" s="172" customFormat="1" ht="15.75" customHeight="1">
      <c r="B73" s="1576"/>
      <c r="C73" s="291" t="s">
        <v>946</v>
      </c>
      <c r="D73" s="178" t="str">
        <f>VLOOKUP(F73,'Baumaterialien Matériaux'!$A$10:$AD$432,30,FALSE)</f>
        <v>Béton dur, 1 couche, 27,5 mm</v>
      </c>
      <c r="E73" s="181" t="str">
        <f>_xlfn.XLOOKUP($F73,'Baumaterialien Matériaux'!$A:$A,'Baumaterialien Matériaux'!G:G,0,0)</f>
        <v>m2</v>
      </c>
      <c r="F73" s="607" t="s">
        <v>947</v>
      </c>
      <c r="G73" s="281">
        <f>0.032/1.6*2100/57.8</f>
        <v>0.72664359861591699</v>
      </c>
      <c r="H73" s="178"/>
      <c r="I73" s="286">
        <v>40</v>
      </c>
      <c r="J73" s="281"/>
      <c r="K73" s="281"/>
      <c r="L73" s="1021">
        <f>$G73*_xlfn.XLOOKUP($F73,'Baumaterialien Matériaux'!$A:$A,'Baumaterialien Matériaux'!AA:AA,0,0)</f>
        <v>11.408304498269896</v>
      </c>
      <c r="M73" s="1021">
        <f>$G73*_xlfn.XLOOKUP($F73,'Baumaterialien Matériaux'!$A:$A,'Baumaterialien Matériaux'!AB:AB,0,0)</f>
        <v>0.53262975778546717</v>
      </c>
      <c r="N73" s="1021">
        <f>$G73*_xlfn.XLOOKUP($F73,'Baumaterialien Matériaux'!$A:$A,'Baumaterialien Matériaux'!AC:AC,0,0)*44/12</f>
        <v>0</v>
      </c>
      <c r="O73" s="1021">
        <f>$G73*_xlfn.XLOOKUP($F73,'Baumaterialien Matériaux'!$A:$A,'Baumaterialien Matériaux'!AG:AG,0,0)</f>
        <v>4.7595155709342558</v>
      </c>
      <c r="P73" s="1346">
        <f>$G73*_xlfn.XLOOKUP($F73,'Baumaterialien Matériaux'!$A:$A,'Baumaterialien Matériaux'!AH:AH,0,0)</f>
        <v>1.9401384083044985E-2</v>
      </c>
      <c r="Q73" s="144"/>
      <c r="R73" s="144"/>
      <c r="S73" s="1343"/>
    </row>
    <row r="74" spans="1:20" s="172" customFormat="1" ht="15.75" customHeight="1">
      <c r="B74" s="1576"/>
      <c r="C74" s="291" t="s">
        <v>948</v>
      </c>
      <c r="D74" s="178" t="str">
        <f>VLOOKUP(F74,'Baumaterialien Matériaux'!$A$10:$AD$432,30,FALSE)</f>
        <v>Tôle d'acier, zinguée</v>
      </c>
      <c r="E74" s="181" t="str">
        <f>_xlfn.XLOOKUP($F74,'Baumaterialien Matériaux'!$A:$A,'Baumaterialien Matériaux'!G:G,0,0)</f>
        <v>kg</v>
      </c>
      <c r="F74" s="606" t="s">
        <v>772</v>
      </c>
      <c r="G74" s="281">
        <f>20.82/1.6</f>
        <v>13.012499999999999</v>
      </c>
      <c r="H74" s="178"/>
      <c r="I74" s="286">
        <v>40</v>
      </c>
      <c r="J74" s="281"/>
      <c r="K74" s="281"/>
      <c r="L74" s="1021">
        <f>$G74*_xlfn.XLOOKUP($F74,'Baumaterialien Matériaux'!$A:$A,'Baumaterialien Matériaux'!AA:AA,0,0)</f>
        <v>58.295999999999999</v>
      </c>
      <c r="M74" s="1021">
        <f>$G74*_xlfn.XLOOKUP($F74,'Baumaterialien Matériaux'!$A:$A,'Baumaterialien Matériaux'!AB:AB,0,0)</f>
        <v>9.0176624999999996E-2</v>
      </c>
      <c r="N74" s="1021">
        <f>$G74*_xlfn.XLOOKUP($F74,'Baumaterialien Matériaux'!$A:$A,'Baumaterialien Matériaux'!AC:AC,0,0)*44/12</f>
        <v>0</v>
      </c>
      <c r="O74" s="1021">
        <f>$G74*_xlfn.XLOOKUP($F74,'Baumaterialien Matériaux'!$A:$A,'Baumaterialien Matériaux'!AG:AG,0,0)</f>
        <v>22.641749999999998</v>
      </c>
      <c r="P74" s="1346">
        <f>$G74*_xlfn.XLOOKUP($F74,'Baumaterialien Matériaux'!$A:$A,'Baumaterialien Matériaux'!AH:AH,0,0)</f>
        <v>0</v>
      </c>
      <c r="Q74" s="144"/>
      <c r="R74" s="144"/>
      <c r="S74" s="1343"/>
    </row>
    <row r="75" spans="1:20" s="676" customFormat="1" ht="16.5" customHeight="1" thickBot="1">
      <c r="B75" s="706"/>
      <c r="F75" s="685"/>
      <c r="I75" s="1033">
        <v>40</v>
      </c>
      <c r="L75" s="1022">
        <f t="shared" ref="L75:N75" si="16">SUM(L68:L74)</f>
        <v>149.47579824826991</v>
      </c>
      <c r="M75" s="1022">
        <f t="shared" si="16"/>
        <v>7.9608436327854655</v>
      </c>
      <c r="N75" s="1022">
        <f t="shared" si="16"/>
        <v>7.4620333333333342</v>
      </c>
      <c r="O75" s="1022">
        <f t="shared" ref="O75:P75" si="17">SUM(O68:O74)</f>
        <v>48.650259320934254</v>
      </c>
      <c r="P75" s="1022">
        <f t="shared" si="17"/>
        <v>1.6699463840830449</v>
      </c>
      <c r="Q75" s="144"/>
      <c r="R75" s="1445">
        <f>(L75+M75)/I74</f>
        <v>3.9359160470263843</v>
      </c>
      <c r="S75" s="763">
        <v>3.52</v>
      </c>
    </row>
    <row r="76" spans="1:20" s="1469" customFormat="1" ht="16.5" customHeight="1" thickTop="1">
      <c r="F76" s="1470"/>
      <c r="I76" s="1471"/>
      <c r="L76" s="1472"/>
      <c r="M76" s="1472"/>
      <c r="N76" s="1472"/>
      <c r="O76" s="1472"/>
      <c r="P76" s="1472"/>
      <c r="Q76" s="144"/>
      <c r="R76" s="1445"/>
      <c r="S76" s="763"/>
    </row>
    <row r="77" spans="1:20" s="1415" customFormat="1" ht="15.75" outlineLevel="1">
      <c r="A77" s="1415" t="s">
        <v>3813</v>
      </c>
      <c r="C77" s="1340" t="s">
        <v>3811</v>
      </c>
      <c r="D77" s="178" t="s">
        <v>1923</v>
      </c>
      <c r="E77" s="1473" t="s">
        <v>294</v>
      </c>
      <c r="F77" s="1476" t="s">
        <v>766</v>
      </c>
      <c r="G77" s="286">
        <v>27.745000000000001</v>
      </c>
      <c r="H77" s="285"/>
      <c r="I77" s="285">
        <v>40</v>
      </c>
      <c r="J77" s="1474"/>
      <c r="K77" s="281"/>
      <c r="L77" s="1021">
        <f>$G77*_xlfn.XLOOKUP($F77,'Baumaterialien Matériaux'!$A:$A,'Baumaterialien Matériaux'!AA:AA,0,0)</f>
        <v>3.7178300000000002</v>
      </c>
      <c r="M77" s="1021">
        <f>$G77*_xlfn.XLOOKUP($F77,'Baumaterialien Matériaux'!$A:$A,'Baumaterialien Matériaux'!AB:AB,0,0)</f>
        <v>1.082055</v>
      </c>
      <c r="N77" s="1021">
        <f>$G77*_xlfn.XLOOKUP($F77,'Baumaterialien Matériaux'!$A:$A,'Baumaterialien Matériaux'!AC:AC,0,0)*44/12</f>
        <v>45.880981666666663</v>
      </c>
      <c r="O77" s="1021">
        <f>$G77*_xlfn.XLOOKUP($F77,'Baumaterialien Matériaux'!$A:$A,'Baumaterialien Matériaux'!AG:AG,0,0)</f>
        <v>1.1930349999999998</v>
      </c>
      <c r="P77" s="1346">
        <f>$G77*_xlfn.XLOOKUP($F77,'Baumaterialien Matériaux'!$A:$A,'Baumaterialien Matériaux'!AH:AH,0,0)</f>
        <v>0.20198360000000001</v>
      </c>
      <c r="Q77" s="1353"/>
      <c r="R77" s="1353"/>
      <c r="S77" s="1477"/>
      <c r="T77" s="1478"/>
    </row>
    <row r="78" spans="1:20" s="1479" customFormat="1" ht="15.75" outlineLevel="1">
      <c r="C78" s="1452" t="s">
        <v>3812</v>
      </c>
      <c r="D78" s="178" t="s">
        <v>1942</v>
      </c>
      <c r="E78" s="1473" t="s">
        <v>294</v>
      </c>
      <c r="F78" s="1475" t="s">
        <v>734</v>
      </c>
      <c r="G78" s="286">
        <v>21.3</v>
      </c>
      <c r="H78" s="997"/>
      <c r="I78" s="285">
        <v>40</v>
      </c>
      <c r="J78" s="1474"/>
      <c r="K78" s="281"/>
      <c r="L78" s="1021">
        <f>$G78*_xlfn.XLOOKUP($F78,'Baumaterialien Matériaux'!$A:$A,'Baumaterialien Matériaux'!AA:AA,0,0)</f>
        <v>1.9255199999999999</v>
      </c>
      <c r="M78" s="1021">
        <f>$G78*_xlfn.XLOOKUP($F78,'Baumaterialien Matériaux'!$A:$A,'Baumaterialien Matériaux'!AB:AB,0,0)</f>
        <v>0.83069999999999999</v>
      </c>
      <c r="N78" s="1021">
        <f>$G78*_xlfn.XLOOKUP($F78,'Baumaterialien Matériaux'!$A:$A,'Baumaterialien Matériaux'!AC:AC,0,0)*44/12</f>
        <v>32.255299999999998</v>
      </c>
      <c r="O78" s="1021">
        <f>$G78*_xlfn.XLOOKUP($F78,'Baumaterialien Matériaux'!$A:$A,'Baumaterialien Matériaux'!AG:AG,0,0)</f>
        <v>0.58787999999999996</v>
      </c>
      <c r="P78" s="1346">
        <f>$G78*_xlfn.XLOOKUP($F78,'Baumaterialien Matériaux'!$A:$A,'Baumaterialien Matériaux'!AH:AH,0,0)</f>
        <v>0.142071</v>
      </c>
      <c r="Q78" s="1464"/>
      <c r="R78" s="1464"/>
      <c r="S78" s="1480"/>
      <c r="T78" s="1481"/>
    </row>
    <row r="79" spans="1:20" s="1469" customFormat="1" ht="15.75" customHeight="1">
      <c r="B79" s="1443"/>
      <c r="C79" s="291" t="s">
        <v>945</v>
      </c>
      <c r="D79" s="178" t="str">
        <f>VLOOKUP(F79,'Baumaterialien Matériaux'!$A$10:$AD$432,30,FALSE)</f>
        <v>Polystyrène extrudé (XPS)</v>
      </c>
      <c r="E79" s="181" t="str">
        <f>_xlfn.XLOOKUP($F79,'Baumaterialien Matériaux'!$A:$A,'Baumaterialien Matériaux'!G:G,0,0)</f>
        <v>kg</v>
      </c>
      <c r="F79" s="606" t="s">
        <v>696</v>
      </c>
      <c r="G79" s="281">
        <f>0.48/1.6</f>
        <v>0.3</v>
      </c>
      <c r="H79" s="178"/>
      <c r="I79" s="286">
        <v>40</v>
      </c>
      <c r="J79" s="281"/>
      <c r="K79" s="281"/>
      <c r="L79" s="1021">
        <f>$G79*_xlfn.XLOOKUP($F79,'Baumaterialien Matériaux'!$A:$A,'Baumaterialien Matériaux'!AA:AA,0,0)</f>
        <v>3.39</v>
      </c>
      <c r="M79" s="1021">
        <f>$G79*_xlfn.XLOOKUP($F79,'Baumaterialien Matériaux'!$A:$A,'Baumaterialien Matériaux'!AB:AB,0,0)</f>
        <v>0.92699999999999994</v>
      </c>
      <c r="N79" s="1021">
        <f>$G79*_xlfn.XLOOKUP($F79,'Baumaterialien Matériaux'!$A:$A,'Baumaterialien Matériaux'!AC:AC,0,0)*44/12</f>
        <v>0</v>
      </c>
      <c r="O79" s="1021">
        <f>$G79*_xlfn.XLOOKUP($F79,'Baumaterialien Matériaux'!$A:$A,'Baumaterialien Matériaux'!AG:AG,0,0)</f>
        <v>0.52500000000000002</v>
      </c>
      <c r="P79" s="1346">
        <f>$G79*_xlfn.XLOOKUP($F79,'Baumaterialien Matériaux'!$A:$A,'Baumaterialien Matériaux'!AH:AH,0,0)</f>
        <v>0.21179999999999999</v>
      </c>
      <c r="Q79" s="1464"/>
      <c r="R79" s="1464"/>
      <c r="S79" s="1480"/>
    </row>
    <row r="80" spans="1:20" s="676" customFormat="1" ht="16.5" customHeight="1" thickBot="1">
      <c r="B80" s="706"/>
      <c r="F80" s="685"/>
      <c r="I80" s="1033">
        <v>40</v>
      </c>
      <c r="L80" s="1022">
        <f>SUM(L77:L79)</f>
        <v>9.0333500000000004</v>
      </c>
      <c r="M80" s="1022">
        <f>SUM(M77:M79)</f>
        <v>2.8397549999999998</v>
      </c>
      <c r="N80" s="1022">
        <f>SUM(N77:N79)</f>
        <v>78.136281666666662</v>
      </c>
      <c r="O80" s="1022">
        <f>SUM(O77:O79)</f>
        <v>2.3059149999999997</v>
      </c>
      <c r="P80" s="1022">
        <f>SUM(P77:P79)</f>
        <v>0.55585459999999998</v>
      </c>
      <c r="Q80" s="1354"/>
      <c r="R80" s="1459">
        <f>(L80+M80)/I79</f>
        <v>0.29682762500000004</v>
      </c>
      <c r="S80" s="1467">
        <v>3.52</v>
      </c>
    </row>
    <row r="81" spans="1:20" s="1469" customFormat="1" ht="16.5" customHeight="1" thickTop="1">
      <c r="F81" s="1470"/>
      <c r="I81" s="1471"/>
      <c r="L81" s="1472"/>
      <c r="M81" s="1472"/>
      <c r="N81" s="1472"/>
      <c r="O81" s="1472"/>
      <c r="P81" s="1472"/>
      <c r="Q81" s="144"/>
      <c r="R81" s="1445"/>
      <c r="S81" s="763"/>
    </row>
    <row r="82" spans="1:20" s="145" customFormat="1" ht="15.75" customHeight="1">
      <c r="A82" s="143" t="s">
        <v>563</v>
      </c>
      <c r="B82" s="143" t="str">
        <f>'Outil détaillé'!D42</f>
        <v>Portes</v>
      </c>
      <c r="C82" s="143"/>
      <c r="D82" s="143"/>
      <c r="E82" s="143"/>
      <c r="F82" s="587"/>
      <c r="G82" s="143"/>
      <c r="H82" s="143"/>
      <c r="I82" s="1039"/>
      <c r="J82" s="143"/>
      <c r="K82" s="143"/>
      <c r="L82" s="936"/>
      <c r="M82" s="936"/>
      <c r="N82" s="936"/>
      <c r="O82" s="936"/>
      <c r="P82" s="936"/>
      <c r="Q82" s="144"/>
      <c r="R82" s="144"/>
    </row>
    <row r="83" spans="1:20" s="710" customFormat="1" ht="16.5" customHeight="1" thickBot="1">
      <c r="A83" s="710" t="s">
        <v>949</v>
      </c>
      <c r="C83" s="710" t="s">
        <v>950</v>
      </c>
      <c r="D83" s="710" t="str">
        <f>VLOOKUP(F83,'Baumaterialien Matériaux'!$A$10:$AD$432,30,FALSE)</f>
        <v>Porte intérieure, porte fonctionnelle, bois, cadre en bois</v>
      </c>
      <c r="E83" s="181" t="str">
        <f>_xlfn.XLOOKUP($F83,'Baumaterialien Matériaux'!$A:$A,'Baumaterialien Matériaux'!G:G,0,0)</f>
        <v>m2</v>
      </c>
      <c r="F83" s="713" t="s">
        <v>951</v>
      </c>
      <c r="G83" s="710">
        <v>1</v>
      </c>
      <c r="I83" s="1040">
        <v>30</v>
      </c>
      <c r="L83" s="1029">
        <f>$G83*_xlfn.XLOOKUP($F83,'Baumaterialien Matériaux'!$A:$A,'Baumaterialien Matériaux'!AA:AA,0,0)</f>
        <v>37.4</v>
      </c>
      <c r="M83" s="1029">
        <f>$G83*_xlfn.XLOOKUP($F83,'Baumaterialien Matériaux'!$A:$A,'Baumaterialien Matériaux'!AB:AB,0,0)</f>
        <v>6.86</v>
      </c>
      <c r="N83" s="1029">
        <f>$G83*_xlfn.XLOOKUP($F83,'Baumaterialien Matériaux'!$A:$A,'Baumaterialien Matériaux'!AC:AC,0,0)*44/12</f>
        <v>63.433333333333337</v>
      </c>
      <c r="O83" s="1029">
        <f>$G83*_xlfn.XLOOKUP($F83,'Baumaterialien Matériaux'!$A:$A,'Baumaterialien Matériaux'!AG:AG,0,0)</f>
        <v>22.6</v>
      </c>
      <c r="P83" s="1029">
        <f>$G83*_xlfn.XLOOKUP($F83,'Baumaterialien Matériaux'!$A:$A,'Baumaterialien Matériaux'!AH:AH,0,0)</f>
        <v>3.55</v>
      </c>
      <c r="Q83" s="144"/>
      <c r="R83" s="144"/>
      <c r="S83" s="145"/>
    </row>
    <row r="84" spans="1:20" ht="16.5" customHeight="1" thickTop="1">
      <c r="I84" s="1034"/>
      <c r="L84" s="1023"/>
      <c r="M84" s="1023"/>
      <c r="N84" s="1023"/>
      <c r="O84" s="1023"/>
      <c r="P84" s="1023"/>
    </row>
    <row r="85" spans="1:20" ht="15.75" customHeight="1">
      <c r="I85" s="1034"/>
      <c r="L85" s="1023"/>
      <c r="M85" s="1023"/>
      <c r="N85" s="1023"/>
      <c r="O85" s="1023"/>
      <c r="P85" s="1023"/>
    </row>
    <row r="86" spans="1:20" ht="15.75" customHeight="1">
      <c r="I86" s="1034"/>
      <c r="L86" s="1023"/>
      <c r="M86" s="1023"/>
      <c r="N86" s="1023"/>
      <c r="O86" s="1023"/>
      <c r="P86" s="1023"/>
    </row>
    <row r="87" spans="1:20" s="145" customFormat="1" ht="17.25">
      <c r="A87" s="143" t="s">
        <v>952</v>
      </c>
      <c r="B87" s="143" t="str">
        <f>'Outil détaillé'!D44</f>
        <v>Revetements de sols</v>
      </c>
      <c r="C87" s="143"/>
      <c r="D87" s="143"/>
      <c r="E87" s="143"/>
      <c r="F87" s="587"/>
      <c r="G87" s="144" t="s">
        <v>750</v>
      </c>
      <c r="H87" s="143"/>
      <c r="I87" s="1035"/>
      <c r="J87" s="144"/>
      <c r="K87" s="144"/>
      <c r="L87" s="1024"/>
      <c r="M87" s="1024"/>
      <c r="N87" s="1024"/>
      <c r="O87" s="1024"/>
      <c r="P87" s="1024"/>
      <c r="Q87" s="144"/>
      <c r="R87" s="144"/>
    </row>
    <row r="88" spans="1:20" ht="15.75" customHeight="1">
      <c r="I88" s="1034"/>
      <c r="L88" s="1023"/>
      <c r="M88" s="1023"/>
      <c r="N88" s="1023"/>
      <c r="O88" s="1023"/>
      <c r="P88" s="1023"/>
    </row>
    <row r="89" spans="1:20" s="160" customFormat="1" ht="15.75" customHeight="1">
      <c r="A89" s="1341" t="s">
        <v>953</v>
      </c>
      <c r="B89" s="1569" t="s">
        <v>954</v>
      </c>
      <c r="C89" s="148" t="s">
        <v>955</v>
      </c>
      <c r="D89" s="181" t="str">
        <f>VLOOKUP(F89,'Baumaterialien Matériaux'!$A$10:$AD$432,30,FALSE)</f>
        <v>Linoléum, 2,5 mm</v>
      </c>
      <c r="E89" s="181" t="str">
        <f>_xlfn.XLOOKUP($F89,'Baumaterialien Matériaux'!$A:$A,'Baumaterialien Matériaux'!G:G,0,0)</f>
        <v>m2</v>
      </c>
      <c r="F89" s="593" t="s">
        <v>956</v>
      </c>
      <c r="G89" s="182">
        <v>1</v>
      </c>
      <c r="H89" s="181"/>
      <c r="I89" s="597">
        <v>30</v>
      </c>
      <c r="J89" s="182"/>
      <c r="K89" s="182"/>
      <c r="L89" s="1018">
        <f>$G89*_xlfn.XLOOKUP($F89,'Baumaterialien Matériaux'!$A:$A,'Baumaterialien Matériaux'!AA:AA,0,0)</f>
        <v>5.84</v>
      </c>
      <c r="M89" s="1018">
        <f>$G89*_xlfn.XLOOKUP($F89,'Baumaterialien Matériaux'!$A:$A,'Baumaterialien Matériaux'!AB:AB,0,0)</f>
        <v>0.51600000000000001</v>
      </c>
      <c r="N89" s="1018">
        <f>$G89*_xlfn.XLOOKUP($F89,'Baumaterialien Matériaux'!$A:$A,'Baumaterialien Matériaux'!AC:AC,0,0)*44/12</f>
        <v>2.8820000000000001</v>
      </c>
      <c r="O89" s="1018">
        <f>$G89*_xlfn.XLOOKUP($F89,'Baumaterialien Matériaux'!$A:$A,'Baumaterialien Matériaux'!AG:AG,0,0)</f>
        <v>4.0199999999999996</v>
      </c>
      <c r="P89" s="1356">
        <f>$G89*_xlfn.XLOOKUP($F89,'Baumaterialien Matériaux'!$A:$A,'Baumaterialien Matériaux'!AH:AH,0,0)</f>
        <v>0.17299999999999999</v>
      </c>
      <c r="Q89" s="144"/>
      <c r="R89" s="144"/>
      <c r="S89" s="1343"/>
      <c r="T89" s="1340"/>
    </row>
    <row r="90" spans="1:20" ht="15.75" customHeight="1">
      <c r="A90" s="172"/>
      <c r="B90" s="1569"/>
      <c r="C90" s="148" t="s">
        <v>957</v>
      </c>
      <c r="D90" s="181" t="str">
        <f>VLOOKUP(F90,'Baumaterialien Matériaux'!$A$10:$AD$432,30,FALSE)</f>
        <v>Colle bicomposant</v>
      </c>
      <c r="E90" s="181" t="str">
        <f>_xlfn.XLOOKUP($F90,'Baumaterialien Matériaux'!$A:$A,'Baumaterialien Matériaux'!G:G,0,0)</f>
        <v>kg</v>
      </c>
      <c r="F90" s="605" t="s">
        <v>855</v>
      </c>
      <c r="G90" s="182">
        <v>0.4</v>
      </c>
      <c r="H90" s="181"/>
      <c r="I90" s="597">
        <v>30</v>
      </c>
      <c r="J90" s="182"/>
      <c r="K90" s="182"/>
      <c r="L90" s="1018">
        <f>$G90*_xlfn.XLOOKUP($F90,'Baumaterialien Matériaux'!$A:$A,'Baumaterialien Matériaux'!AA:AA,0,0)</f>
        <v>1.8600000000000003</v>
      </c>
      <c r="M90" s="1018">
        <f>$G90*_xlfn.XLOOKUP($F90,'Baumaterialien Matériaux'!$A:$A,'Baumaterialien Matériaux'!AB:AB,0,0)</f>
        <v>7.4800000000000005E-2</v>
      </c>
      <c r="N90" s="1018">
        <f>$G90*_xlfn.XLOOKUP($F90,'Baumaterialien Matériaux'!$A:$A,'Baumaterialien Matériaux'!AC:AC,0,0)*44/12</f>
        <v>0</v>
      </c>
      <c r="O90" s="1018">
        <f>$G90*_xlfn.XLOOKUP($F90,'Baumaterialien Matériaux'!$A:$A,'Baumaterialien Matériaux'!AG:AG,0,0)</f>
        <v>1.8160000000000001</v>
      </c>
      <c r="P90" s="1356">
        <f>$G90*_xlfn.XLOOKUP($F90,'Baumaterialien Matériaux'!$A:$A,'Baumaterialien Matériaux'!AH:AH,0,0)</f>
        <v>0.1716</v>
      </c>
      <c r="S90" s="1343"/>
    </row>
    <row r="91" spans="1:20" s="658" customFormat="1" ht="16.5" customHeight="1" thickBot="1">
      <c r="A91" s="676"/>
      <c r="B91" s="705"/>
      <c r="F91" s="700"/>
      <c r="I91" s="1037">
        <v>30</v>
      </c>
      <c r="L91" s="1027">
        <f t="shared" ref="L91:N91" si="18">SUM(L89:L90)</f>
        <v>7.7</v>
      </c>
      <c r="M91" s="1027">
        <f t="shared" si="18"/>
        <v>0.59079999999999999</v>
      </c>
      <c r="N91" s="1027">
        <f t="shared" si="18"/>
        <v>2.8820000000000001</v>
      </c>
      <c r="O91" s="1027">
        <f t="shared" ref="O91:P91" si="19">SUM(O89:O90)</f>
        <v>5.8359999999999994</v>
      </c>
      <c r="P91" s="1027">
        <f t="shared" si="19"/>
        <v>0.34460000000000002</v>
      </c>
      <c r="Q91" s="1354"/>
      <c r="R91" s="1459">
        <f>(L91+M91)/I90</f>
        <v>0.27636000000000005</v>
      </c>
      <c r="S91" s="1467"/>
    </row>
    <row r="92" spans="1:20" ht="16.5" customHeight="1" thickTop="1">
      <c r="F92" s="594"/>
      <c r="I92" s="1034"/>
      <c r="L92" s="1023"/>
      <c r="M92" s="1023"/>
      <c r="N92" s="1023"/>
      <c r="O92" s="1023"/>
      <c r="P92" s="1023"/>
    </row>
    <row r="93" spans="1:20" s="160" customFormat="1" ht="15.75" customHeight="1">
      <c r="A93" s="1340" t="s">
        <v>958</v>
      </c>
      <c r="B93" s="1569" t="s">
        <v>959</v>
      </c>
      <c r="C93" s="707" t="s">
        <v>960</v>
      </c>
      <c r="D93" s="181" t="str">
        <f>VLOOKUP(F93,'Baumaterialien Matériaux'!$A$10:$AD$432,30,FALSE)</f>
        <v>Parquet, 2 plis, vitrifié d'usine, 11 mm</v>
      </c>
      <c r="E93" s="181" t="str">
        <f>_xlfn.XLOOKUP($F93,'Baumaterialien Matériaux'!$A:$A,'Baumaterialien Matériaux'!G:G,0,0)</f>
        <v>m2</v>
      </c>
      <c r="F93" s="592" t="s">
        <v>961</v>
      </c>
      <c r="G93" s="182">
        <v>1</v>
      </c>
      <c r="H93" s="181"/>
      <c r="I93" s="597">
        <v>30</v>
      </c>
      <c r="J93" s="182"/>
      <c r="K93" s="182"/>
      <c r="L93" s="1018">
        <f>$G93*_xlfn.XLOOKUP($F93,'Baumaterialien Matériaux'!$A:$A,'Baumaterialien Matériaux'!AA:AA,0,0)</f>
        <v>7.46</v>
      </c>
      <c r="M93" s="1018">
        <f>$G93*_xlfn.XLOOKUP($F93,'Baumaterialien Matériaux'!$A:$A,'Baumaterialien Matériaux'!AB:AB,0,0)</f>
        <v>0.33700000000000002</v>
      </c>
      <c r="N93" s="1018">
        <f>$G93*_xlfn.XLOOKUP($F93,'Baumaterialien Matériaux'!$A:$A,'Baumaterialien Matériaux'!AC:AC,0,0)*44/12</f>
        <v>9.8633333333333333</v>
      </c>
      <c r="O93" s="1018">
        <f>$G93*_xlfn.XLOOKUP($F93,'Baumaterialien Matériaux'!$A:$A,'Baumaterialien Matériaux'!AG:AG,0,0)</f>
        <v>3.38</v>
      </c>
      <c r="P93" s="1356">
        <f>$G93*_xlfn.XLOOKUP($F93,'Baumaterialien Matériaux'!$A:$A,'Baumaterialien Matériaux'!AH:AH,0,0)</f>
        <v>4.3900000000000002E-2</v>
      </c>
      <c r="Q93" s="144"/>
      <c r="R93" s="144"/>
      <c r="S93" s="1343"/>
      <c r="T93" s="1340"/>
    </row>
    <row r="94" spans="1:20" ht="15.75" customHeight="1">
      <c r="B94" s="1569"/>
      <c r="C94" s="148" t="s">
        <v>957</v>
      </c>
      <c r="D94" s="181" t="str">
        <f>VLOOKUP(F94,'Baumaterialien Matériaux'!$A$10:$AD$432,30,FALSE)</f>
        <v>Colle bicomposant</v>
      </c>
      <c r="E94" s="181" t="str">
        <f>_xlfn.XLOOKUP($F94,'Baumaterialien Matériaux'!$A:$A,'Baumaterialien Matériaux'!G:G,0,0)</f>
        <v>kg</v>
      </c>
      <c r="F94" s="605" t="s">
        <v>855</v>
      </c>
      <c r="G94" s="182">
        <v>1</v>
      </c>
      <c r="H94" s="181"/>
      <c r="I94" s="597">
        <v>30</v>
      </c>
      <c r="J94" s="182"/>
      <c r="K94" s="182"/>
      <c r="L94" s="1018">
        <f>$G94*_xlfn.XLOOKUP($F94,'Baumaterialien Matériaux'!$A:$A,'Baumaterialien Matériaux'!AA:AA,0,0)</f>
        <v>4.6500000000000004</v>
      </c>
      <c r="M94" s="1018">
        <f>$G94*_xlfn.XLOOKUP($F94,'Baumaterialien Matériaux'!$A:$A,'Baumaterialien Matériaux'!AB:AB,0,0)</f>
        <v>0.187</v>
      </c>
      <c r="N94" s="1018">
        <f>$G94*_xlfn.XLOOKUP($F94,'Baumaterialien Matériaux'!$A:$A,'Baumaterialien Matériaux'!AC:AC,0,0)*44/12</f>
        <v>0</v>
      </c>
      <c r="O94" s="1018">
        <f>$G94*_xlfn.XLOOKUP($F94,'Baumaterialien Matériaux'!$A:$A,'Baumaterialien Matériaux'!AG:AG,0,0)</f>
        <v>4.54</v>
      </c>
      <c r="P94" s="1356">
        <f>$G94*_xlfn.XLOOKUP($F94,'Baumaterialien Matériaux'!$A:$A,'Baumaterialien Matériaux'!AH:AH,0,0)</f>
        <v>0.42899999999999999</v>
      </c>
      <c r="S94" s="1343"/>
    </row>
    <row r="95" spans="1:20" s="658" customFormat="1" ht="16.5" customHeight="1" thickBot="1">
      <c r="B95" s="705"/>
      <c r="C95" s="701"/>
      <c r="D95" s="701"/>
      <c r="E95" s="701"/>
      <c r="F95" s="700"/>
      <c r="I95" s="1037">
        <v>30</v>
      </c>
      <c r="L95" s="1027">
        <f t="shared" ref="L95:N95" si="20">SUM(L93:L94)</f>
        <v>12.11</v>
      </c>
      <c r="M95" s="1027">
        <f t="shared" si="20"/>
        <v>0.52400000000000002</v>
      </c>
      <c r="N95" s="1027">
        <f t="shared" si="20"/>
        <v>9.8633333333333333</v>
      </c>
      <c r="O95" s="1027">
        <f t="shared" ref="O95:P95" si="21">SUM(O93:O94)</f>
        <v>7.92</v>
      </c>
      <c r="P95" s="1027">
        <f t="shared" si="21"/>
        <v>0.47289999999999999</v>
      </c>
      <c r="Q95" s="1354"/>
      <c r="R95" s="1459">
        <f>(L95+M95)/I94</f>
        <v>0.42113333333333336</v>
      </c>
      <c r="S95" s="1467"/>
    </row>
    <row r="96" spans="1:20" ht="16.5" customHeight="1" thickTop="1">
      <c r="I96" s="1034"/>
      <c r="L96" s="1023"/>
      <c r="M96" s="1023"/>
      <c r="N96" s="1023"/>
      <c r="O96" s="1023"/>
      <c r="P96" s="1023"/>
    </row>
    <row r="97" spans="1:19" s="1340" customFormat="1" ht="14.1" customHeight="1">
      <c r="A97" s="1372" t="s">
        <v>962</v>
      </c>
      <c r="B97" s="1312" t="s">
        <v>963</v>
      </c>
      <c r="C97" s="1460" t="s">
        <v>964</v>
      </c>
      <c r="D97" s="600" t="str">
        <f>VLOOKUP(F97,'Baumaterialien Matériaux'!$A$10:$AD$432,30,FALSE)</f>
        <v>Dalle en céramique/grès, 9 mm</v>
      </c>
      <c r="E97" s="600" t="str">
        <f>_xlfn.XLOOKUP($F97,'Baumaterialien Matériaux'!$A:$A,'Baumaterialien Matériaux'!G:G,0,0)</f>
        <v>m2</v>
      </c>
      <c r="F97" s="1461" t="s">
        <v>965</v>
      </c>
      <c r="G97" s="600">
        <v>1</v>
      </c>
      <c r="H97" s="600"/>
      <c r="I97" s="1448">
        <v>30</v>
      </c>
      <c r="J97" s="600"/>
      <c r="K97" s="600"/>
      <c r="L97" s="1449">
        <f>$G97*_xlfn.XLOOKUP($F97,'Baumaterialien Matériaux'!$A:$A,'Baumaterialien Matériaux'!AA:AA,0,0)</f>
        <v>14</v>
      </c>
      <c r="M97" s="1449">
        <f>$G97*_xlfn.XLOOKUP($F97,'Baumaterialien Matériaux'!$A:$A,'Baumaterialien Matériaux'!AB:AB,0,0)</f>
        <v>4.1100000000000003</v>
      </c>
      <c r="N97" s="1449">
        <f>$G97*_xlfn.XLOOKUP($F97,'Baumaterialien Matériaux'!$A:$A,'Baumaterialien Matériaux'!AC:AC,0,0)*44/12</f>
        <v>0</v>
      </c>
      <c r="O97" s="1449">
        <f>$G97*_xlfn.XLOOKUP($F97,'Baumaterialien Matériaux'!$A:$A,'Baumaterialien Matériaux'!AG:AG,0,0)</f>
        <v>10.6</v>
      </c>
      <c r="P97" s="1450">
        <f>$G97*_xlfn.XLOOKUP($F97,'Baumaterialien Matériaux'!$A:$A,'Baumaterialien Matériaux'!AH:AH,0,0)</f>
        <v>4.5900000000000003E-2</v>
      </c>
      <c r="Q97" s="1353"/>
      <c r="R97" s="1353"/>
      <c r="S97" s="1373"/>
    </row>
    <row r="98" spans="1:19" s="1452" customFormat="1" ht="14.1" customHeight="1">
      <c r="A98" s="1451"/>
      <c r="B98" s="1451"/>
      <c r="C98" s="1462" t="s">
        <v>966</v>
      </c>
      <c r="D98" s="1452" t="str">
        <f>VLOOKUP(F98,'Baumaterialien Matériaux'!$A$10:$AD$432,30,FALSE)</f>
        <v xml:space="preserve">Colle de construction/mortier d'enrobage minéral(e) </v>
      </c>
      <c r="E98" s="1452" t="str">
        <f>_xlfn.XLOOKUP($F98,'Baumaterialien Matériaux'!$A:$A,'Baumaterialien Matériaux'!G:G,0,0)</f>
        <v>kg</v>
      </c>
      <c r="F98" s="1463" t="s">
        <v>748</v>
      </c>
      <c r="G98" s="1452">
        <v>13</v>
      </c>
      <c r="I98" s="1454">
        <v>30</v>
      </c>
      <c r="L98" s="1455">
        <f>$G98*_xlfn.XLOOKUP($F98,'Baumaterialien Matériaux'!$A:$A,'Baumaterialien Matériaux'!AA:AA,0,0)</f>
        <v>5.109</v>
      </c>
      <c r="M98" s="1455">
        <f>$G98*_xlfn.XLOOKUP($F98,'Baumaterialien Matériaux'!$A:$A,'Baumaterialien Matériaux'!AB:AB,0,0)</f>
        <v>0.1651</v>
      </c>
      <c r="N98" s="1455">
        <f>$G98*_xlfn.XLOOKUP($F98,'Baumaterialien Matériaux'!$A:$A,'Baumaterialien Matériaux'!AC:AC,0,0)*44/12</f>
        <v>0</v>
      </c>
      <c r="O98" s="1455">
        <f>$G98*_xlfn.XLOOKUP($F98,'Baumaterialien Matériaux'!$A:$A,'Baumaterialien Matériaux'!AG:AG,0,0)</f>
        <v>2.7690000000000001</v>
      </c>
      <c r="P98" s="1455">
        <f>$G98*_xlfn.XLOOKUP($F98,'Baumaterialien Matériaux'!$A:$A,'Baumaterialien Matériaux'!AH:AH,0,0)</f>
        <v>4.2509999999999999E-2</v>
      </c>
      <c r="Q98" s="1464"/>
      <c r="R98" s="1464"/>
      <c r="S98" s="1465"/>
    </row>
    <row r="99" spans="1:19" s="658" customFormat="1" ht="14.1" customHeight="1" thickBot="1">
      <c r="A99" s="698"/>
      <c r="B99" s="698"/>
      <c r="C99" s="1466"/>
      <c r="F99" s="1374"/>
      <c r="I99" s="1037"/>
      <c r="L99" s="1027">
        <f t="shared" ref="L99:P99" si="22">SUM(L97:L98)</f>
        <v>19.109000000000002</v>
      </c>
      <c r="M99" s="1027">
        <f t="shared" si="22"/>
        <v>4.2751000000000001</v>
      </c>
      <c r="N99" s="1027">
        <f t="shared" si="22"/>
        <v>0</v>
      </c>
      <c r="O99" s="1027">
        <f t="shared" si="22"/>
        <v>13.369</v>
      </c>
      <c r="P99" s="1027">
        <f t="shared" si="22"/>
        <v>8.8410000000000002E-2</v>
      </c>
      <c r="Q99" s="1354"/>
      <c r="R99" s="1459">
        <f>(L99+M99)/I98</f>
        <v>0.77947000000000011</v>
      </c>
      <c r="S99" s="1375"/>
    </row>
    <row r="100" spans="1:19" ht="14.1" customHeight="1" thickTop="1">
      <c r="A100" s="2"/>
      <c r="B100" s="2"/>
      <c r="C100" s="1359"/>
      <c r="F100" s="702"/>
      <c r="I100" s="1034"/>
      <c r="L100" s="1023"/>
      <c r="M100" s="1023"/>
      <c r="N100" s="1023"/>
      <c r="O100" s="1023"/>
      <c r="P100" s="1023"/>
      <c r="R100" s="1445"/>
      <c r="S100" s="1345"/>
    </row>
    <row r="101" spans="1:19" s="1340" customFormat="1" ht="14.1" customHeight="1">
      <c r="A101" s="1340" t="s">
        <v>967</v>
      </c>
      <c r="B101" s="180" t="s">
        <v>968</v>
      </c>
      <c r="C101" s="1360" t="s">
        <v>960</v>
      </c>
      <c r="D101" s="181" t="str">
        <f>VLOOKUP(F101,'Baumaterialien Matériaux'!$A$10:$AD$432,30,FALSE)</f>
        <v>Parquet, 2 plis, vitrifié d'usine, 11 mm</v>
      </c>
      <c r="E101" s="181" t="str">
        <f>_xlfn.XLOOKUP($F101,'Baumaterialien Matériaux'!$A:$A,'Baumaterialien Matériaux'!G:G,0,0)</f>
        <v>m2</v>
      </c>
      <c r="F101" s="605" t="s">
        <v>961</v>
      </c>
      <c r="G101" s="181">
        <f>1*0.7</f>
        <v>0.7</v>
      </c>
      <c r="H101" s="181"/>
      <c r="I101" s="597">
        <v>30</v>
      </c>
      <c r="J101" s="181"/>
      <c r="K101" s="181"/>
      <c r="L101" s="1018">
        <f>$G101*_xlfn.XLOOKUP($F101,'Baumaterialien Matériaux'!$A:$A,'Baumaterialien Matériaux'!AA:AA,0,0)</f>
        <v>5.2219999999999995</v>
      </c>
      <c r="M101" s="1018">
        <f>$G101*_xlfn.XLOOKUP($F101,'Baumaterialien Matériaux'!$A:$A,'Baumaterialien Matériaux'!AB:AB,0,0)</f>
        <v>0.2359</v>
      </c>
      <c r="N101" s="1018">
        <f>$G101*_xlfn.XLOOKUP($F101,'Baumaterialien Matériaux'!$A:$A,'Baumaterialien Matériaux'!AC:AC,0,0)*44/12</f>
        <v>6.9043333333333328</v>
      </c>
      <c r="O101" s="1018">
        <f>$G101*_xlfn.XLOOKUP($F101,'Baumaterialien Matériaux'!$A:$A,'Baumaterialien Matériaux'!AG:AG,0,0)</f>
        <v>2.3659999999999997</v>
      </c>
      <c r="P101" s="1356">
        <f>$G101*_xlfn.XLOOKUP($F101,'Baumaterialien Matériaux'!$A:$A,'Baumaterialien Matériaux'!AH:AH,0,0)</f>
        <v>3.073E-2</v>
      </c>
      <c r="Q101" s="1363"/>
      <c r="R101" s="1363"/>
      <c r="S101" s="1364"/>
    </row>
    <row r="102" spans="1:19" ht="14.1" customHeight="1">
      <c r="A102" s="2"/>
      <c r="B102" s="180" t="s">
        <v>969</v>
      </c>
      <c r="C102" s="148" t="s">
        <v>957</v>
      </c>
      <c r="D102" s="181" t="str">
        <f>VLOOKUP(F102,'Baumaterialien Matériaux'!$A$10:$AD$432,30,FALSE)</f>
        <v>Colle bicomposant</v>
      </c>
      <c r="E102" s="181" t="str">
        <f>_xlfn.XLOOKUP($F102,'Baumaterialien Matériaux'!$A:$A,'Baumaterialien Matériaux'!G:G,0,0)</f>
        <v>kg</v>
      </c>
      <c r="F102" s="605" t="s">
        <v>855</v>
      </c>
      <c r="G102" s="182">
        <v>0.7</v>
      </c>
      <c r="H102" s="181"/>
      <c r="I102" s="597">
        <v>30</v>
      </c>
      <c r="J102" s="182"/>
      <c r="K102" s="182"/>
      <c r="L102" s="1018">
        <f>$G102*_xlfn.XLOOKUP($F102,'Baumaterialien Matériaux'!$A:$A,'Baumaterialien Matériaux'!AA:AA,0,0)</f>
        <v>3.2549999999999999</v>
      </c>
      <c r="M102" s="1018">
        <f>$G102*_xlfn.XLOOKUP($F102,'Baumaterialien Matériaux'!$A:$A,'Baumaterialien Matériaux'!AB:AB,0,0)</f>
        <v>0.13089999999999999</v>
      </c>
      <c r="N102" s="1018">
        <f>$G102*_xlfn.XLOOKUP($F102,'Baumaterialien Matériaux'!$A:$A,'Baumaterialien Matériaux'!AC:AC,0,0)*44/12</f>
        <v>0</v>
      </c>
      <c r="O102" s="1018">
        <f>$G102*_xlfn.XLOOKUP($F102,'Baumaterialien Matériaux'!$A:$A,'Baumaterialien Matériaux'!AG:AG,0,0)</f>
        <v>3.1779999999999999</v>
      </c>
      <c r="P102" s="1356">
        <f>$G102*_xlfn.XLOOKUP($F102,'Baumaterialien Matériaux'!$A:$A,'Baumaterialien Matériaux'!AH:AH,0,0)</f>
        <v>0.30029999999999996</v>
      </c>
      <c r="Q102" s="131"/>
      <c r="R102" s="131"/>
      <c r="S102" s="1333"/>
    </row>
    <row r="103" spans="1:19" ht="14.1" customHeight="1">
      <c r="A103" s="2"/>
      <c r="B103" s="1442" t="s">
        <v>970</v>
      </c>
      <c r="C103" s="1446" t="s">
        <v>964</v>
      </c>
      <c r="D103" s="600" t="str">
        <f>VLOOKUP(F103,'Baumaterialien Matériaux'!$A$10:$AD$432,30,FALSE)</f>
        <v>Dalle en céramique/grès, 9 mm</v>
      </c>
      <c r="E103" s="600" t="str">
        <f>_xlfn.XLOOKUP($F103,'Baumaterialien Matériaux'!$A:$A,'Baumaterialien Matériaux'!G:G,0,0)</f>
        <v>m2</v>
      </c>
      <c r="F103" s="1447" t="s">
        <v>965</v>
      </c>
      <c r="G103" s="600">
        <v>0.3</v>
      </c>
      <c r="H103" s="600"/>
      <c r="I103" s="1448">
        <v>30</v>
      </c>
      <c r="J103" s="600"/>
      <c r="K103" s="600"/>
      <c r="L103" s="1449">
        <f>$G103*_xlfn.XLOOKUP($F103,'Baumaterialien Matériaux'!$A:$A,'Baumaterialien Matériaux'!AA:AA,0,0)</f>
        <v>4.2</v>
      </c>
      <c r="M103" s="1449">
        <f>$G103*_xlfn.XLOOKUP($F103,'Baumaterialien Matériaux'!$A:$A,'Baumaterialien Matériaux'!AB:AB,0,0)</f>
        <v>1.2330000000000001</v>
      </c>
      <c r="N103" s="1449">
        <f>$G103*_xlfn.XLOOKUP($F103,'Baumaterialien Matériaux'!$A:$A,'Baumaterialien Matériaux'!AC:AC,0,0)*44/12</f>
        <v>0</v>
      </c>
      <c r="O103" s="1449">
        <f>$G103*_xlfn.XLOOKUP($F103,'Baumaterialien Matériaux'!$A:$A,'Baumaterialien Matériaux'!AG:AG,0,0)</f>
        <v>3.1799999999999997</v>
      </c>
      <c r="P103" s="1450">
        <f>$G103*_xlfn.XLOOKUP($F103,'Baumaterialien Matériaux'!$A:$A,'Baumaterialien Matériaux'!AH:AH,0,0)</f>
        <v>1.3770000000000001E-2</v>
      </c>
      <c r="Q103" s="131"/>
      <c r="R103" s="131"/>
      <c r="S103" s="1333"/>
    </row>
    <row r="104" spans="1:19" s="1452" customFormat="1" ht="14.1" customHeight="1">
      <c r="A104" s="1451"/>
      <c r="B104" s="1451"/>
      <c r="C104" s="1452" t="s">
        <v>966</v>
      </c>
      <c r="D104" s="1452" t="str">
        <f>VLOOKUP(F104,'Baumaterialien Matériaux'!$A$10:$AD$432,30,FALSE)</f>
        <v xml:space="preserve">Colle de construction/mortier d'enrobage minéral(e) </v>
      </c>
      <c r="E104" s="1452" t="str">
        <f>_xlfn.XLOOKUP($F104,'Baumaterialien Matériaux'!$A:$A,'Baumaterialien Matériaux'!G:G,0,0)</f>
        <v>kg</v>
      </c>
      <c r="F104" s="1453" t="s">
        <v>748</v>
      </c>
      <c r="G104" s="1452">
        <f>13*0.3</f>
        <v>3.9</v>
      </c>
      <c r="I104" s="1454">
        <v>30</v>
      </c>
      <c r="L104" s="1455">
        <f>$G104*_xlfn.XLOOKUP($F104,'Baumaterialien Matériaux'!$A:$A,'Baumaterialien Matériaux'!AA:AA,0,0)</f>
        <v>1.5327</v>
      </c>
      <c r="M104" s="1455">
        <f>$G104*_xlfn.XLOOKUP($F104,'Baumaterialien Matériaux'!$A:$A,'Baumaterialien Matériaux'!AB:AB,0,0)</f>
        <v>4.9529999999999998E-2</v>
      </c>
      <c r="N104" s="1455">
        <f>$G104*_xlfn.XLOOKUP($F104,'Baumaterialien Matériaux'!$A:$A,'Baumaterialien Matériaux'!AC:AC,0,0)*44/12</f>
        <v>0</v>
      </c>
      <c r="O104" s="1455">
        <f>$G104*_xlfn.XLOOKUP($F104,'Baumaterialien Matériaux'!$A:$A,'Baumaterialien Matériaux'!AG:AG,0,0)</f>
        <v>0.83069999999999999</v>
      </c>
      <c r="P104" s="1455">
        <f>$G104*_xlfn.XLOOKUP($F104,'Baumaterialien Matériaux'!$A:$A,'Baumaterialien Matériaux'!AH:AH,0,0)</f>
        <v>1.2752999999999999E-2</v>
      </c>
      <c r="Q104" s="1456"/>
      <c r="R104" s="1456"/>
      <c r="S104" s="1457"/>
    </row>
    <row r="105" spans="1:19" s="658" customFormat="1" ht="14.1" customHeight="1" thickBot="1">
      <c r="A105" s="698"/>
      <c r="B105" s="698"/>
      <c r="F105" s="1458"/>
      <c r="I105" s="1037"/>
      <c r="L105" s="1027">
        <f>SUM(L101:L104)</f>
        <v>14.2097</v>
      </c>
      <c r="M105" s="1027">
        <f t="shared" ref="M105:P105" si="23">SUM(M101:M104)</f>
        <v>1.6493300000000002</v>
      </c>
      <c r="N105" s="1027">
        <f t="shared" si="23"/>
        <v>6.9043333333333328</v>
      </c>
      <c r="O105" s="1027">
        <f t="shared" si="23"/>
        <v>9.5547000000000004</v>
      </c>
      <c r="P105" s="1027">
        <f t="shared" si="23"/>
        <v>0.35755299999999995</v>
      </c>
      <c r="Q105" s="1370"/>
      <c r="R105" s="1459">
        <f>(L105+M105)/I104</f>
        <v>0.52863433333333332</v>
      </c>
      <c r="S105" s="1371">
        <v>0.37</v>
      </c>
    </row>
    <row r="106" spans="1:19" s="145" customFormat="1" ht="18" thickTop="1">
      <c r="A106" s="143" t="s">
        <v>971</v>
      </c>
      <c r="B106" s="143" t="str">
        <f>'Outil détaillé'!D66</f>
        <v>Sondes géothermiques</v>
      </c>
      <c r="C106" s="143"/>
      <c r="D106" s="143"/>
      <c r="E106" s="143"/>
      <c r="F106" s="587"/>
      <c r="G106" s="144" t="s">
        <v>750</v>
      </c>
      <c r="H106" s="143"/>
      <c r="I106" s="1035"/>
      <c r="J106" s="144"/>
      <c r="K106" s="144"/>
      <c r="L106" s="1024"/>
      <c r="M106" s="1024"/>
      <c r="N106" s="1024"/>
      <c r="O106" s="1024"/>
      <c r="P106" s="1024"/>
      <c r="Q106" s="144"/>
      <c r="R106" s="144"/>
    </row>
    <row r="107" spans="1:19">
      <c r="A107" s="1"/>
      <c r="B107" s="1"/>
      <c r="C107" s="1"/>
      <c r="D107" s="1"/>
      <c r="E107" s="1"/>
      <c r="F107" s="586"/>
      <c r="G107" s="131"/>
      <c r="H107" s="1"/>
      <c r="I107" s="1032"/>
      <c r="J107" s="131"/>
      <c r="K107" s="131"/>
      <c r="L107" s="1020"/>
      <c r="M107" s="1020"/>
      <c r="N107" s="1020"/>
      <c r="O107" s="1020"/>
      <c r="P107" s="1020"/>
      <c r="Q107" s="131"/>
      <c r="R107" s="131"/>
      <c r="S107" s="3"/>
    </row>
    <row r="108" spans="1:19" s="699" customFormat="1" ht="14.1" customHeight="1" thickBot="1">
      <c r="A108" s="1381" t="s">
        <v>972</v>
      </c>
      <c r="B108" s="1365"/>
      <c r="C108" s="1342" t="s">
        <v>973</v>
      </c>
      <c r="D108" s="661" t="str">
        <f>VLOOKUP(F108,'Baumaterialien Matériaux'!$A$10:$AD$432,30,FALSE)</f>
        <v>Chape de ciment, 85 mm</v>
      </c>
      <c r="E108" s="661" t="str">
        <f>_xlfn.XLOOKUP($F108,'Baumaterialien Matériaux'!$A:$A,'Baumaterialien Matériaux'!G:G,0,0)</f>
        <v>kg</v>
      </c>
      <c r="F108" s="1366" t="s">
        <v>974</v>
      </c>
      <c r="G108" s="661">
        <f>1850*0.07</f>
        <v>129.5</v>
      </c>
      <c r="H108" s="661"/>
      <c r="I108" s="1367">
        <v>30</v>
      </c>
      <c r="J108" s="661"/>
      <c r="K108" s="661"/>
      <c r="L108" s="1368">
        <f>$G108*_xlfn.XLOOKUP($F108,'Baumaterialien Matériaux'!$A:$A,'Baumaterialien Matériaux'!AA:AA,0,0)</f>
        <v>13.8565</v>
      </c>
      <c r="M108" s="1368">
        <f>$G108*_xlfn.XLOOKUP($F108,'Baumaterialien Matériaux'!$A:$A,'Baumaterialien Matériaux'!AB:AB,0,0)</f>
        <v>1.6446499999999999</v>
      </c>
      <c r="N108" s="1368">
        <f>$G108*_xlfn.XLOOKUP($F108,'Baumaterialien Matériaux'!$A:$A,'Baumaterialien Matériaux'!AC:AC,0,0)*44/12</f>
        <v>0</v>
      </c>
      <c r="O108" s="1368">
        <f>$G108*_xlfn.XLOOKUP($F108,'Baumaterialien Matériaux'!$A:$A,'Baumaterialien Matériaux'!AG:AG,0,0)</f>
        <v>3.1857000000000002</v>
      </c>
      <c r="P108" s="1369">
        <f>$G108*_xlfn.XLOOKUP($F108,'Baumaterialien Matériaux'!$A:$A,'Baumaterialien Matériaux'!AH:AH,0,0)</f>
        <v>0.42346499999999998</v>
      </c>
      <c r="Q108" s="1382"/>
      <c r="R108" s="1459">
        <f>(L108+M108)/I108</f>
        <v>0.51670500000000008</v>
      </c>
      <c r="S108" s="1383"/>
    </row>
    <row r="109" spans="1:19" ht="14.1" customHeight="1" thickTop="1">
      <c r="A109" s="2"/>
      <c r="B109" s="1328"/>
      <c r="F109" s="3"/>
      <c r="P109" s="3"/>
      <c r="Q109" s="131"/>
      <c r="R109" s="131"/>
      <c r="S109" s="1333"/>
    </row>
    <row r="110" spans="1:19" s="699" customFormat="1" ht="14.1" customHeight="1" thickBot="1">
      <c r="A110" s="1381" t="s">
        <v>975</v>
      </c>
      <c r="B110" s="1365"/>
      <c r="D110" s="661" t="str">
        <f>VLOOKUP(F110,'Baumaterialien Matériaux'!$A$10:$AD$432,30,FALSE)</f>
        <v>Chape d'anhydrite, 60 mm</v>
      </c>
      <c r="F110" s="1366" t="s">
        <v>976</v>
      </c>
      <c r="G110" s="699">
        <f>0.06*2000</f>
        <v>120</v>
      </c>
      <c r="I110" s="699">
        <v>30</v>
      </c>
      <c r="L110" s="1368">
        <f>$G110*_xlfn.XLOOKUP($F110,'Baumaterialien Matériaux'!$A:$A,'Baumaterialien Matériaux'!AA:AA,0,0)</f>
        <v>9.4079999999999995</v>
      </c>
      <c r="M110" s="1368">
        <f>$G110*_xlfn.XLOOKUP($F110,'Baumaterialien Matériaux'!$A:$A,'Baumaterialien Matériaux'!AB:AB,0,0)</f>
        <v>1.524</v>
      </c>
      <c r="N110" s="1368">
        <f>$G110*_xlfn.XLOOKUP($F110,'Baumaterialien Matériaux'!$A:$A,'Baumaterialien Matériaux'!AC:AC,0,0)*44/12</f>
        <v>0</v>
      </c>
      <c r="O110" s="1368">
        <f>$G110*_xlfn.XLOOKUP($F110,'Baumaterialien Matériaux'!$A:$A,'Baumaterialien Matériaux'!AG:AG,0,0)</f>
        <v>6.984</v>
      </c>
      <c r="P110" s="1369">
        <f>$G110*_xlfn.XLOOKUP($F110,'Baumaterialien Matériaux'!$A:$A,'Baumaterialien Matériaux'!AH:AH,0,0)</f>
        <v>0.42360000000000003</v>
      </c>
      <c r="Q110" s="1382"/>
      <c r="R110" s="1382"/>
      <c r="S110" s="1383"/>
    </row>
    <row r="111" spans="1:19" ht="14.1" customHeight="1" thickTop="1">
      <c r="A111" s="2"/>
      <c r="B111" s="1328"/>
      <c r="C111" s="1376"/>
      <c r="D111" s="1157"/>
      <c r="E111" s="1157"/>
      <c r="F111" s="1377"/>
      <c r="G111" s="1157"/>
      <c r="H111" s="1157"/>
      <c r="I111" s="1378"/>
      <c r="J111" s="1157"/>
      <c r="K111" s="1157"/>
      <c r="L111" s="1379"/>
      <c r="M111" s="1379"/>
      <c r="N111" s="1379"/>
      <c r="O111" s="1379"/>
      <c r="P111" s="1380"/>
      <c r="Q111" s="131"/>
      <c r="R111" s="131"/>
      <c r="S111" s="1333"/>
    </row>
    <row r="112" spans="1:19" s="1340" customFormat="1" ht="13.5" customHeight="1">
      <c r="A112" s="1372" t="s">
        <v>977</v>
      </c>
      <c r="B112" s="1372"/>
      <c r="D112" s="1340" t="str">
        <f>VLOOKUP(F112,'Baumaterialien Matériaux'!$A$10:$AD$432,30,FALSE)</f>
        <v>Plaque de plâtre armé de fibres</v>
      </c>
      <c r="E112" s="1340" t="str">
        <f>_xlfn.XLOOKUP($F112,'Baumaterialien Matériaux'!$A:$A,'Baumaterialien Matériaux'!G:G,0,0)</f>
        <v>kg</v>
      </c>
      <c r="F112" s="1385" t="s">
        <v>923</v>
      </c>
      <c r="G112" s="1340">
        <f>0.0125*1200</f>
        <v>15</v>
      </c>
      <c r="I112" s="1386">
        <v>30</v>
      </c>
      <c r="L112" s="1387">
        <f>$G112*_xlfn.XLOOKUP($F112,'Baumaterialien Matériaux'!$A:$A,'Baumaterialien Matériaux'!AA:AA,0,0)</f>
        <v>7.9950000000000001</v>
      </c>
      <c r="M112" s="1387">
        <f>$G112*_xlfn.XLOOKUP($F112,'Baumaterialien Matériaux'!$A:$A,'Baumaterialien Matériaux'!AB:AB,0,0)</f>
        <v>0.27899999999999997</v>
      </c>
      <c r="N112" s="1387">
        <f>$G112*_xlfn.XLOOKUP($F112,'Baumaterialien Matériaux'!$A:$A,'Baumaterialien Matériaux'!AC:AC,0,0)*44/12</f>
        <v>2.4695</v>
      </c>
      <c r="O112" s="1387">
        <f>$G112*_xlfn.XLOOKUP($F112,'Baumaterialien Matériaux'!$A:$A,'Baumaterialien Matériaux'!AG:AG,0,0)</f>
        <v>7.8150000000000004</v>
      </c>
      <c r="P112" s="1387">
        <f>$G112*_xlfn.XLOOKUP($F112,'Baumaterialien Matériaux'!$A:$A,'Baumaterialien Matériaux'!AH:AH,0,0)</f>
        <v>4.9799999999999997E-2</v>
      </c>
      <c r="Q112" s="1363"/>
      <c r="R112" s="1363"/>
      <c r="S112" s="1364"/>
    </row>
    <row r="113" spans="1:20" ht="13.5" customHeight="1">
      <c r="A113" s="2"/>
      <c r="B113" s="2"/>
      <c r="D113" s="3" t="str">
        <f>VLOOKUP(F113,'Baumaterialien Matériaux'!$A$10:$AD$432,30,FALSE)</f>
        <v>Plaque de plâtre armé de fibres</v>
      </c>
      <c r="E113" s="3" t="str">
        <f>_xlfn.XLOOKUP($F113,'Baumaterialien Matériaux'!$A:$A,'Baumaterialien Matériaux'!G:G,0,0)</f>
        <v>kg</v>
      </c>
      <c r="F113" s="1384" t="s">
        <v>923</v>
      </c>
      <c r="G113" s="3">
        <f>1200*0.0125</f>
        <v>15</v>
      </c>
      <c r="I113" s="1034">
        <v>30</v>
      </c>
      <c r="J113" s="132"/>
      <c r="K113" s="132"/>
      <c r="L113" s="1023">
        <f>$G113*_xlfn.XLOOKUP($F113,'Baumaterialien Matériaux'!$A:$A,'Baumaterialien Matériaux'!AA:AA,0,0)</f>
        <v>7.9950000000000001</v>
      </c>
      <c r="M113" s="1023">
        <f>$G113*_xlfn.XLOOKUP($F113,'Baumaterialien Matériaux'!$A:$A,'Baumaterialien Matériaux'!AB:AB,0,0)</f>
        <v>0.27899999999999997</v>
      </c>
      <c r="N113" s="1023">
        <f>$G113*_xlfn.XLOOKUP($F113,'Baumaterialien Matériaux'!$A:$A,'Baumaterialien Matériaux'!AC:AC,0,0)*44/12</f>
        <v>2.4695</v>
      </c>
      <c r="O113" s="1023">
        <f>$G113*_xlfn.XLOOKUP($F113,'Baumaterialien Matériaux'!$A:$A,'Baumaterialien Matériaux'!AG:AG,0,0)</f>
        <v>7.8150000000000004</v>
      </c>
      <c r="P113" s="1023">
        <f>$G113*_xlfn.XLOOKUP($F113,'Baumaterialien Matériaux'!$A:$A,'Baumaterialien Matériaux'!AH:AH,0,0)</f>
        <v>4.9799999999999997E-2</v>
      </c>
      <c r="Q113" s="131"/>
      <c r="R113" s="131"/>
      <c r="S113" s="1333"/>
    </row>
    <row r="114" spans="1:20" s="1452" customFormat="1" ht="16.5" customHeight="1">
      <c r="C114" s="1452" t="s">
        <v>978</v>
      </c>
      <c r="D114" s="1452" t="str">
        <f>VLOOKUP(F114,'Baumaterialien Matériaux'!$A$10:$AD$432,30,FALSE)</f>
        <v>Béton cellulaire</v>
      </c>
      <c r="E114" s="1452" t="str">
        <f>VLOOKUP(F114,'Baumaterialien Matériaux'!$A$10:$AD$432,7,FALSE)</f>
        <v>kg</v>
      </c>
      <c r="F114" s="1468" t="s">
        <v>979</v>
      </c>
      <c r="G114" s="1452">
        <f>400*0.0235</f>
        <v>9.4</v>
      </c>
      <c r="I114" s="1454">
        <v>30</v>
      </c>
      <c r="L114" s="1455">
        <f>$G114*_xlfn.XLOOKUP($F114,'Baumaterialien Matériaux'!$A:$A,'Baumaterialien Matériaux'!AA:AA,0,0)</f>
        <v>3.8822000000000001</v>
      </c>
      <c r="M114" s="1455">
        <f>$G114*_xlfn.XLOOKUP($F114,'Baumaterialien Matériaux'!$A:$A,'Baumaterialien Matériaux'!AB:AB,0,0)</f>
        <v>0.11938</v>
      </c>
      <c r="N114" s="1455">
        <f>$G114*_xlfn.XLOOKUP($F114,'Baumaterialien Matériaux'!$A:$A,'Baumaterialien Matériaux'!AC:AC,0,0)*44/12</f>
        <v>0</v>
      </c>
      <c r="O114" s="1455">
        <f>$G114*_xlfn.XLOOKUP($F114,'Baumaterialien Matériaux'!$A:$A,'Baumaterialien Matériaux'!AG:AG,0,0)</f>
        <v>1.8612000000000002</v>
      </c>
      <c r="P114" s="1455">
        <f>$G114*_xlfn.XLOOKUP($F114,'Baumaterialien Matériaux'!$A:$A,'Baumaterialien Matériaux'!AH:AH,0,0)</f>
        <v>2.3970000000000002E-2</v>
      </c>
      <c r="Q114" s="1456"/>
      <c r="R114" s="1456"/>
    </row>
    <row r="115" spans="1:20" s="658" customFormat="1" ht="16.5" customHeight="1" thickBot="1">
      <c r="F115" s="1391"/>
      <c r="I115" s="1037"/>
      <c r="L115" s="1027">
        <f>SUM(L112:L114)</f>
        <v>19.872199999999999</v>
      </c>
      <c r="M115" s="1027">
        <f t="shared" ref="M115:P115" si="24">SUM(M112:M114)</f>
        <v>0.67737999999999998</v>
      </c>
      <c r="N115" s="1027">
        <f t="shared" si="24"/>
        <v>4.9390000000000001</v>
      </c>
      <c r="O115" s="1027">
        <f t="shared" si="24"/>
        <v>17.491199999999999</v>
      </c>
      <c r="P115" s="1027">
        <f t="shared" si="24"/>
        <v>0.12357</v>
      </c>
      <c r="Q115" s="1370"/>
      <c r="R115" s="1370"/>
    </row>
    <row r="116" spans="1:20" ht="14.1" customHeight="1" thickTop="1">
      <c r="A116" s="2"/>
      <c r="B116" s="1328"/>
      <c r="C116" s="1376"/>
      <c r="D116" s="1157"/>
      <c r="E116" s="1157"/>
      <c r="F116" s="1377"/>
      <c r="G116" s="1157"/>
      <c r="H116" s="1157"/>
      <c r="I116" s="1378"/>
      <c r="J116" s="1157"/>
      <c r="K116" s="1157"/>
      <c r="L116" s="1379"/>
      <c r="M116" s="1379"/>
      <c r="N116" s="1379"/>
      <c r="O116" s="1379"/>
      <c r="P116" s="1380"/>
      <c r="Q116" s="131"/>
      <c r="R116" s="131"/>
      <c r="S116" s="1333"/>
    </row>
    <row r="117" spans="1:20" s="1340" customFormat="1" ht="14.1" customHeight="1">
      <c r="A117" s="1372" t="s">
        <v>980</v>
      </c>
      <c r="B117" s="1372"/>
      <c r="D117" s="1340" t="str">
        <f>VLOOKUP(F117,'Baumaterialien Matériaux'!$A$10:$AD$432,30,FALSE)</f>
        <v>Plaque de plâtre armé de fibres</v>
      </c>
      <c r="E117" s="1340" t="str">
        <f>_xlfn.XLOOKUP($F117,'Baumaterialien Matériaux'!$A:$A,'Baumaterialien Matériaux'!G:G,0,0)</f>
        <v>kg</v>
      </c>
      <c r="F117" s="1385" t="s">
        <v>923</v>
      </c>
      <c r="G117" s="1340">
        <f>0.0125*1200</f>
        <v>15</v>
      </c>
      <c r="I117" s="1386">
        <v>30</v>
      </c>
      <c r="L117" s="1387">
        <f>$G117*_xlfn.XLOOKUP($F117,'Baumaterialien Matériaux'!$A:$A,'Baumaterialien Matériaux'!AA:AA,0,0)</f>
        <v>7.9950000000000001</v>
      </c>
      <c r="M117" s="1387">
        <f>$G117*_xlfn.XLOOKUP($F117,'Baumaterialien Matériaux'!$A:$A,'Baumaterialien Matériaux'!AB:AB,0,0)</f>
        <v>0.27899999999999997</v>
      </c>
      <c r="N117" s="1387">
        <f>$G117*_xlfn.XLOOKUP($F117,'Baumaterialien Matériaux'!$A:$A,'Baumaterialien Matériaux'!AC:AC,0,0)*44/12</f>
        <v>2.4695</v>
      </c>
      <c r="O117" s="1387">
        <f>$G117*_xlfn.XLOOKUP($F117,'Baumaterialien Matériaux'!$A:$A,'Baumaterialien Matériaux'!AG:AG,0,0)</f>
        <v>7.8150000000000004</v>
      </c>
      <c r="P117" s="1387">
        <f>$G117*_xlfn.XLOOKUP($F117,'Baumaterialien Matériaux'!$A:$A,'Baumaterialien Matériaux'!AH:AH,0,0)</f>
        <v>4.9799999999999997E-2</v>
      </c>
      <c r="Q117" s="1363"/>
      <c r="R117" s="1363"/>
      <c r="S117" s="1364"/>
    </row>
    <row r="118" spans="1:20" s="1452" customFormat="1" ht="14.1" customHeight="1">
      <c r="A118" s="1451"/>
      <c r="B118" s="1451"/>
      <c r="D118" s="1452" t="str">
        <f>VLOOKUP(F118,'Baumaterialien Matériaux'!$A$10:$AD$432,30,FALSE)</f>
        <v>Plaque de plâtre armé de fibres</v>
      </c>
      <c r="E118" s="1452" t="str">
        <f>_xlfn.XLOOKUP($F118,'Baumaterialien Matériaux'!$A:$A,'Baumaterialien Matériaux'!G:G,0,0)</f>
        <v>kg</v>
      </c>
      <c r="F118" s="1453" t="s">
        <v>923</v>
      </c>
      <c r="G118" s="1452">
        <f>1200*0.025</f>
        <v>30</v>
      </c>
      <c r="I118" s="1454">
        <v>30</v>
      </c>
      <c r="L118" s="1455">
        <f>$G118*_xlfn.XLOOKUP($F118,'Baumaterialien Matériaux'!$A:$A,'Baumaterialien Matériaux'!AA:AA,0,0)</f>
        <v>15.99</v>
      </c>
      <c r="M118" s="1455">
        <f>$G118*_xlfn.XLOOKUP($F118,'Baumaterialien Matériaux'!$A:$A,'Baumaterialien Matériaux'!AB:AB,0,0)</f>
        <v>0.55799999999999994</v>
      </c>
      <c r="N118" s="1455">
        <f>$G118*_xlfn.XLOOKUP($F118,'Baumaterialien Matériaux'!$A:$A,'Baumaterialien Matériaux'!AC:AC,0,0)*44/12</f>
        <v>4.9390000000000001</v>
      </c>
      <c r="O118" s="1455">
        <f>$G118*_xlfn.XLOOKUP($F118,'Baumaterialien Matériaux'!$A:$A,'Baumaterialien Matériaux'!AG:AG,0,0)</f>
        <v>15.63</v>
      </c>
      <c r="P118" s="1455">
        <f>$G118*_xlfn.XLOOKUP($F118,'Baumaterialien Matériaux'!$A:$A,'Baumaterialien Matériaux'!AH:AH,0,0)</f>
        <v>9.9599999999999994E-2</v>
      </c>
      <c r="Q118" s="1456"/>
      <c r="R118" s="1456"/>
      <c r="S118" s="1457"/>
    </row>
    <row r="119" spans="1:20" s="1452" customFormat="1" ht="16.5" customHeight="1">
      <c r="C119" s="1452" t="s">
        <v>978</v>
      </c>
      <c r="D119" s="1452" t="str">
        <f>VLOOKUP(F119,'Baumaterialien Matériaux'!$A$10:$AD$432,30,FALSE)</f>
        <v>Béton cellulaire</v>
      </c>
      <c r="E119" s="1452" t="str">
        <f>VLOOKUP(F119,'Baumaterialien Matériaux'!$A$10:$AD$432,7,FALSE)</f>
        <v>kg</v>
      </c>
      <c r="F119" s="1468" t="s">
        <v>979</v>
      </c>
      <c r="G119" s="1452">
        <f>400*0.0235</f>
        <v>9.4</v>
      </c>
      <c r="I119" s="1454">
        <v>30</v>
      </c>
      <c r="L119" s="1455">
        <f>$G119*_xlfn.XLOOKUP($F119,'Baumaterialien Matériaux'!$A:$A,'Baumaterialien Matériaux'!AA:AA,0,0)</f>
        <v>3.8822000000000001</v>
      </c>
      <c r="M119" s="1455">
        <f>$G119*_xlfn.XLOOKUP($F119,'Baumaterialien Matériaux'!$A:$A,'Baumaterialien Matériaux'!AB:AB,0,0)</f>
        <v>0.11938</v>
      </c>
      <c r="N119" s="1455">
        <f>$G119*_xlfn.XLOOKUP($F119,'Baumaterialien Matériaux'!$A:$A,'Baumaterialien Matériaux'!AC:AC,0,0)*44/12</f>
        <v>0</v>
      </c>
      <c r="O119" s="1455">
        <f>$G119*_xlfn.XLOOKUP($F119,'Baumaterialien Matériaux'!$A:$A,'Baumaterialien Matériaux'!AG:AG,0,0)</f>
        <v>1.8612000000000002</v>
      </c>
      <c r="P119" s="1455">
        <f>$G119*_xlfn.XLOOKUP($F119,'Baumaterialien Matériaux'!$A:$A,'Baumaterialien Matériaux'!AH:AH,0,0)</f>
        <v>2.3970000000000002E-2</v>
      </c>
      <c r="Q119" s="1456"/>
      <c r="R119" s="1456"/>
    </row>
    <row r="120" spans="1:20" s="658" customFormat="1" ht="14.1" customHeight="1" thickBot="1">
      <c r="A120" s="698"/>
      <c r="B120" s="698"/>
      <c r="F120" s="1458"/>
      <c r="I120" s="1037"/>
      <c r="L120" s="1027"/>
      <c r="M120" s="1027"/>
      <c r="N120" s="1027"/>
      <c r="O120" s="1027"/>
      <c r="P120" s="1027"/>
      <c r="Q120" s="1370"/>
      <c r="R120" s="1370"/>
      <c r="S120" s="1371"/>
    </row>
    <row r="121" spans="1:20" ht="16.5" customHeight="1" thickTop="1">
      <c r="I121" s="1034"/>
      <c r="L121" s="1023"/>
      <c r="M121" s="1023"/>
      <c r="N121" s="1023"/>
      <c r="O121" s="1023"/>
      <c r="P121" s="1023"/>
    </row>
    <row r="122" spans="1:20" ht="16.5" customHeight="1">
      <c r="I122" s="1034"/>
      <c r="L122" s="1023"/>
      <c r="M122" s="1023"/>
      <c r="N122" s="1023"/>
      <c r="O122" s="1023"/>
      <c r="P122" s="1023"/>
    </row>
    <row r="123" spans="1:20" s="145" customFormat="1" ht="15.75" customHeight="1">
      <c r="A123" s="143" t="s">
        <v>981</v>
      </c>
      <c r="B123" s="143"/>
      <c r="C123" s="143"/>
      <c r="D123" s="143"/>
      <c r="E123" s="143"/>
      <c r="F123" s="587"/>
      <c r="G123" s="144"/>
      <c r="H123" s="143"/>
      <c r="I123" s="1035"/>
      <c r="J123" s="144"/>
      <c r="K123" s="144"/>
      <c r="L123" s="1024"/>
      <c r="M123" s="1024"/>
      <c r="N123" s="1024"/>
      <c r="O123" s="1024"/>
      <c r="P123" s="1024"/>
      <c r="Q123" s="144"/>
      <c r="R123" s="144"/>
    </row>
    <row r="124" spans="1:20" s="624" customFormat="1" ht="15.75" customHeight="1">
      <c r="A124" s="1282" t="s">
        <v>982</v>
      </c>
      <c r="B124" s="641" t="s">
        <v>983</v>
      </c>
      <c r="C124" s="624" t="s">
        <v>809</v>
      </c>
      <c r="D124" s="624" t="str">
        <f>VLOOKUP(F124,'Baumaterialien Matériaux'!$A$10:$AD$432,30,FALSE)</f>
        <v>Polystyrène expansé (EPS)</v>
      </c>
      <c r="E124" s="181" t="str">
        <f>_xlfn.XLOOKUP($F124,'Baumaterialien Matériaux'!$A:$A,'Baumaterialien Matériaux'!G:G,0,0)</f>
        <v>kg</v>
      </c>
      <c r="F124" s="603" t="s">
        <v>811</v>
      </c>
      <c r="G124" s="181">
        <f>16*0.02</f>
        <v>0.32</v>
      </c>
      <c r="I124" s="627">
        <v>30</v>
      </c>
      <c r="J124" s="625"/>
      <c r="K124" s="625"/>
      <c r="L124" s="1025">
        <f>$G124*_xlfn.XLOOKUP($F124,'Baumaterialien Matériaux'!$A:$A,'Baumaterialien Matériaux'!AA:AA,0,0)</f>
        <v>1.4432</v>
      </c>
      <c r="M124" s="1025">
        <f>$G124*_xlfn.XLOOKUP($F124,'Baumaterialien Matériaux'!$A:$A,'Baumaterialien Matériaux'!AB:AB,0,0)</f>
        <v>0.98880000000000001</v>
      </c>
      <c r="N124" s="1025">
        <f>$G124*_xlfn.XLOOKUP($F124,'Baumaterialien Matériaux'!$A:$A,'Baumaterialien Matériaux'!AC:AC,0,0)*44/12</f>
        <v>0</v>
      </c>
      <c r="O124" s="1025">
        <f>$G124*_xlfn.XLOOKUP($F124,'Baumaterialien Matériaux'!$A:$A,'Baumaterialien Matériaux'!AG:AG,0,0)</f>
        <v>0.63680000000000003</v>
      </c>
      <c r="P124" s="1357">
        <f>$G124*_xlfn.XLOOKUP($F124,'Baumaterialien Matériaux'!$A:$A,'Baumaterialien Matériaux'!AH:AH,0,0)</f>
        <v>0.22591999999999998</v>
      </c>
      <c r="Q124" s="144"/>
      <c r="R124" s="144"/>
      <c r="S124" s="1343"/>
      <c r="T124" s="656"/>
    </row>
    <row r="125" spans="1:20" s="624" customFormat="1" ht="15.75" customHeight="1">
      <c r="A125" s="626"/>
      <c r="B125" s="641"/>
      <c r="C125" s="624" t="s">
        <v>984</v>
      </c>
      <c r="D125" s="624" t="str">
        <f>VLOOKUP(F125,'Baumaterialien Matériaux'!$A$10:$AD$432,30,FALSE)</f>
        <v>Voile de polyéthylène (PE)</v>
      </c>
      <c r="E125" s="181" t="str">
        <f>_xlfn.XLOOKUP($F125,'Baumaterialien Matériaux'!$A:$A,'Baumaterialien Matériaux'!G:G,0,0)</f>
        <v>kg</v>
      </c>
      <c r="F125" s="654" t="s">
        <v>715</v>
      </c>
      <c r="G125" s="625">
        <v>0.15</v>
      </c>
      <c r="I125" s="627">
        <v>30</v>
      </c>
      <c r="J125" s="625"/>
      <c r="K125" s="625"/>
      <c r="L125" s="1025">
        <f>$G125*_xlfn.XLOOKUP($F125,'Baumaterialien Matériaux'!$A:$A,'Baumaterialien Matériaux'!AA:AA,0,0)</f>
        <v>0.44400000000000001</v>
      </c>
      <c r="M125" s="1025">
        <f>$G125*_xlfn.XLOOKUP($F125,'Baumaterialien Matériaux'!$A:$A,'Baumaterialien Matériaux'!AB:AB,0,0)</f>
        <v>0.40049999999999997</v>
      </c>
      <c r="N125" s="1025">
        <f>$G125*_xlfn.XLOOKUP($F125,'Baumaterialien Matériaux'!$A:$A,'Baumaterialien Matériaux'!AC:AC,0,0)*44/12</f>
        <v>0</v>
      </c>
      <c r="O125" s="1025">
        <f>$G125*_xlfn.XLOOKUP($F125,'Baumaterialien Matériaux'!$A:$A,'Baumaterialien Matériaux'!AG:AG,0,0)</f>
        <v>0.42</v>
      </c>
      <c r="P125" s="1357">
        <f>$G125*_xlfn.XLOOKUP($F125,'Baumaterialien Matériaux'!$A:$A,'Baumaterialien Matériaux'!AH:AH,0,0)</f>
        <v>0.38549999999999995</v>
      </c>
      <c r="Q125" s="144"/>
      <c r="R125" s="144"/>
      <c r="S125" s="1343"/>
      <c r="T125" s="656"/>
    </row>
    <row r="126" spans="1:20" s="661" customFormat="1" ht="15.75" thickBot="1">
      <c r="A126" s="663"/>
      <c r="F126" s="1306"/>
      <c r="P126" s="1339"/>
      <c r="Q126" s="144"/>
      <c r="R126" s="144"/>
      <c r="S126" s="145"/>
      <c r="T126" s="1342"/>
    </row>
    <row r="127" spans="1:20" s="172" customFormat="1" ht="15.75" customHeight="1" thickTop="1">
      <c r="A127" s="692"/>
      <c r="B127" s="692"/>
      <c r="C127" s="692"/>
      <c r="D127" s="692"/>
      <c r="E127" s="692"/>
      <c r="F127" s="1303"/>
      <c r="G127" s="1302"/>
      <c r="H127" s="692"/>
      <c r="I127" s="1304"/>
      <c r="J127" s="1302"/>
      <c r="K127" s="1302"/>
      <c r="L127" s="1305"/>
      <c r="M127" s="1305"/>
      <c r="N127" s="1305"/>
      <c r="O127" s="1305"/>
      <c r="P127" s="1305"/>
      <c r="Q127" s="144"/>
      <c r="R127" s="144"/>
      <c r="S127" s="145"/>
    </row>
    <row r="128" spans="1:20" s="643" customFormat="1" ht="15.75" customHeight="1">
      <c r="A128" s="1282" t="s">
        <v>985</v>
      </c>
      <c r="B128" s="640" t="s">
        <v>986</v>
      </c>
      <c r="C128" s="656" t="s">
        <v>987</v>
      </c>
      <c r="D128" s="624" t="str">
        <f>VLOOKUP(F128,'Baumaterialien Matériaux'!$A$10:$AD$432,30,FALSE)</f>
        <v>Laine de verre</v>
      </c>
      <c r="E128" s="181" t="str">
        <f>_xlfn.XLOOKUP($F128,'Baumaterialien Matériaux'!$A:$A,'Baumaterialien Matériaux'!G:G,0,0)</f>
        <v>kg</v>
      </c>
      <c r="F128" s="654" t="s">
        <v>819</v>
      </c>
      <c r="G128" s="625">
        <f>0.02*50</f>
        <v>1</v>
      </c>
      <c r="H128" s="624"/>
      <c r="I128" s="627">
        <v>30</v>
      </c>
      <c r="J128" s="625"/>
      <c r="K128" s="625"/>
      <c r="L128" s="1025">
        <f>$G128*_xlfn.XLOOKUP($F128,'Baumaterialien Matériaux'!$A:$A,'Baumaterialien Matériaux'!AA:AA,0,0)</f>
        <v>1.04</v>
      </c>
      <c r="M128" s="1025">
        <f>$G128*_xlfn.XLOOKUP($F128,'Baumaterialien Matériaux'!$A:$A,'Baumaterialien Matériaux'!AB:AB,0,0)</f>
        <v>5.9200000000000003E-2</v>
      </c>
      <c r="N128" s="1025">
        <f>$G128*_xlfn.XLOOKUP($F128,'Baumaterialien Matériaux'!$A:$A,'Baumaterialien Matériaux'!AC:AC,0,0)*44/12</f>
        <v>0</v>
      </c>
      <c r="O128" s="1025">
        <f>$G128*_xlfn.XLOOKUP($F128,'Baumaterialien Matériaux'!$A:$A,'Baumaterialien Matériaux'!AG:AG,0,0)</f>
        <v>0.42199999999999999</v>
      </c>
      <c r="P128" s="1357">
        <f>$G128*_xlfn.XLOOKUP($F128,'Baumaterialien Matériaux'!$A:$A,'Baumaterialien Matériaux'!AH:AH,0,0)</f>
        <v>3.48E-3</v>
      </c>
      <c r="Q128" s="144"/>
      <c r="R128" s="144"/>
      <c r="S128" s="1343"/>
      <c r="T128" s="1282"/>
    </row>
    <row r="129" spans="1:20" s="626" customFormat="1" ht="15.75" customHeight="1">
      <c r="B129" s="645"/>
      <c r="C129" s="656" t="s">
        <v>984</v>
      </c>
      <c r="D129" s="624" t="str">
        <f>VLOOKUP(F129,'Baumaterialien Matériaux'!$A$10:$AD$432,30,FALSE)</f>
        <v>Voile de polyéthylène (PE)</v>
      </c>
      <c r="E129" s="181" t="str">
        <f>_xlfn.XLOOKUP($F129,'Baumaterialien Matériaux'!$A:$A,'Baumaterialien Matériaux'!G:G,0,0)</f>
        <v>kg</v>
      </c>
      <c r="F129" s="654" t="s">
        <v>715</v>
      </c>
      <c r="G129" s="625">
        <v>0.15</v>
      </c>
      <c r="H129" s="624"/>
      <c r="I129" s="627">
        <v>30</v>
      </c>
      <c r="J129" s="625"/>
      <c r="K129" s="625"/>
      <c r="L129" s="1025">
        <f>$G129*_xlfn.XLOOKUP($F129,'Baumaterialien Matériaux'!$A:$A,'Baumaterialien Matériaux'!AA:AA,0,0)</f>
        <v>0.44400000000000001</v>
      </c>
      <c r="M129" s="1025">
        <f>$G129*_xlfn.XLOOKUP($F129,'Baumaterialien Matériaux'!$A:$A,'Baumaterialien Matériaux'!AB:AB,0,0)</f>
        <v>0.40049999999999997</v>
      </c>
      <c r="N129" s="1025">
        <f>$G129*_xlfn.XLOOKUP($F129,'Baumaterialien Matériaux'!$A:$A,'Baumaterialien Matériaux'!AC:AC,0,0)*44/12</f>
        <v>0</v>
      </c>
      <c r="O129" s="1025">
        <f>$G129*_xlfn.XLOOKUP($F129,'Baumaterialien Matériaux'!$A:$A,'Baumaterialien Matériaux'!AG:AG,0,0)</f>
        <v>0.42</v>
      </c>
      <c r="P129" s="1357">
        <f>$G129*_xlfn.XLOOKUP($F129,'Baumaterialien Matériaux'!$A:$A,'Baumaterialien Matériaux'!AH:AH,0,0)</f>
        <v>0.38549999999999995</v>
      </c>
      <c r="Q129" s="144"/>
      <c r="R129" s="144"/>
      <c r="S129" s="1343"/>
    </row>
    <row r="130" spans="1:20" s="663" customFormat="1" ht="16.5" customHeight="1" thickBot="1">
      <c r="B130" s="712"/>
      <c r="F130" s="665"/>
      <c r="G130" s="695"/>
      <c r="I130" s="1036">
        <v>30</v>
      </c>
      <c r="J130" s="695"/>
      <c r="K130" s="695"/>
      <c r="L130" s="1026">
        <f t="shared" ref="L130:P130" si="25">SUM(L128:L129)</f>
        <v>1.484</v>
      </c>
      <c r="M130" s="1026">
        <f t="shared" si="25"/>
        <v>0.4597</v>
      </c>
      <c r="N130" s="1026">
        <f t="shared" si="25"/>
        <v>0</v>
      </c>
      <c r="O130" s="1026">
        <f t="shared" si="25"/>
        <v>0.84199999999999997</v>
      </c>
      <c r="P130" s="1026">
        <f t="shared" si="25"/>
        <v>0.38897999999999994</v>
      </c>
      <c r="Q130" s="144"/>
      <c r="R130" s="144"/>
      <c r="S130" s="763"/>
    </row>
    <row r="131" spans="1:20" s="172" customFormat="1" ht="16.5" customHeight="1" thickTop="1">
      <c r="F131" s="690"/>
      <c r="G131" s="691"/>
      <c r="I131" s="283"/>
      <c r="J131" s="691"/>
      <c r="K131" s="691"/>
      <c r="L131" s="1301"/>
      <c r="M131" s="1301"/>
      <c r="N131" s="1301"/>
      <c r="O131" s="1301"/>
      <c r="P131" s="1301"/>
      <c r="Q131" s="144"/>
      <c r="R131" s="144"/>
      <c r="S131" s="763"/>
    </row>
    <row r="132" spans="1:20" s="643" customFormat="1" ht="15.75" customHeight="1">
      <c r="A132" s="1282" t="s">
        <v>988</v>
      </c>
      <c r="B132" s="640" t="s">
        <v>989</v>
      </c>
      <c r="C132" s="656" t="s">
        <v>990</v>
      </c>
      <c r="D132" s="624" t="str">
        <f>VLOOKUP(F132,'Baumaterialien Matériaux'!$A$10:$AD$432,30,FALSE)</f>
        <v>Laine de roche</v>
      </c>
      <c r="E132" s="181" t="str">
        <f>_xlfn.XLOOKUP($F132,'Baumaterialien Matériaux'!$A:$A,'Baumaterialien Matériaux'!G:G,0,0)</f>
        <v>kg</v>
      </c>
      <c r="F132" s="654" t="s">
        <v>814</v>
      </c>
      <c r="G132" s="625">
        <f>0.02*80</f>
        <v>1.6</v>
      </c>
      <c r="H132" s="624"/>
      <c r="I132" s="627">
        <v>30</v>
      </c>
      <c r="J132" s="625"/>
      <c r="K132" s="625"/>
      <c r="L132" s="1025">
        <f>$G132*_xlfn.XLOOKUP($F132,'Baumaterialien Matériaux'!$A:$A,'Baumaterialien Matériaux'!AA:AA,0,0)</f>
        <v>1.8079999999999998</v>
      </c>
      <c r="M132" s="1025">
        <f>$G132*_xlfn.XLOOKUP($F132,'Baumaterialien Matériaux'!$A:$A,'Baumaterialien Matériaux'!AB:AB,0,0)</f>
        <v>9.4720000000000013E-2</v>
      </c>
      <c r="N132" s="1025">
        <f>$G132*_xlfn.XLOOKUP($F132,'Baumaterialien Matériaux'!$A:$A,'Baumaterialien Matériaux'!AC:AC,0,0)*44/12</f>
        <v>0</v>
      </c>
      <c r="O132" s="1025">
        <f>$G132*_xlfn.XLOOKUP($F132,'Baumaterialien Matériaux'!$A:$A,'Baumaterialien Matériaux'!AG:AG,0,0)</f>
        <v>0.91199999999999992</v>
      </c>
      <c r="P132" s="1357">
        <f>$G132*_xlfn.XLOOKUP($F132,'Baumaterialien Matériaux'!$A:$A,'Baumaterialien Matériaux'!AH:AH,0,0)</f>
        <v>5.568E-3</v>
      </c>
      <c r="Q132" s="144"/>
      <c r="R132" s="144"/>
      <c r="S132" s="1343"/>
      <c r="T132" s="1282"/>
    </row>
    <row r="133" spans="1:20" s="626" customFormat="1" ht="15.75" customHeight="1">
      <c r="B133" s="645"/>
      <c r="C133" s="656" t="s">
        <v>984</v>
      </c>
      <c r="D133" s="624" t="str">
        <f>VLOOKUP(F133,'Baumaterialien Matériaux'!$A$10:$AD$432,30,FALSE)</f>
        <v>Voile de polyéthylène (PE)</v>
      </c>
      <c r="E133" s="181" t="str">
        <f>_xlfn.XLOOKUP($F133,'Baumaterialien Matériaux'!$A:$A,'Baumaterialien Matériaux'!G:G,0,0)</f>
        <v>kg</v>
      </c>
      <c r="F133" s="654" t="s">
        <v>715</v>
      </c>
      <c r="G133" s="625">
        <v>0.15</v>
      </c>
      <c r="H133" s="624"/>
      <c r="I133" s="627">
        <v>30</v>
      </c>
      <c r="J133" s="625"/>
      <c r="K133" s="625"/>
      <c r="L133" s="1025">
        <f>$G133*_xlfn.XLOOKUP($F133,'Baumaterialien Matériaux'!$A:$A,'Baumaterialien Matériaux'!AA:AA,0,0)</f>
        <v>0.44400000000000001</v>
      </c>
      <c r="M133" s="1025">
        <f>$G133*_xlfn.XLOOKUP($F133,'Baumaterialien Matériaux'!$A:$A,'Baumaterialien Matériaux'!AB:AB,0,0)</f>
        <v>0.40049999999999997</v>
      </c>
      <c r="N133" s="1025">
        <f>$G133*_xlfn.XLOOKUP($F133,'Baumaterialien Matériaux'!$A:$A,'Baumaterialien Matériaux'!AC:AC,0,0)*44/12</f>
        <v>0</v>
      </c>
      <c r="O133" s="1025">
        <f>$G133*_xlfn.XLOOKUP($F133,'Baumaterialien Matériaux'!$A:$A,'Baumaterialien Matériaux'!AG:AG,0,0)</f>
        <v>0.42</v>
      </c>
      <c r="P133" s="1357">
        <f>$G133*_xlfn.XLOOKUP($F133,'Baumaterialien Matériaux'!$A:$A,'Baumaterialien Matériaux'!AH:AH,0,0)</f>
        <v>0.38549999999999995</v>
      </c>
      <c r="Q133" s="144"/>
      <c r="R133" s="144"/>
      <c r="S133" s="1343"/>
    </row>
    <row r="134" spans="1:20" s="663" customFormat="1" ht="16.5" customHeight="1" thickBot="1">
      <c r="B134" s="712"/>
      <c r="F134" s="665"/>
      <c r="G134" s="695"/>
      <c r="I134" s="1036">
        <v>30</v>
      </c>
      <c r="J134" s="695"/>
      <c r="K134" s="695"/>
      <c r="L134" s="1026">
        <f t="shared" ref="L134:P134" si="26">SUM(L132:L133)</f>
        <v>2.2519999999999998</v>
      </c>
      <c r="M134" s="1026">
        <f t="shared" si="26"/>
        <v>0.49521999999999999</v>
      </c>
      <c r="N134" s="1026">
        <f t="shared" si="26"/>
        <v>0</v>
      </c>
      <c r="O134" s="1026">
        <f t="shared" si="26"/>
        <v>1.3319999999999999</v>
      </c>
      <c r="P134" s="1026">
        <f t="shared" si="26"/>
        <v>0.39106799999999997</v>
      </c>
      <c r="Q134" s="144"/>
      <c r="R134" s="1445">
        <f>(L134+M134)/I133</f>
        <v>9.1573999999999989E-2</v>
      </c>
      <c r="S134" s="763"/>
    </row>
    <row r="135" spans="1:20" s="172" customFormat="1" ht="16.5" customHeight="1" thickTop="1">
      <c r="F135" s="690"/>
      <c r="G135" s="691"/>
      <c r="I135" s="283"/>
      <c r="J135" s="691"/>
      <c r="K135" s="691"/>
      <c r="L135" s="1301"/>
      <c r="M135" s="1301"/>
      <c r="N135" s="1301"/>
      <c r="O135" s="1301"/>
      <c r="P135" s="1301"/>
      <c r="Q135" s="144"/>
      <c r="R135" s="144"/>
      <c r="S135" s="763"/>
    </row>
    <row r="136" spans="1:20" s="145" customFormat="1" ht="15.75" customHeight="1">
      <c r="A136" s="143" t="s">
        <v>991</v>
      </c>
      <c r="B136" s="143"/>
      <c r="C136" s="143"/>
      <c r="D136" s="143"/>
      <c r="E136" s="143"/>
      <c r="F136" s="587"/>
      <c r="G136" s="144"/>
      <c r="H136" s="143"/>
      <c r="I136" s="1035"/>
      <c r="J136" s="144"/>
      <c r="K136" s="144"/>
      <c r="L136" s="1024"/>
      <c r="M136" s="1024"/>
      <c r="N136" s="1024"/>
      <c r="O136" s="1024"/>
      <c r="P136" s="1024"/>
      <c r="Q136" s="144"/>
      <c r="R136" s="144"/>
    </row>
    <row r="137" spans="1:20" s="624" customFormat="1" ht="15.75" customHeight="1">
      <c r="A137" s="1282" t="s">
        <v>809</v>
      </c>
      <c r="B137" s="641" t="s">
        <v>983</v>
      </c>
      <c r="C137" s="624" t="s">
        <v>809</v>
      </c>
      <c r="D137" s="624" t="str">
        <f>VLOOKUP(F137,'Baumaterialien Matériaux'!$A$10:$AD$432,30,FALSE)</f>
        <v>Polystyrène expansé (EPS)</v>
      </c>
      <c r="E137" s="181" t="str">
        <f>_xlfn.XLOOKUP($F137,'Baumaterialien Matériaux'!$A:$A,'Baumaterialien Matériaux'!G:G,0,0)</f>
        <v>kg</v>
      </c>
      <c r="F137" s="603" t="s">
        <v>811</v>
      </c>
      <c r="G137" s="181">
        <f>16*0.2</f>
        <v>3.2</v>
      </c>
      <c r="I137" s="627">
        <v>30</v>
      </c>
      <c r="J137" s="625"/>
      <c r="K137" s="625"/>
      <c r="L137" s="1025">
        <f>$G137*_xlfn.XLOOKUP($F137,'Baumaterialien Matériaux'!$A:$A,'Baumaterialien Matériaux'!AA:AA,0,0)</f>
        <v>14.432</v>
      </c>
      <c r="M137" s="1025">
        <f>$G137*_xlfn.XLOOKUP($F137,'Baumaterialien Matériaux'!$A:$A,'Baumaterialien Matériaux'!AB:AB,0,0)</f>
        <v>9.8879999999999999</v>
      </c>
      <c r="N137" s="1025">
        <f>$G137*_xlfn.XLOOKUP($F137,'Baumaterialien Matériaux'!$A:$A,'Baumaterialien Matériaux'!AC:AC,0,0)*44/12</f>
        <v>0</v>
      </c>
      <c r="O137" s="1025">
        <f>$G137*_xlfn.XLOOKUP($F137,'Baumaterialien Matériaux'!$A:$A,'Baumaterialien Matériaux'!AG:AG,0,0)</f>
        <v>6.3680000000000003</v>
      </c>
      <c r="P137" s="1357">
        <f>$G137*_xlfn.XLOOKUP($F137,'Baumaterialien Matériaux'!$A:$A,'Baumaterialien Matériaux'!AH:AH,0,0)</f>
        <v>2.2591999999999999</v>
      </c>
      <c r="Q137" s="144"/>
      <c r="R137" s="144"/>
      <c r="S137" s="1343"/>
      <c r="T137" s="656"/>
    </row>
    <row r="138" spans="1:20" s="624" customFormat="1" ht="15.75" customHeight="1">
      <c r="A138" s="626"/>
      <c r="B138" s="641"/>
      <c r="C138" s="624" t="s">
        <v>984</v>
      </c>
      <c r="D138" s="624" t="str">
        <f>VLOOKUP(F138,'Baumaterialien Matériaux'!$A$10:$AD$432,30,FALSE)</f>
        <v>Voile de polyéthylène (PE)</v>
      </c>
      <c r="E138" s="181" t="str">
        <f>_xlfn.XLOOKUP($F138,'Baumaterialien Matériaux'!$A:$A,'Baumaterialien Matériaux'!G:G,0,0)</f>
        <v>kg</v>
      </c>
      <c r="F138" s="654" t="s">
        <v>715</v>
      </c>
      <c r="G138" s="625">
        <v>0.15</v>
      </c>
      <c r="I138" s="627">
        <v>30</v>
      </c>
      <c r="J138" s="625"/>
      <c r="K138" s="625"/>
      <c r="L138" s="1025">
        <f>$G138*_xlfn.XLOOKUP($F138,'Baumaterialien Matériaux'!$A:$A,'Baumaterialien Matériaux'!AA:AA,0,0)</f>
        <v>0.44400000000000001</v>
      </c>
      <c r="M138" s="1025">
        <f>$G138*_xlfn.XLOOKUP($F138,'Baumaterialien Matériaux'!$A:$A,'Baumaterialien Matériaux'!AB:AB,0,0)</f>
        <v>0.40049999999999997</v>
      </c>
      <c r="N138" s="1025">
        <f>$G138*_xlfn.XLOOKUP($F138,'Baumaterialien Matériaux'!$A:$A,'Baumaterialien Matériaux'!AC:AC,0,0)*44/12</f>
        <v>0</v>
      </c>
      <c r="O138" s="1025">
        <f>$G138*_xlfn.XLOOKUP($F138,'Baumaterialien Matériaux'!$A:$A,'Baumaterialien Matériaux'!AG:AG,0,0)</f>
        <v>0.42</v>
      </c>
      <c r="P138" s="1357">
        <f>$G138*_xlfn.XLOOKUP($F138,'Baumaterialien Matériaux'!$A:$A,'Baumaterialien Matériaux'!AH:AH,0,0)</f>
        <v>0.38549999999999995</v>
      </c>
      <c r="Q138" s="144"/>
      <c r="R138" s="144"/>
      <c r="S138" s="1343"/>
      <c r="T138" s="656"/>
    </row>
    <row r="139" spans="1:20" s="661" customFormat="1" ht="15.75" thickBot="1">
      <c r="A139" s="663"/>
      <c r="F139" s="1306"/>
      <c r="L139" s="1026">
        <f t="shared" ref="L139:P139" si="27">SUM(L137:L138)</f>
        <v>14.876000000000001</v>
      </c>
      <c r="M139" s="1026">
        <f t="shared" si="27"/>
        <v>10.288499999999999</v>
      </c>
      <c r="N139" s="1026">
        <f t="shared" si="27"/>
        <v>0</v>
      </c>
      <c r="O139" s="1026">
        <f t="shared" si="27"/>
        <v>6.7880000000000003</v>
      </c>
      <c r="P139" s="1026">
        <f t="shared" si="27"/>
        <v>2.6446999999999998</v>
      </c>
      <c r="Q139" s="144"/>
      <c r="R139" s="1445">
        <f>(L139+M139)/I138</f>
        <v>0.83881666666666665</v>
      </c>
      <c r="S139" s="763">
        <v>0.25</v>
      </c>
      <c r="T139" s="1342"/>
    </row>
    <row r="140" spans="1:20" s="172" customFormat="1" ht="15.75" customHeight="1" thickTop="1">
      <c r="A140" s="692"/>
      <c r="B140" s="692"/>
      <c r="C140" s="692"/>
      <c r="D140" s="692"/>
      <c r="E140" s="692"/>
      <c r="F140" s="1303"/>
      <c r="G140" s="1302"/>
      <c r="H140" s="692"/>
      <c r="I140" s="1304"/>
      <c r="J140" s="1302"/>
      <c r="K140" s="1302"/>
      <c r="L140" s="1305"/>
      <c r="M140" s="1305"/>
      <c r="N140" s="1305"/>
      <c r="O140" s="1305"/>
      <c r="P140" s="1305"/>
      <c r="Q140" s="144"/>
      <c r="R140" s="144"/>
      <c r="S140" s="145"/>
    </row>
    <row r="141" spans="1:20" s="643" customFormat="1" ht="15.75" customHeight="1">
      <c r="A141" s="1282" t="s">
        <v>817</v>
      </c>
      <c r="B141" s="640" t="s">
        <v>986</v>
      </c>
      <c r="C141" s="656" t="s">
        <v>987</v>
      </c>
      <c r="D141" s="624" t="str">
        <f>VLOOKUP(F141,'Baumaterialien Matériaux'!$A$10:$AD$432,30,FALSE)</f>
        <v>Laine de verre</v>
      </c>
      <c r="E141" s="181" t="str">
        <f>_xlfn.XLOOKUP($F141,'Baumaterialien Matériaux'!$A:$A,'Baumaterialien Matériaux'!G:G,0,0)</f>
        <v>kg</v>
      </c>
      <c r="F141" s="654" t="s">
        <v>819</v>
      </c>
      <c r="G141" s="625">
        <f>0.2*50</f>
        <v>10</v>
      </c>
      <c r="H141" s="624"/>
      <c r="I141" s="627">
        <v>30</v>
      </c>
      <c r="J141" s="625"/>
      <c r="K141" s="625"/>
      <c r="L141" s="1025">
        <f>$G141*_xlfn.XLOOKUP($F141,'Baumaterialien Matériaux'!$A:$A,'Baumaterialien Matériaux'!AA:AA,0,0)</f>
        <v>10.4</v>
      </c>
      <c r="M141" s="1025">
        <f>$G141*_xlfn.XLOOKUP($F141,'Baumaterialien Matériaux'!$A:$A,'Baumaterialien Matériaux'!AB:AB,0,0)</f>
        <v>0.59200000000000008</v>
      </c>
      <c r="N141" s="1025">
        <f>$G141*_xlfn.XLOOKUP($F141,'Baumaterialien Matériaux'!$A:$A,'Baumaterialien Matériaux'!AC:AC,0,0)*44/12</f>
        <v>0</v>
      </c>
      <c r="O141" s="1025">
        <f>$G141*_xlfn.XLOOKUP($F141,'Baumaterialien Matériaux'!$A:$A,'Baumaterialien Matériaux'!AG:AG,0,0)</f>
        <v>4.22</v>
      </c>
      <c r="P141" s="1357">
        <f>$G141*_xlfn.XLOOKUP($F141,'Baumaterialien Matériaux'!$A:$A,'Baumaterialien Matériaux'!AH:AH,0,0)</f>
        <v>3.4799999999999998E-2</v>
      </c>
      <c r="Q141" s="144"/>
      <c r="R141" s="144"/>
      <c r="S141" s="1343"/>
      <c r="T141" s="1282"/>
    </row>
    <row r="142" spans="1:20" s="626" customFormat="1" ht="15.75" customHeight="1">
      <c r="B142" s="645"/>
      <c r="C142" s="656" t="s">
        <v>984</v>
      </c>
      <c r="D142" s="624" t="str">
        <f>VLOOKUP(F142,'Baumaterialien Matériaux'!$A$10:$AD$432,30,FALSE)</f>
        <v>Voile de polyéthylène (PE)</v>
      </c>
      <c r="E142" s="181" t="str">
        <f>_xlfn.XLOOKUP($F142,'Baumaterialien Matériaux'!$A:$A,'Baumaterialien Matériaux'!G:G,0,0)</f>
        <v>kg</v>
      </c>
      <c r="F142" s="654" t="s">
        <v>715</v>
      </c>
      <c r="G142" s="625">
        <v>0.15</v>
      </c>
      <c r="H142" s="624"/>
      <c r="I142" s="627">
        <v>30</v>
      </c>
      <c r="J142" s="625"/>
      <c r="K142" s="625"/>
      <c r="L142" s="1025">
        <f>$G142*_xlfn.XLOOKUP($F142,'Baumaterialien Matériaux'!$A:$A,'Baumaterialien Matériaux'!AA:AA,0,0)</f>
        <v>0.44400000000000001</v>
      </c>
      <c r="M142" s="1025">
        <f>$G142*_xlfn.XLOOKUP($F142,'Baumaterialien Matériaux'!$A:$A,'Baumaterialien Matériaux'!AB:AB,0,0)</f>
        <v>0.40049999999999997</v>
      </c>
      <c r="N142" s="1025">
        <f>$G142*_xlfn.XLOOKUP($F142,'Baumaterialien Matériaux'!$A:$A,'Baumaterialien Matériaux'!AC:AC,0,0)*44/12</f>
        <v>0</v>
      </c>
      <c r="O142" s="1025">
        <f>$G142*_xlfn.XLOOKUP($F142,'Baumaterialien Matériaux'!$A:$A,'Baumaterialien Matériaux'!AG:AG,0,0)</f>
        <v>0.42</v>
      </c>
      <c r="P142" s="1357">
        <f>$G142*_xlfn.XLOOKUP($F142,'Baumaterialien Matériaux'!$A:$A,'Baumaterialien Matériaux'!AH:AH,0,0)</f>
        <v>0.38549999999999995</v>
      </c>
      <c r="Q142" s="144"/>
      <c r="R142" s="144"/>
      <c r="S142" s="1343"/>
    </row>
    <row r="143" spans="1:20" s="663" customFormat="1" ht="16.5" customHeight="1" thickBot="1">
      <c r="B143" s="712"/>
      <c r="F143" s="665"/>
      <c r="G143" s="695"/>
      <c r="I143" s="1036">
        <v>30</v>
      </c>
      <c r="J143" s="695"/>
      <c r="K143" s="695"/>
      <c r="L143" s="1026">
        <f t="shared" ref="L143:N143" si="28">SUM(L141:L142)</f>
        <v>10.844000000000001</v>
      </c>
      <c r="M143" s="1026">
        <f t="shared" si="28"/>
        <v>0.99250000000000005</v>
      </c>
      <c r="N143" s="1026">
        <f t="shared" si="28"/>
        <v>0</v>
      </c>
      <c r="O143" s="1026">
        <f t="shared" ref="O143:P143" si="29">SUM(O141:O142)</f>
        <v>4.6399999999999997</v>
      </c>
      <c r="P143" s="1026">
        <f t="shared" si="29"/>
        <v>0.42029999999999995</v>
      </c>
      <c r="Q143" s="144"/>
      <c r="R143" s="1445">
        <f>(L143+M143)/I142</f>
        <v>0.39455000000000001</v>
      </c>
      <c r="S143" s="763">
        <v>0.25</v>
      </c>
    </row>
    <row r="144" spans="1:20" s="172" customFormat="1" ht="16.5" customHeight="1" thickTop="1">
      <c r="F144" s="690"/>
      <c r="G144" s="691"/>
      <c r="I144" s="283"/>
      <c r="J144" s="691"/>
      <c r="K144" s="691"/>
      <c r="L144" s="1301"/>
      <c r="M144" s="1301"/>
      <c r="N144" s="1301"/>
      <c r="O144" s="1301"/>
      <c r="P144" s="1301"/>
      <c r="Q144" s="144"/>
      <c r="R144" s="144"/>
      <c r="S144" s="763"/>
    </row>
    <row r="145" spans="1:20" s="643" customFormat="1" ht="15.75" customHeight="1">
      <c r="A145" s="1282" t="s">
        <v>812</v>
      </c>
      <c r="B145" s="640" t="s">
        <v>989</v>
      </c>
      <c r="C145" s="656" t="s">
        <v>990</v>
      </c>
      <c r="D145" s="624" t="str">
        <f>VLOOKUP(F145,'Baumaterialien Matériaux'!$A$10:$AD$432,30,FALSE)</f>
        <v>Laine de roche</v>
      </c>
      <c r="E145" s="181" t="str">
        <f>_xlfn.XLOOKUP($F145,'Baumaterialien Matériaux'!$A:$A,'Baumaterialien Matériaux'!G:G,0,0)</f>
        <v>kg</v>
      </c>
      <c r="F145" s="654" t="s">
        <v>814</v>
      </c>
      <c r="G145" s="625">
        <f>0.22*80</f>
        <v>17.600000000000001</v>
      </c>
      <c r="H145" s="624"/>
      <c r="I145" s="627">
        <v>30</v>
      </c>
      <c r="J145" s="625"/>
      <c r="K145" s="625"/>
      <c r="L145" s="1025">
        <f>$G145*_xlfn.XLOOKUP($F145,'Baumaterialien Matériaux'!$A:$A,'Baumaterialien Matériaux'!AA:AA,0,0)</f>
        <v>19.887999999999998</v>
      </c>
      <c r="M145" s="1025">
        <f>$G145*_xlfn.XLOOKUP($F145,'Baumaterialien Matériaux'!$A:$A,'Baumaterialien Matériaux'!AB:AB,0,0)</f>
        <v>1.0419200000000002</v>
      </c>
      <c r="N145" s="1025">
        <f>$G145*_xlfn.XLOOKUP($F145,'Baumaterialien Matériaux'!$A:$A,'Baumaterialien Matériaux'!AC:AC,0,0)*44/12</f>
        <v>0</v>
      </c>
      <c r="O145" s="1025">
        <f>$G145*_xlfn.XLOOKUP($F145,'Baumaterialien Matériaux'!$A:$A,'Baumaterialien Matériaux'!AG:AG,0,0)</f>
        <v>10.032</v>
      </c>
      <c r="P145" s="1357">
        <f>$G145*_xlfn.XLOOKUP($F145,'Baumaterialien Matériaux'!$A:$A,'Baumaterialien Matériaux'!AH:AH,0,0)</f>
        <v>6.1248000000000004E-2</v>
      </c>
      <c r="Q145" s="144"/>
      <c r="R145" s="144"/>
      <c r="S145" s="1343"/>
      <c r="T145" s="1282"/>
    </row>
    <row r="146" spans="1:20" s="626" customFormat="1" ht="15.75" customHeight="1">
      <c r="B146" s="645"/>
      <c r="C146" s="656" t="s">
        <v>984</v>
      </c>
      <c r="D146" s="624" t="str">
        <f>VLOOKUP(F146,'Baumaterialien Matériaux'!$A$10:$AD$432,30,FALSE)</f>
        <v>Voile de polyéthylène (PE)</v>
      </c>
      <c r="E146" s="181" t="str">
        <f>_xlfn.XLOOKUP($F146,'Baumaterialien Matériaux'!$A:$A,'Baumaterialien Matériaux'!G:G,0,0)</f>
        <v>kg</v>
      </c>
      <c r="F146" s="654" t="s">
        <v>715</v>
      </c>
      <c r="G146" s="625">
        <v>0.15</v>
      </c>
      <c r="H146" s="624"/>
      <c r="I146" s="627">
        <v>30</v>
      </c>
      <c r="J146" s="625"/>
      <c r="K146" s="625"/>
      <c r="L146" s="1025">
        <f>$G146*_xlfn.XLOOKUP($F146,'Baumaterialien Matériaux'!$A:$A,'Baumaterialien Matériaux'!AA:AA,0,0)</f>
        <v>0.44400000000000001</v>
      </c>
      <c r="M146" s="1025">
        <f>$G146*_xlfn.XLOOKUP($F146,'Baumaterialien Matériaux'!$A:$A,'Baumaterialien Matériaux'!AB:AB,0,0)</f>
        <v>0.40049999999999997</v>
      </c>
      <c r="N146" s="1025">
        <f>$G146*_xlfn.XLOOKUP($F146,'Baumaterialien Matériaux'!$A:$A,'Baumaterialien Matériaux'!AC:AC,0,0)*44/12</f>
        <v>0</v>
      </c>
      <c r="O146" s="1025">
        <f>$G146*_xlfn.XLOOKUP($F146,'Baumaterialien Matériaux'!$A:$A,'Baumaterialien Matériaux'!AG:AG,0,0)</f>
        <v>0.42</v>
      </c>
      <c r="P146" s="1357">
        <f>$G146*_xlfn.XLOOKUP($F146,'Baumaterialien Matériaux'!$A:$A,'Baumaterialien Matériaux'!AH:AH,0,0)</f>
        <v>0.38549999999999995</v>
      </c>
      <c r="Q146" s="144"/>
      <c r="R146" s="144"/>
      <c r="S146" s="1343"/>
    </row>
    <row r="147" spans="1:20" s="663" customFormat="1" ht="16.5" customHeight="1" thickBot="1">
      <c r="B147" s="712"/>
      <c r="F147" s="665"/>
      <c r="G147" s="695"/>
      <c r="I147" s="1036">
        <v>30</v>
      </c>
      <c r="J147" s="695"/>
      <c r="K147" s="695"/>
      <c r="L147" s="1026">
        <f t="shared" ref="L147:P147" si="30">SUM(L145:L146)</f>
        <v>20.331999999999997</v>
      </c>
      <c r="M147" s="1026">
        <f t="shared" si="30"/>
        <v>1.4424200000000003</v>
      </c>
      <c r="N147" s="1026">
        <f t="shared" si="30"/>
        <v>0</v>
      </c>
      <c r="O147" s="1026">
        <f t="shared" si="30"/>
        <v>10.452</v>
      </c>
      <c r="P147" s="1026">
        <f t="shared" si="30"/>
        <v>0.44674799999999998</v>
      </c>
      <c r="Q147" s="144"/>
      <c r="R147" s="1445">
        <f>(L147+M147)/I146</f>
        <v>0.72581399999999996</v>
      </c>
      <c r="S147" s="763">
        <v>0.25</v>
      </c>
    </row>
    <row r="148" spans="1:20" s="172" customFormat="1" ht="16.5" customHeight="1" thickTop="1">
      <c r="F148" s="690"/>
      <c r="G148" s="691"/>
      <c r="I148" s="283"/>
      <c r="J148" s="691"/>
      <c r="K148" s="691"/>
      <c r="L148" s="1301"/>
      <c r="M148" s="1301"/>
      <c r="N148" s="1301"/>
      <c r="O148" s="1301"/>
      <c r="P148" s="1301"/>
      <c r="Q148" s="144"/>
      <c r="R148" s="144"/>
      <c r="S148" s="763"/>
    </row>
    <row r="149" spans="1:20" s="145" customFormat="1" ht="15.75" customHeight="1">
      <c r="A149" s="143" t="s">
        <v>572</v>
      </c>
      <c r="B149" s="143"/>
      <c r="C149" s="143"/>
      <c r="D149" s="143"/>
      <c r="E149" s="143"/>
      <c r="F149" s="587"/>
      <c r="G149" s="144"/>
      <c r="H149" s="143"/>
      <c r="I149" s="1035"/>
      <c r="J149" s="144"/>
      <c r="K149" s="144"/>
      <c r="L149" s="1024"/>
      <c r="M149" s="1024"/>
      <c r="N149" s="1024"/>
      <c r="O149" s="1024"/>
      <c r="P149" s="1024"/>
      <c r="Q149" s="144"/>
      <c r="R149" s="144"/>
    </row>
    <row r="150" spans="1:20" s="1282" customFormat="1" ht="14.25">
      <c r="A150" s="1297" t="s">
        <v>992</v>
      </c>
      <c r="B150" s="1566" t="s">
        <v>689</v>
      </c>
      <c r="C150" s="624" t="s">
        <v>690</v>
      </c>
      <c r="D150" s="624" t="str">
        <f>VLOOKUP(F150,'Baumaterialien Matériaux'!$A$10:$AD$432,30,FALSE)</f>
        <v>Émulsion de bitume, 1 couche</v>
      </c>
      <c r="E150" s="624" t="str">
        <f>VLOOKUP(F150,'Baumaterialien Matériaux'!$A$10:$AD$432,7,FALSE)</f>
        <v>m2</v>
      </c>
      <c r="F150" s="1298" t="s">
        <v>691</v>
      </c>
      <c r="G150" s="1138">
        <v>2</v>
      </c>
      <c r="H150" s="625"/>
      <c r="I150" s="624">
        <v>60</v>
      </c>
      <c r="J150" s="939"/>
      <c r="K150" s="939"/>
      <c r="L150" s="1045">
        <f>$G150*_xlfn.XLOOKUP($F150,'Baumaterialien Matériaux'!$A:$A,'Baumaterialien Matériaux'!AA:AA,0,0)</f>
        <v>0.26800000000000002</v>
      </c>
      <c r="M150" s="1045">
        <f>$G150*_xlfn.XLOOKUP($F150,'Baumaterialien Matériaux'!$A:$A,'Baumaterialien Matériaux'!AB:AB,0,0)</f>
        <v>9.3600000000000003E-2</v>
      </c>
      <c r="N150" s="1045">
        <f>$G150*_xlfn.XLOOKUP($F150,'Baumaterialien Matériaux'!$A:$A,'Baumaterialien Matériaux'!AC:AC,0,0)*44/12</f>
        <v>0</v>
      </c>
      <c r="O150" s="1045">
        <f>$G150*_xlfn.XLOOKUP($F150,'Baumaterialien Matériaux'!$A:$A,'Baumaterialien Matériaux'!AG:AG,0,0)</f>
        <v>0.1734</v>
      </c>
      <c r="P150" s="1358">
        <f>$G150*_xlfn.XLOOKUP($F150,'Baumaterialien Matériaux'!$A:$A,'Baumaterialien Matériaux'!AH:AH,0,0)</f>
        <v>1.1739999999999999</v>
      </c>
      <c r="Q150" s="145"/>
      <c r="R150" s="145"/>
      <c r="S150" s="145"/>
    </row>
    <row r="151" spans="1:20" s="626" customFormat="1" ht="14.25">
      <c r="A151" s="922"/>
      <c r="B151" s="1567"/>
      <c r="C151" s="624" t="s">
        <v>692</v>
      </c>
      <c r="D151" s="624" t="str">
        <f>VLOOKUP(F151,'Baumaterialien Matériaux'!$A$10:$AD$432,30,FALSE)</f>
        <v>Polyéthylène (HDPE)</v>
      </c>
      <c r="E151" s="624" t="str">
        <f>VLOOKUP(F151,'Baumaterialien Matériaux'!$A$10:$AD$432,7,FALSE)</f>
        <v>kg</v>
      </c>
      <c r="F151" s="649" t="s">
        <v>693</v>
      </c>
      <c r="G151" s="1138">
        <v>2.5</v>
      </c>
      <c r="H151" s="625"/>
      <c r="I151" s="624">
        <v>60</v>
      </c>
      <c r="J151" s="939"/>
      <c r="K151" s="939"/>
      <c r="L151" s="1045">
        <f>$G151*_xlfn.XLOOKUP($F151,'Baumaterialien Matériaux'!$A:$A,'Baumaterialien Matériaux'!AA:AA,0,0)</f>
        <v>5.9499999999999993</v>
      </c>
      <c r="M151" s="1045">
        <f>$G151*_xlfn.XLOOKUP($F151,'Baumaterialien Matériaux'!$A:$A,'Baumaterialien Matériaux'!AB:AB,0,0)</f>
        <v>5.9250000000000007</v>
      </c>
      <c r="N151" s="1045">
        <f>$G151*_xlfn.XLOOKUP($F151,'Baumaterialien Matériaux'!$A:$A,'Baumaterialien Matériaux'!AC:AC,0,0)*44/12</f>
        <v>0</v>
      </c>
      <c r="O151" s="1045">
        <f>$G151*_xlfn.XLOOKUP($F151,'Baumaterialien Matériaux'!$A:$A,'Baumaterialien Matériaux'!AG:AG,0,0)</f>
        <v>5.4</v>
      </c>
      <c r="P151" s="1358">
        <f>$G151*_xlfn.XLOOKUP($F151,'Baumaterialien Matériaux'!$A:$A,'Baumaterialien Matériaux'!AH:AH,0,0)</f>
        <v>7.55</v>
      </c>
      <c r="Q151" s="145"/>
      <c r="R151" s="145"/>
      <c r="S151" s="145"/>
    </row>
    <row r="152" spans="1:20" s="626" customFormat="1" ht="14.25">
      <c r="A152" s="922"/>
      <c r="B152" s="1118" t="s">
        <v>694</v>
      </c>
      <c r="C152" s="624" t="s">
        <v>695</v>
      </c>
      <c r="D152" s="624" t="str">
        <f>VLOOKUP(F152,'Baumaterialien Matériaux'!$A$10:$AD$432,30,FALSE)</f>
        <v>Polystyrène extrudé (XPS)</v>
      </c>
      <c r="E152" s="624" t="str">
        <f>VLOOKUP(F152,'Baumaterialien Matériaux'!$A$10:$AD$432,7,FALSE)</f>
        <v>kg</v>
      </c>
      <c r="F152" s="624" t="s">
        <v>696</v>
      </c>
      <c r="G152" s="1138">
        <f>33*0.2</f>
        <v>6.6000000000000005</v>
      </c>
      <c r="H152" s="625"/>
      <c r="I152" s="642">
        <v>60</v>
      </c>
      <c r="J152" s="939"/>
      <c r="K152" s="939"/>
      <c r="L152" s="1048">
        <f>$G152*_xlfn.XLOOKUP($F152,'Baumaterialien Matériaux'!$A:$A,'Baumaterialien Matériaux'!AA:AA,0,0)</f>
        <v>74.580000000000013</v>
      </c>
      <c r="M152" s="1048">
        <f>$G152*_xlfn.XLOOKUP($F152,'Baumaterialien Matériaux'!$A:$A,'Baumaterialien Matériaux'!AB:AB,0,0)</f>
        <v>20.394000000000002</v>
      </c>
      <c r="N152" s="1048">
        <f>$G152*_xlfn.XLOOKUP($F152,'Baumaterialien Matériaux'!$A:$A,'Baumaterialien Matériaux'!AC:AC,0,0)*44/12</f>
        <v>0</v>
      </c>
      <c r="O152" s="1048">
        <f>$G152*_xlfn.XLOOKUP($F152,'Baumaterialien Matériaux'!$A:$A,'Baumaterialien Matériaux'!AG:AG,0,0)</f>
        <v>11.55</v>
      </c>
      <c r="P152" s="1048">
        <f>$G152*_xlfn.XLOOKUP($F152,'Baumaterialien Matériaux'!$A:$A,'Baumaterialien Matériaux'!AH:AH,0,0)</f>
        <v>4.6596000000000002</v>
      </c>
      <c r="Q152" s="145"/>
      <c r="R152" s="145"/>
      <c r="S152" s="145"/>
    </row>
    <row r="153" spans="1:20" s="663" customFormat="1" ht="15.75" thickBot="1">
      <c r="B153" s="741"/>
      <c r="G153" s="1299"/>
      <c r="H153" s="695"/>
      <c r="J153" s="1300"/>
      <c r="K153" s="1300"/>
      <c r="L153" s="1026">
        <f>SUM(L150:L152)</f>
        <v>80.798000000000016</v>
      </c>
      <c r="M153" s="1026">
        <f>SUM(M150:M152)</f>
        <v>26.412600000000005</v>
      </c>
      <c r="N153" s="1026">
        <f>SUM(N150:N152)</f>
        <v>0</v>
      </c>
      <c r="O153" s="1026">
        <f>SUM(O150:O152)</f>
        <v>17.1234</v>
      </c>
      <c r="P153" s="1026">
        <f>SUM(P150:P152)</f>
        <v>13.383600000000001</v>
      </c>
      <c r="Q153" s="145"/>
      <c r="R153" s="1445">
        <f>(L153+M153)/I152</f>
        <v>1.7868433333333338</v>
      </c>
      <c r="S153" s="145"/>
    </row>
    <row r="154" spans="1:20" s="172" customFormat="1" thickTop="1">
      <c r="B154" s="1293"/>
      <c r="G154" s="1294"/>
      <c r="H154" s="691"/>
      <c r="J154" s="1295"/>
      <c r="K154" s="1295"/>
      <c r="L154" s="1296"/>
      <c r="M154" s="1296"/>
      <c r="N154" s="1296"/>
      <c r="O154" s="1296"/>
      <c r="P154" s="1296"/>
      <c r="Q154" s="145"/>
      <c r="R154" s="145"/>
      <c r="S154" s="145"/>
    </row>
    <row r="155" spans="1:20" s="145" customFormat="1" ht="15.75" customHeight="1">
      <c r="A155" s="143" t="s">
        <v>574</v>
      </c>
      <c r="B155" s="143" t="str">
        <f>'Outil détaillé'!D54</f>
        <v>Revêtement intérieurs parois</v>
      </c>
      <c r="C155" s="143"/>
      <c r="D155" s="143"/>
      <c r="E155" s="143"/>
      <c r="F155" s="587"/>
      <c r="G155" s="144"/>
      <c r="H155" s="143"/>
      <c r="I155" s="1035"/>
      <c r="J155" s="144"/>
      <c r="K155" s="144"/>
      <c r="L155" s="1024"/>
      <c r="M155" s="1024"/>
      <c r="N155" s="1024"/>
      <c r="O155" s="1024"/>
      <c r="P155" s="1024"/>
      <c r="Q155" s="144"/>
      <c r="R155" s="144"/>
    </row>
    <row r="156" spans="1:20" s="643" customFormat="1" ht="15.75" customHeight="1">
      <c r="A156" s="1282" t="s">
        <v>993</v>
      </c>
      <c r="B156" s="1568" t="s">
        <v>994</v>
      </c>
      <c r="C156" s="656" t="s">
        <v>995</v>
      </c>
      <c r="D156" s="624" t="str">
        <f>VLOOKUP(F156,'Baumaterialien Matériaux'!$A$10:$AD$432,30,FALSE)</f>
        <v>Enduit en plâtre et en ciment</v>
      </c>
      <c r="E156" s="181" t="str">
        <f>_xlfn.XLOOKUP($F156,'Baumaterialien Matériaux'!$A:$A,'Baumaterialien Matériaux'!G:G,0,0)</f>
        <v>kg</v>
      </c>
      <c r="F156" s="653" t="s">
        <v>760</v>
      </c>
      <c r="G156" s="625">
        <f>2*18</f>
        <v>36</v>
      </c>
      <c r="H156" s="624"/>
      <c r="I156" s="627">
        <v>30</v>
      </c>
      <c r="J156" s="625"/>
      <c r="K156" s="625"/>
      <c r="L156" s="1025">
        <f>$G156*_xlfn.XLOOKUP($F156,'Baumaterialien Matériaux'!$A:$A,'Baumaterialien Matériaux'!AA:AA,0,0)</f>
        <v>9.0359999999999996</v>
      </c>
      <c r="M156" s="1025">
        <f>$G156*_xlfn.XLOOKUP($F156,'Baumaterialien Matériaux'!$A:$A,'Baumaterialien Matériaux'!AB:AB,0,0)</f>
        <v>0.4572</v>
      </c>
      <c r="N156" s="1025">
        <f>$G156*_xlfn.XLOOKUP($F156,'Baumaterialien Matériaux'!$A:$A,'Baumaterialien Matériaux'!AC:AC,0,0)*44/12</f>
        <v>0</v>
      </c>
      <c r="O156" s="1025">
        <f>$G156*_xlfn.XLOOKUP($F156,'Baumaterialien Matériaux'!$A:$A,'Baumaterialien Matériaux'!AG:AG,0,0)</f>
        <v>5.6159999999999997</v>
      </c>
      <c r="P156" s="1357">
        <f>$G156*_xlfn.XLOOKUP($F156,'Baumaterialien Matériaux'!$A:$A,'Baumaterialien Matériaux'!AH:AH,0,0)</f>
        <v>0.11771999999999999</v>
      </c>
      <c r="Q156" s="144"/>
      <c r="R156" s="144"/>
      <c r="S156" s="1582"/>
      <c r="T156" s="1282"/>
    </row>
    <row r="157" spans="1:20" s="626" customFormat="1" ht="15.75" customHeight="1">
      <c r="B157" s="1568"/>
      <c r="C157" s="656" t="s">
        <v>996</v>
      </c>
      <c r="D157" s="624" t="str">
        <f>VLOOKUP(F157,'Baumaterialien Matériaux'!$A$10:$AD$432,30,FALSE)</f>
        <v>Enduit minéral</v>
      </c>
      <c r="E157" s="181" t="str">
        <f>_xlfn.XLOOKUP($F157,'Baumaterialien Matériaux'!$A:$A,'Baumaterialien Matériaux'!G:G,0,0)</f>
        <v>kg</v>
      </c>
      <c r="F157" s="654" t="s">
        <v>997</v>
      </c>
      <c r="G157" s="625">
        <f>2*3.5</f>
        <v>7</v>
      </c>
      <c r="H157" s="624"/>
      <c r="I157" s="627">
        <v>30</v>
      </c>
      <c r="J157" s="625"/>
      <c r="K157" s="625"/>
      <c r="L157" s="1025">
        <f>$G157*_xlfn.XLOOKUP($F157,'Baumaterialien Matériaux'!$A:$A,'Baumaterialien Matériaux'!AA:AA,0,0)</f>
        <v>0.96600000000000008</v>
      </c>
      <c r="M157" s="1025">
        <f>$G157*_xlfn.XLOOKUP($F157,'Baumaterialien Matériaux'!$A:$A,'Baumaterialien Matériaux'!AB:AB,0,0)</f>
        <v>8.8899999999999993E-2</v>
      </c>
      <c r="N157" s="1025">
        <f>$G157*_xlfn.XLOOKUP($F157,'Baumaterialien Matériaux'!$A:$A,'Baumaterialien Matériaux'!AC:AC,0,0)*44/12</f>
        <v>0</v>
      </c>
      <c r="O157" s="1025">
        <f>$G157*_xlfn.XLOOKUP($F157,'Baumaterialien Matériaux'!$A:$A,'Baumaterialien Matériaux'!AG:AG,0,0)</f>
        <v>0.96600000000000008</v>
      </c>
      <c r="P157" s="1357">
        <f>$G157*_xlfn.XLOOKUP($F157,'Baumaterialien Matériaux'!$A:$A,'Baumaterialien Matériaux'!AH:AH,0,0)</f>
        <v>2.2890000000000001E-2</v>
      </c>
      <c r="Q157" s="144"/>
      <c r="R157" s="144"/>
      <c r="S157" s="1582"/>
    </row>
    <row r="158" spans="1:20" s="626" customFormat="1" ht="15.75" customHeight="1">
      <c r="B158" s="1568"/>
      <c r="C158" s="656" t="s">
        <v>998</v>
      </c>
      <c r="D158" s="624" t="str">
        <f>VLOOKUP(F158,'Baumaterialien Matériaux'!$A$10:$AD$432,30,FALSE)</f>
        <v>Enduit, diluable à l'eau, 2 couches</v>
      </c>
      <c r="E158" s="181" t="str">
        <f>_xlfn.XLOOKUP($F158,'Baumaterialien Matériaux'!$A:$A,'Baumaterialien Matériaux'!G:G,0,0)</f>
        <v>m2</v>
      </c>
      <c r="F158" s="655" t="s">
        <v>762</v>
      </c>
      <c r="G158" s="625">
        <f>2*1</f>
        <v>2</v>
      </c>
      <c r="H158" s="624"/>
      <c r="I158" s="627">
        <v>30</v>
      </c>
      <c r="J158" s="625"/>
      <c r="K158" s="625"/>
      <c r="L158" s="1025">
        <f>$G158*_xlfn.XLOOKUP($F158,'Baumaterialien Matériaux'!$A:$A,'Baumaterialien Matériaux'!AA:AA,0,0)</f>
        <v>1.29</v>
      </c>
      <c r="M158" s="1025">
        <f>$G158*_xlfn.XLOOKUP($F158,'Baumaterialien Matériaux'!$A:$A,'Baumaterialien Matériaux'!AB:AB,0,0)</f>
        <v>0.1124</v>
      </c>
      <c r="N158" s="1025">
        <f>$G158*_xlfn.XLOOKUP($F158,'Baumaterialien Matériaux'!$A:$A,'Baumaterialien Matériaux'!AC:AC,0,0)*44/12</f>
        <v>0</v>
      </c>
      <c r="O158" s="1025">
        <f>$G158*_xlfn.XLOOKUP($F158,'Baumaterialien Matériaux'!$A:$A,'Baumaterialien Matériaux'!AG:AG,0,0)</f>
        <v>1.0880000000000001</v>
      </c>
      <c r="P158" s="1357">
        <f>$G158*_xlfn.XLOOKUP($F158,'Baumaterialien Matériaux'!$A:$A,'Baumaterialien Matériaux'!AH:AH,0,0)</f>
        <v>1.4319999999999999</v>
      </c>
      <c r="Q158" s="144"/>
      <c r="R158" s="144"/>
      <c r="S158" s="1582"/>
    </row>
    <row r="159" spans="1:20" s="663" customFormat="1" ht="16.5" customHeight="1" thickBot="1">
      <c r="B159" s="749"/>
      <c r="F159" s="665"/>
      <c r="I159" s="1036">
        <v>30</v>
      </c>
      <c r="L159" s="1026">
        <f>SUM(L156:L158)</f>
        <v>11.291999999999998</v>
      </c>
      <c r="M159" s="1026">
        <f>SUM(M156:M158)</f>
        <v>0.65850000000000009</v>
      </c>
      <c r="N159" s="1026">
        <f>SUM(N156:N158)</f>
        <v>0</v>
      </c>
      <c r="O159" s="1026">
        <f>SUM(O156:O158)</f>
        <v>7.67</v>
      </c>
      <c r="P159" s="1026">
        <f>SUM(P156:P158)</f>
        <v>1.5726099999999998</v>
      </c>
      <c r="Q159" s="144"/>
      <c r="R159" s="1445">
        <f>(L159+M159)/I158</f>
        <v>0.39834999999999993</v>
      </c>
      <c r="S159" s="936"/>
    </row>
    <row r="160" spans="1:20" ht="16.5" customHeight="1" thickTop="1">
      <c r="B160" s="2"/>
      <c r="I160" s="1034"/>
      <c r="L160" s="1023"/>
      <c r="M160" s="1023"/>
      <c r="N160" s="1023"/>
      <c r="O160" s="1023"/>
      <c r="P160" s="1023"/>
    </row>
    <row r="161" spans="1:20" s="643" customFormat="1" ht="15.75" customHeight="1">
      <c r="A161" s="646" t="s">
        <v>999</v>
      </c>
      <c r="B161" s="1570" t="s">
        <v>1000</v>
      </c>
      <c r="C161" s="656" t="s">
        <v>1001</v>
      </c>
      <c r="D161" s="624" t="str">
        <f>VLOOKUP(F161,'Baumaterialien Matériaux'!$A$10:$AD$432,30,FALSE)</f>
        <v>Enduit en plâtre et chaux</v>
      </c>
      <c r="E161" s="181" t="str">
        <f>_xlfn.XLOOKUP($F161,'Baumaterialien Matériaux'!$A:$A,'Baumaterialien Matériaux'!G:G,0,0)</f>
        <v>kg</v>
      </c>
      <c r="F161" s="653" t="s">
        <v>1002</v>
      </c>
      <c r="G161" s="625">
        <f>2*1400*0.004</f>
        <v>11.200000000000001</v>
      </c>
      <c r="H161" s="624"/>
      <c r="I161" s="627">
        <v>30</v>
      </c>
      <c r="J161" s="625"/>
      <c r="K161" s="625"/>
      <c r="L161" s="1025">
        <f>$G161*_xlfn.XLOOKUP($F161,'Baumaterialien Matériaux'!$A:$A,'Baumaterialien Matériaux'!AA:AA,0,0)</f>
        <v>1.6240000000000001</v>
      </c>
      <c r="M161" s="1025">
        <f>$G161*_xlfn.XLOOKUP($F161,'Baumaterialien Matériaux'!$A:$A,'Baumaterialien Matériaux'!AB:AB,0,0)</f>
        <v>0.14224000000000001</v>
      </c>
      <c r="N161" s="1025">
        <f>$G161*_xlfn.XLOOKUP($F161,'Baumaterialien Matériaux'!$A:$A,'Baumaterialien Matériaux'!AC:AC,0,0)*44/12</f>
        <v>0</v>
      </c>
      <c r="O161" s="1025">
        <f>$G161*_xlfn.XLOOKUP($F161,'Baumaterialien Matériaux'!$A:$A,'Baumaterialien Matériaux'!AG:AG,0,0)</f>
        <v>1.6240000000000001</v>
      </c>
      <c r="P161" s="1357">
        <f>$G161*_xlfn.XLOOKUP($F161,'Baumaterialien Matériaux'!$A:$A,'Baumaterialien Matériaux'!AH:AH,0,0)</f>
        <v>3.6624000000000004E-2</v>
      </c>
      <c r="Q161" s="144"/>
      <c r="R161" s="144"/>
      <c r="S161" s="1588"/>
      <c r="T161" s="1282"/>
    </row>
    <row r="162" spans="1:20" s="626" customFormat="1" ht="15.75" customHeight="1">
      <c r="B162" s="1590"/>
      <c r="C162" s="656" t="s">
        <v>998</v>
      </c>
      <c r="D162" s="624" t="str">
        <f>VLOOKUP(F162,'Baumaterialien Matériaux'!$A$10:$AD$432,30,FALSE)</f>
        <v>Enduit, diluable à l'eau, 2 couches</v>
      </c>
      <c r="E162" s="181" t="str">
        <f>_xlfn.XLOOKUP($F162,'Baumaterialien Matériaux'!$A:$A,'Baumaterialien Matériaux'!G:G,0,0)</f>
        <v>m2</v>
      </c>
      <c r="F162" s="655" t="s">
        <v>762</v>
      </c>
      <c r="G162" s="625">
        <f>2*1</f>
        <v>2</v>
      </c>
      <c r="H162" s="624"/>
      <c r="I162" s="627">
        <v>30</v>
      </c>
      <c r="J162" s="625"/>
      <c r="K162" s="625"/>
      <c r="L162" s="1025">
        <f>$G162*_xlfn.XLOOKUP($F162,'Baumaterialien Matériaux'!$A:$A,'Baumaterialien Matériaux'!AA:AA,0,0)</f>
        <v>1.29</v>
      </c>
      <c r="M162" s="1025">
        <f>$G162*_xlfn.XLOOKUP($F162,'Baumaterialien Matériaux'!$A:$A,'Baumaterialien Matériaux'!AB:AB,0,0)</f>
        <v>0.1124</v>
      </c>
      <c r="N162" s="1025">
        <f>$G162*_xlfn.XLOOKUP($F162,'Baumaterialien Matériaux'!$A:$A,'Baumaterialien Matériaux'!AC:AC,0,0)*44/12</f>
        <v>0</v>
      </c>
      <c r="O162" s="1025">
        <f>$G162*_xlfn.XLOOKUP($F162,'Baumaterialien Matériaux'!$A:$A,'Baumaterialien Matériaux'!AG:AG,0,0)</f>
        <v>1.0880000000000001</v>
      </c>
      <c r="P162" s="1357">
        <f>$G162*_xlfn.XLOOKUP($F162,'Baumaterialien Matériaux'!$A:$A,'Baumaterialien Matériaux'!AH:AH,0,0)</f>
        <v>1.4319999999999999</v>
      </c>
      <c r="Q162" s="144"/>
      <c r="R162" s="144"/>
      <c r="S162" s="1589"/>
    </row>
    <row r="163" spans="1:20" s="663" customFormat="1" ht="16.5" customHeight="1" thickBot="1">
      <c r="B163" s="741"/>
      <c r="F163" s="742"/>
      <c r="G163" s="695"/>
      <c r="I163" s="1036">
        <v>30</v>
      </c>
      <c r="J163" s="695"/>
      <c r="K163" s="695"/>
      <c r="L163" s="1026">
        <f t="shared" ref="L163:N163" si="31">SUM(L161:L162)</f>
        <v>2.9140000000000001</v>
      </c>
      <c r="M163" s="1026">
        <f t="shared" si="31"/>
        <v>0.25463999999999998</v>
      </c>
      <c r="N163" s="1026">
        <f t="shared" si="31"/>
        <v>0</v>
      </c>
      <c r="O163" s="1026">
        <f t="shared" ref="O163:P163" si="32">SUM(O161:O162)</f>
        <v>2.7120000000000002</v>
      </c>
      <c r="P163" s="1026">
        <f t="shared" si="32"/>
        <v>1.4686239999999999</v>
      </c>
      <c r="Q163" s="144"/>
      <c r="R163" s="1445">
        <f>(L163+M163)/I162</f>
        <v>0.10562133333333333</v>
      </c>
      <c r="S163" s="936"/>
    </row>
    <row r="164" spans="1:20" ht="16.5" customHeight="1" thickTop="1">
      <c r="B164" s="2"/>
      <c r="I164" s="1034"/>
      <c r="L164" s="1023"/>
      <c r="M164" s="1023"/>
      <c r="N164" s="1023"/>
      <c r="O164" s="1023"/>
      <c r="P164" s="1023"/>
    </row>
    <row r="165" spans="1:20" s="145" customFormat="1" ht="15.75" customHeight="1">
      <c r="A165" s="143" t="s">
        <v>1003</v>
      </c>
      <c r="B165" s="143" t="str">
        <f>'Outil détaillé'!D57</f>
        <v>Revetements plafonds</v>
      </c>
      <c r="C165" s="143"/>
      <c r="D165" s="143"/>
      <c r="E165" s="143"/>
      <c r="F165" s="587"/>
      <c r="G165" s="143"/>
      <c r="H165" s="143"/>
      <c r="I165" s="1039"/>
      <c r="J165" s="143"/>
      <c r="K165" s="143"/>
      <c r="L165" s="936"/>
      <c r="M165" s="936"/>
      <c r="N165" s="936"/>
      <c r="O165" s="936"/>
      <c r="P165" s="936"/>
      <c r="Q165" s="144"/>
      <c r="R165" s="144"/>
    </row>
    <row r="166" spans="1:20" s="643" customFormat="1" ht="15.75" customHeight="1">
      <c r="A166" s="1282" t="s">
        <v>993</v>
      </c>
      <c r="B166" s="641" t="s">
        <v>1004</v>
      </c>
      <c r="C166" s="656" t="s">
        <v>995</v>
      </c>
      <c r="D166" s="624" t="str">
        <f>VLOOKUP(F166,'Baumaterialien Matériaux'!$A$10:$AD$432,30,FALSE)</f>
        <v>Enduit en plâtre et en ciment</v>
      </c>
      <c r="E166" s="181" t="str">
        <f>_xlfn.XLOOKUP($F166,'Baumaterialien Matériaux'!$A:$A,'Baumaterialien Matériaux'!G:G,0,0)</f>
        <v>kg</v>
      </c>
      <c r="F166" s="653" t="s">
        <v>760</v>
      </c>
      <c r="G166" s="625">
        <v>18</v>
      </c>
      <c r="H166" s="1282"/>
      <c r="I166" s="627">
        <v>30</v>
      </c>
      <c r="J166" s="625"/>
      <c r="K166" s="625"/>
      <c r="L166" s="1025">
        <f>$G166*_xlfn.XLOOKUP($F166,'Baumaterialien Matériaux'!$A:$A,'Baumaterialien Matériaux'!AA:AA,0,0)</f>
        <v>4.5179999999999998</v>
      </c>
      <c r="M166" s="1025">
        <f>$G166*_xlfn.XLOOKUP($F166,'Baumaterialien Matériaux'!$A:$A,'Baumaterialien Matériaux'!AB:AB,0,0)</f>
        <v>0.2286</v>
      </c>
      <c r="N166" s="1025">
        <f>$G166*_xlfn.XLOOKUP($F166,'Baumaterialien Matériaux'!$A:$A,'Baumaterialien Matériaux'!AC:AC,0,0)*44/12</f>
        <v>0</v>
      </c>
      <c r="O166" s="1025">
        <f>$G166*_xlfn.XLOOKUP($F166,'Baumaterialien Matériaux'!$A:$A,'Baumaterialien Matériaux'!AG:AG,0,0)</f>
        <v>2.8079999999999998</v>
      </c>
      <c r="P166" s="1357">
        <f>$G166*_xlfn.XLOOKUP($F166,'Baumaterialien Matériaux'!$A:$A,'Baumaterialien Matériaux'!AH:AH,0,0)</f>
        <v>5.8859999999999996E-2</v>
      </c>
      <c r="Q166" s="144"/>
      <c r="R166" s="144"/>
      <c r="S166" s="1344"/>
      <c r="T166" s="1282"/>
    </row>
    <row r="167" spans="1:20" s="626" customFormat="1" ht="15.75" customHeight="1">
      <c r="B167" s="641"/>
      <c r="C167" s="656" t="s">
        <v>996</v>
      </c>
      <c r="D167" s="624" t="str">
        <f>VLOOKUP(F167,'Baumaterialien Matériaux'!$A$10:$AD$432,30,FALSE)</f>
        <v>Enduit minéral</v>
      </c>
      <c r="E167" s="181" t="str">
        <f>_xlfn.XLOOKUP($F167,'Baumaterialien Matériaux'!$A:$A,'Baumaterialien Matériaux'!G:G,0,0)</f>
        <v>kg</v>
      </c>
      <c r="F167" s="654" t="s">
        <v>997</v>
      </c>
      <c r="G167" s="625">
        <v>3.5</v>
      </c>
      <c r="I167" s="627">
        <v>30</v>
      </c>
      <c r="J167" s="625"/>
      <c r="K167" s="625"/>
      <c r="L167" s="1025">
        <f>$G167*_xlfn.XLOOKUP($F167,'Baumaterialien Matériaux'!$A:$A,'Baumaterialien Matériaux'!AA:AA,0,0)</f>
        <v>0.48300000000000004</v>
      </c>
      <c r="M167" s="1025">
        <f>$G167*_xlfn.XLOOKUP($F167,'Baumaterialien Matériaux'!$A:$A,'Baumaterialien Matériaux'!AB:AB,0,0)</f>
        <v>4.4449999999999996E-2</v>
      </c>
      <c r="N167" s="1025">
        <f>$G167*_xlfn.XLOOKUP($F167,'Baumaterialien Matériaux'!$A:$A,'Baumaterialien Matériaux'!AC:AC,0,0)*44/12</f>
        <v>0</v>
      </c>
      <c r="O167" s="1025">
        <f>$G167*_xlfn.XLOOKUP($F167,'Baumaterialien Matériaux'!$A:$A,'Baumaterialien Matériaux'!AG:AG,0,0)</f>
        <v>0.48300000000000004</v>
      </c>
      <c r="P167" s="1357">
        <f>$G167*_xlfn.XLOOKUP($F167,'Baumaterialien Matériaux'!$A:$A,'Baumaterialien Matériaux'!AH:AH,0,0)</f>
        <v>1.1445E-2</v>
      </c>
      <c r="Q167" s="144"/>
      <c r="R167" s="144"/>
      <c r="S167" s="1344"/>
    </row>
    <row r="168" spans="1:20" s="626" customFormat="1" ht="15.75" customHeight="1">
      <c r="B168" s="641"/>
      <c r="C168" s="656" t="s">
        <v>998</v>
      </c>
      <c r="D168" s="624" t="str">
        <f>VLOOKUP(F168,'Baumaterialien Matériaux'!$A$10:$AD$432,30,FALSE)</f>
        <v>Enduit, diluable à l'eau, 2 couches</v>
      </c>
      <c r="E168" s="181" t="str">
        <f>_xlfn.XLOOKUP($F168,'Baumaterialien Matériaux'!$A:$A,'Baumaterialien Matériaux'!G:G,0,0)</f>
        <v>m2</v>
      </c>
      <c r="F168" s="655" t="s">
        <v>762</v>
      </c>
      <c r="G168" s="625">
        <v>1</v>
      </c>
      <c r="I168" s="627">
        <v>30</v>
      </c>
      <c r="J168" s="625"/>
      <c r="K168" s="625"/>
      <c r="L168" s="1025">
        <f>$G168*_xlfn.XLOOKUP($F168,'Baumaterialien Matériaux'!$A:$A,'Baumaterialien Matériaux'!AA:AA,0,0)</f>
        <v>0.64500000000000002</v>
      </c>
      <c r="M168" s="1025">
        <f>$G168*_xlfn.XLOOKUP($F168,'Baumaterialien Matériaux'!$A:$A,'Baumaterialien Matériaux'!AB:AB,0,0)</f>
        <v>5.62E-2</v>
      </c>
      <c r="N168" s="1025">
        <f>$G168*_xlfn.XLOOKUP($F168,'Baumaterialien Matériaux'!$A:$A,'Baumaterialien Matériaux'!AC:AC,0,0)*44/12</f>
        <v>0</v>
      </c>
      <c r="O168" s="1025">
        <f>$G168*_xlfn.XLOOKUP($F168,'Baumaterialien Matériaux'!$A:$A,'Baumaterialien Matériaux'!AG:AG,0,0)</f>
        <v>0.54400000000000004</v>
      </c>
      <c r="P168" s="1357">
        <f>$G168*_xlfn.XLOOKUP($F168,'Baumaterialien Matériaux'!$A:$A,'Baumaterialien Matériaux'!AH:AH,0,0)</f>
        <v>0.71599999999999997</v>
      </c>
      <c r="Q168" s="144"/>
      <c r="R168" s="144"/>
      <c r="S168" s="1344"/>
    </row>
    <row r="169" spans="1:20" s="663" customFormat="1" ht="16.5" customHeight="1" thickBot="1">
      <c r="B169" s="750"/>
      <c r="F169" s="742"/>
      <c r="G169" s="695"/>
      <c r="I169" s="1036">
        <v>30</v>
      </c>
      <c r="J169" s="695"/>
      <c r="K169" s="695"/>
      <c r="L169" s="1026">
        <f t="shared" ref="L169:N169" si="33">SUM(L166:L168)</f>
        <v>5.645999999999999</v>
      </c>
      <c r="M169" s="1026">
        <f t="shared" si="33"/>
        <v>0.32925000000000004</v>
      </c>
      <c r="N169" s="1026">
        <f t="shared" si="33"/>
        <v>0</v>
      </c>
      <c r="O169" s="1026">
        <f t="shared" ref="O169:P169" si="34">SUM(O166:O168)</f>
        <v>3.835</v>
      </c>
      <c r="P169" s="1026">
        <f t="shared" si="34"/>
        <v>0.78630499999999992</v>
      </c>
      <c r="Q169" s="144"/>
      <c r="R169" s="1445">
        <f>(L169+M169)/I168</f>
        <v>0.19917499999999996</v>
      </c>
      <c r="S169" s="763"/>
    </row>
    <row r="170" spans="1:20" ht="16.5" customHeight="1" thickTop="1">
      <c r="I170" s="1034"/>
      <c r="L170" s="1023"/>
      <c r="M170" s="1023"/>
      <c r="N170" s="1023"/>
      <c r="O170" s="1023"/>
      <c r="P170" s="1023"/>
    </row>
    <row r="171" spans="1:20" s="643" customFormat="1" ht="14.25" customHeight="1">
      <c r="A171" s="646" t="s">
        <v>1005</v>
      </c>
      <c r="B171" s="641" t="s">
        <v>1006</v>
      </c>
      <c r="C171" s="656" t="s">
        <v>733</v>
      </c>
      <c r="D171" s="624" t="str">
        <f>VLOOKUP(F171,'Baumaterialien Matériaux'!$A$10:$AD$432,30,FALSE)</f>
        <v>Bois massif épicéa / sapin / mélèze, séché à l'air, brut</v>
      </c>
      <c r="E171" s="181" t="str">
        <f>_xlfn.XLOOKUP($F171,'Baumaterialien Matériaux'!$A:$A,'Baumaterialien Matériaux'!G:G,0,0)</f>
        <v>kg</v>
      </c>
      <c r="F171" s="632" t="s">
        <v>734</v>
      </c>
      <c r="G171" s="625">
        <f>1/0.6*0.04*0.06*485</f>
        <v>1.94</v>
      </c>
      <c r="H171" s="624"/>
      <c r="I171" s="627">
        <v>30</v>
      </c>
      <c r="J171" s="625"/>
      <c r="K171" s="625"/>
      <c r="L171" s="1025">
        <f>$G171*_xlfn.XLOOKUP($F171,'Baumaterialien Matériaux'!$A:$A,'Baumaterialien Matériaux'!AA:AA,0,0)</f>
        <v>0.17537599999999998</v>
      </c>
      <c r="M171" s="1025">
        <f>$G171*_xlfn.XLOOKUP($F171,'Baumaterialien Matériaux'!$A:$A,'Baumaterialien Matériaux'!AB:AB,0,0)</f>
        <v>7.5659999999999991E-2</v>
      </c>
      <c r="N171" s="1025">
        <f>$G171*_xlfn.XLOOKUP($F171,'Baumaterialien Matériaux'!$A:$A,'Baumaterialien Matériaux'!AC:AC,0,0)*44/12</f>
        <v>2.9378066666666665</v>
      </c>
      <c r="O171" s="1025">
        <f>$G171*_xlfn.XLOOKUP($F171,'Baumaterialien Matériaux'!$A:$A,'Baumaterialien Matériaux'!AG:AG,0,0)</f>
        <v>5.3543999999999994E-2</v>
      </c>
      <c r="P171" s="1357">
        <f>$G171*_xlfn.XLOOKUP($F171,'Baumaterialien Matériaux'!$A:$A,'Baumaterialien Matériaux'!AH:AH,0,0)</f>
        <v>1.29398E-2</v>
      </c>
      <c r="Q171" s="144"/>
      <c r="R171" s="144"/>
      <c r="S171" s="1588"/>
      <c r="T171" s="1282"/>
    </row>
    <row r="172" spans="1:20" s="626" customFormat="1" ht="15.75" customHeight="1">
      <c r="B172" s="641"/>
      <c r="C172" s="626" t="s">
        <v>1007</v>
      </c>
      <c r="D172" s="624" t="str">
        <f>VLOOKUP(F172,'Baumaterialien Matériaux'!$A$10:$AD$432,30,FALSE)</f>
        <v>Plaque de plâtre cartonnée</v>
      </c>
      <c r="E172" s="181" t="str">
        <f>_xlfn.XLOOKUP($F172,'Baumaterialien Matériaux'!$A:$A,'Baumaterialien Matériaux'!G:G,0,0)</f>
        <v>kg</v>
      </c>
      <c r="F172" s="657" t="s">
        <v>1008</v>
      </c>
      <c r="G172" s="625">
        <f>850*0.0125</f>
        <v>10.625</v>
      </c>
      <c r="H172" s="624"/>
      <c r="I172" s="627">
        <v>30</v>
      </c>
      <c r="J172" s="625"/>
      <c r="K172" s="625"/>
      <c r="L172" s="1025">
        <f>$G172*_xlfn.XLOOKUP($F172,'Baumaterialien Matériaux'!$A:$A,'Baumaterialien Matériaux'!AA:AA,0,0)</f>
        <v>3.0068749999999995</v>
      </c>
      <c r="M172" s="1025">
        <f>$G172*_xlfn.XLOOKUP($F172,'Baumaterialien Matériaux'!$A:$A,'Baumaterialien Matériaux'!AB:AB,0,0)</f>
        <v>0.19868750000000002</v>
      </c>
      <c r="N172" s="1025">
        <f>$G172*_xlfn.XLOOKUP($F172,'Baumaterialien Matériaux'!$A:$A,'Baumaterialien Matériaux'!AC:AC,0,0)*44/12</f>
        <v>0.70124999999999993</v>
      </c>
      <c r="O172" s="1025">
        <f>$G172*_xlfn.XLOOKUP($F172,'Baumaterialien Matériaux'!$A:$A,'Baumaterialien Matériaux'!AG:AG,0,0)</f>
        <v>1.901875</v>
      </c>
      <c r="P172" s="1357">
        <f>$G172*_xlfn.XLOOKUP($F172,'Baumaterialien Matériaux'!$A:$A,'Baumaterialien Matériaux'!AH:AH,0,0)</f>
        <v>3.4956250000000001E-2</v>
      </c>
      <c r="Q172" s="144"/>
      <c r="R172" s="144"/>
      <c r="S172" s="1588"/>
    </row>
    <row r="173" spans="1:20" s="626" customFormat="1" ht="15.75" customHeight="1">
      <c r="B173" s="641"/>
      <c r="C173" s="656" t="s">
        <v>1001</v>
      </c>
      <c r="D173" s="624" t="str">
        <f>VLOOKUP(F173,'Baumaterialien Matériaux'!$A$10:$AD$432,30,FALSE)</f>
        <v>Enduit en plâtre et chaux</v>
      </c>
      <c r="E173" s="181" t="str">
        <f>_xlfn.XLOOKUP($F173,'Baumaterialien Matériaux'!$A:$A,'Baumaterialien Matériaux'!G:G,0,0)</f>
        <v>kg</v>
      </c>
      <c r="F173" s="653" t="s">
        <v>1002</v>
      </c>
      <c r="G173" s="625">
        <f>1400*0.004</f>
        <v>5.6000000000000005</v>
      </c>
      <c r="H173" s="624"/>
      <c r="I173" s="627">
        <v>30</v>
      </c>
      <c r="J173" s="625"/>
      <c r="K173" s="625"/>
      <c r="L173" s="1025">
        <f>$G173*_xlfn.XLOOKUP($F173,'Baumaterialien Matériaux'!$A:$A,'Baumaterialien Matériaux'!AA:AA,0,0)</f>
        <v>0.81200000000000006</v>
      </c>
      <c r="M173" s="1025">
        <f>$G173*_xlfn.XLOOKUP($F173,'Baumaterialien Matériaux'!$A:$A,'Baumaterialien Matériaux'!AB:AB,0,0)</f>
        <v>7.1120000000000003E-2</v>
      </c>
      <c r="N173" s="1025">
        <f>$G173*_xlfn.XLOOKUP($F173,'Baumaterialien Matériaux'!$A:$A,'Baumaterialien Matériaux'!AC:AC,0,0)*44/12</f>
        <v>0</v>
      </c>
      <c r="O173" s="1025">
        <f>$G173*_xlfn.XLOOKUP($F173,'Baumaterialien Matériaux'!$A:$A,'Baumaterialien Matériaux'!AG:AG,0,0)</f>
        <v>0.81200000000000006</v>
      </c>
      <c r="P173" s="1357">
        <f>$G173*_xlfn.XLOOKUP($F173,'Baumaterialien Matériaux'!$A:$A,'Baumaterialien Matériaux'!AH:AH,0,0)</f>
        <v>1.8312000000000002E-2</v>
      </c>
      <c r="Q173" s="144"/>
      <c r="R173" s="144"/>
      <c r="S173" s="1588"/>
    </row>
    <row r="174" spans="1:20" s="626" customFormat="1" ht="15.75" customHeight="1">
      <c r="B174" s="641"/>
      <c r="C174" s="656" t="s">
        <v>998</v>
      </c>
      <c r="D174" s="624" t="str">
        <f>VLOOKUP(F174,'Baumaterialien Matériaux'!$A$10:$AD$432,30,FALSE)</f>
        <v>Enduit, diluable à l'eau, 2 couches</v>
      </c>
      <c r="E174" s="181" t="str">
        <f>_xlfn.XLOOKUP($F174,'Baumaterialien Matériaux'!$A:$A,'Baumaterialien Matériaux'!G:G,0,0)</f>
        <v>m2</v>
      </c>
      <c r="F174" s="655" t="s">
        <v>762</v>
      </c>
      <c r="G174" s="625">
        <v>1</v>
      </c>
      <c r="H174" s="624"/>
      <c r="I174" s="627">
        <v>30</v>
      </c>
      <c r="J174" s="625"/>
      <c r="K174" s="625"/>
      <c r="L174" s="1025">
        <f>$G174*_xlfn.XLOOKUP($F174,'Baumaterialien Matériaux'!$A:$A,'Baumaterialien Matériaux'!AA:AA,0,0)</f>
        <v>0.64500000000000002</v>
      </c>
      <c r="M174" s="1025">
        <f>$G174*_xlfn.XLOOKUP($F174,'Baumaterialien Matériaux'!$A:$A,'Baumaterialien Matériaux'!AB:AB,0,0)</f>
        <v>5.62E-2</v>
      </c>
      <c r="N174" s="1025">
        <f>$G174*_xlfn.XLOOKUP($F174,'Baumaterialien Matériaux'!$A:$A,'Baumaterialien Matériaux'!AC:AC,0,0)*44/12</f>
        <v>0</v>
      </c>
      <c r="O174" s="1025">
        <f>$G174*_xlfn.XLOOKUP($F174,'Baumaterialien Matériaux'!$A:$A,'Baumaterialien Matériaux'!AG:AG,0,0)</f>
        <v>0.54400000000000004</v>
      </c>
      <c r="P174" s="1357">
        <f>$G174*_xlfn.XLOOKUP($F174,'Baumaterialien Matériaux'!$A:$A,'Baumaterialien Matériaux'!AH:AH,0,0)</f>
        <v>0.71599999999999997</v>
      </c>
      <c r="Q174" s="144"/>
      <c r="R174" s="144"/>
      <c r="S174" s="1588"/>
    </row>
    <row r="175" spans="1:20" s="663" customFormat="1" ht="16.5" customHeight="1" thickBot="1">
      <c r="B175" s="750"/>
      <c r="F175" s="742"/>
      <c r="G175" s="695"/>
      <c r="I175" s="1036">
        <v>30</v>
      </c>
      <c r="J175" s="695"/>
      <c r="K175" s="695"/>
      <c r="L175" s="1026">
        <f t="shared" ref="L175:N175" si="35">SUM(L171:L174)</f>
        <v>4.6392509999999998</v>
      </c>
      <c r="M175" s="1026">
        <f t="shared" si="35"/>
        <v>0.40166750000000007</v>
      </c>
      <c r="N175" s="1026">
        <f t="shared" si="35"/>
        <v>3.6390566666666664</v>
      </c>
      <c r="O175" s="1026">
        <f t="shared" ref="O175:P175" si="36">SUM(O171:O174)</f>
        <v>3.3114190000000003</v>
      </c>
      <c r="P175" s="1026">
        <f t="shared" si="36"/>
        <v>0.78220804999999993</v>
      </c>
      <c r="Q175" s="144"/>
      <c r="R175" s="1445">
        <f>(L175+M175)/I174</f>
        <v>0.16803061666666666</v>
      </c>
      <c r="S175" s="763"/>
    </row>
    <row r="176" spans="1:20" ht="16.5" customHeight="1" thickTop="1">
      <c r="I176" s="1034"/>
      <c r="L176" s="1023"/>
      <c r="M176" s="1023"/>
      <c r="N176" s="1023"/>
      <c r="O176" s="1023"/>
      <c r="P176" s="1023"/>
    </row>
    <row r="177" spans="1:20" s="668" customFormat="1" ht="15.75" customHeight="1">
      <c r="A177" s="1430" t="s">
        <v>1009</v>
      </c>
      <c r="B177" s="1591" t="s">
        <v>1010</v>
      </c>
      <c r="C177" s="291" t="s">
        <v>1011</v>
      </c>
      <c r="D177" s="178" t="str">
        <f>VLOOKUP(F177,'Baumaterialien Matériaux'!$A$10:$AD$432,30,FALSE)</f>
        <v>Plaque de plâtre armé de fibres</v>
      </c>
      <c r="E177" s="181" t="str">
        <f>_xlfn.XLOOKUP($F177,'Baumaterialien Matériaux'!$A:$A,'Baumaterialien Matériaux'!G:G,0,0)</f>
        <v>kg</v>
      </c>
      <c r="F177" s="591" t="s">
        <v>923</v>
      </c>
      <c r="G177" s="281">
        <v>18.75</v>
      </c>
      <c r="H177" s="178"/>
      <c r="I177" s="286">
        <v>30</v>
      </c>
      <c r="J177" s="281"/>
      <c r="K177" s="281"/>
      <c r="L177" s="1021">
        <f>$G177*_xlfn.XLOOKUP($F177,'Baumaterialien Matériaux'!$A:$A,'Baumaterialien Matériaux'!AA:AA,0,0)</f>
        <v>9.9937500000000004</v>
      </c>
      <c r="M177" s="1021">
        <f>$G177*_xlfn.XLOOKUP($F177,'Baumaterialien Matériaux'!$A:$A,'Baumaterialien Matériaux'!AB:AB,0,0)</f>
        <v>0.34874999999999995</v>
      </c>
      <c r="N177" s="1021">
        <f>$G177*_xlfn.XLOOKUP($F177,'Baumaterialien Matériaux'!$A:$A,'Baumaterialien Matériaux'!AC:AC,0,0)*44/12</f>
        <v>3.0868750000000005</v>
      </c>
      <c r="O177" s="1021">
        <f>$G177*_xlfn.XLOOKUP($F177,'Baumaterialien Matériaux'!$A:$A,'Baumaterialien Matériaux'!AG:AG,0,0)</f>
        <v>9.7687500000000007</v>
      </c>
      <c r="P177" s="1346">
        <f>$G177*_xlfn.XLOOKUP($F177,'Baumaterialien Matériaux'!$A:$A,'Baumaterialien Matériaux'!AH:AH,0,0)</f>
        <v>6.225E-2</v>
      </c>
      <c r="Q177" s="144"/>
      <c r="R177" s="144"/>
      <c r="S177" s="1343"/>
      <c r="T177" s="1341"/>
    </row>
    <row r="178" spans="1:20" s="172" customFormat="1" ht="15.75" customHeight="1">
      <c r="A178" s="670"/>
      <c r="B178" s="1591"/>
      <c r="C178" s="291" t="s">
        <v>771</v>
      </c>
      <c r="D178" s="178" t="str">
        <f>VLOOKUP(F178,'Baumaterialien Matériaux'!$A$10:$AD$432,30,FALSE)</f>
        <v>Profil en acier, nu</v>
      </c>
      <c r="E178" s="181" t="str">
        <f>_xlfn.XLOOKUP($F178,'Baumaterialien Matériaux'!$A:$A,'Baumaterialien Matériaux'!G:G,0,0)</f>
        <v>kg</v>
      </c>
      <c r="F178" s="591" t="s">
        <v>863</v>
      </c>
      <c r="G178" s="281">
        <v>2.2000000000000002</v>
      </c>
      <c r="H178" s="178"/>
      <c r="I178" s="286">
        <v>30</v>
      </c>
      <c r="J178" s="281"/>
      <c r="K178" s="281"/>
      <c r="L178" s="1021">
        <f>$G178*_xlfn.XLOOKUP($F178,'Baumaterialien Matériaux'!$A:$A,'Baumaterialien Matériaux'!AA:AA,0,0)</f>
        <v>1.6038000000000001</v>
      </c>
      <c r="M178" s="1021">
        <f>$G178*_xlfn.XLOOKUP($F178,'Baumaterialien Matériaux'!$A:$A,'Baumaterialien Matériaux'!AB:AB,0,0)</f>
        <v>1.5246000000000003E-2</v>
      </c>
      <c r="N178" s="1021">
        <f>$G178*_xlfn.XLOOKUP($F178,'Baumaterialien Matériaux'!$A:$A,'Baumaterialien Matériaux'!AC:AC,0,0)*44/12</f>
        <v>0</v>
      </c>
      <c r="O178" s="1021">
        <f>$G178*_xlfn.XLOOKUP($F178,'Baumaterialien Matériaux'!$A:$A,'Baumaterialien Matériaux'!AG:AG,0,0)</f>
        <v>0.58300000000000007</v>
      </c>
      <c r="P178" s="1346">
        <f>$G178*_xlfn.XLOOKUP($F178,'Baumaterialien Matériaux'!$A:$A,'Baumaterialien Matériaux'!AH:AH,0,0)</f>
        <v>0</v>
      </c>
      <c r="Q178" s="144"/>
      <c r="R178" s="144"/>
      <c r="S178" s="1343"/>
    </row>
    <row r="179" spans="1:20" s="172" customFormat="1" ht="15.75" customHeight="1">
      <c r="A179" s="670"/>
      <c r="B179" s="704"/>
      <c r="C179" s="291" t="s">
        <v>1001</v>
      </c>
      <c r="D179" s="178" t="str">
        <f>VLOOKUP(F179,'Baumaterialien Matériaux'!$A$10:$AD$432,30,FALSE)</f>
        <v>Enduit en plâtre et chaux</v>
      </c>
      <c r="E179" s="181" t="str">
        <f>_xlfn.XLOOKUP($F179,'Baumaterialien Matériaux'!$A:$A,'Baumaterialien Matériaux'!G:G,0,0)</f>
        <v>kg</v>
      </c>
      <c r="F179" s="590" t="s">
        <v>1002</v>
      </c>
      <c r="G179" s="281">
        <f>1400*0.004</f>
        <v>5.6000000000000005</v>
      </c>
      <c r="I179" s="286">
        <v>30</v>
      </c>
      <c r="J179" s="281"/>
      <c r="K179" s="281"/>
      <c r="L179" s="1021">
        <f>$G179*_xlfn.XLOOKUP($F179,'Baumaterialien Matériaux'!$A:$A,'Baumaterialien Matériaux'!AA:AA,0,0)</f>
        <v>0.81200000000000006</v>
      </c>
      <c r="M179" s="1021">
        <f>$G179*_xlfn.XLOOKUP($F179,'Baumaterialien Matériaux'!$A:$A,'Baumaterialien Matériaux'!AB:AB,0,0)</f>
        <v>7.1120000000000003E-2</v>
      </c>
      <c r="N179" s="1021">
        <f>$G179*_xlfn.XLOOKUP($F179,'Baumaterialien Matériaux'!$A:$A,'Baumaterialien Matériaux'!AC:AC,0,0)*44/12</f>
        <v>0</v>
      </c>
      <c r="O179" s="1021">
        <f>$G179*_xlfn.XLOOKUP($F179,'Baumaterialien Matériaux'!$A:$A,'Baumaterialien Matériaux'!AG:AG,0,0)</f>
        <v>0.81200000000000006</v>
      </c>
      <c r="P179" s="1346">
        <f>$G179*_xlfn.XLOOKUP($F179,'Baumaterialien Matériaux'!$A:$A,'Baumaterialien Matériaux'!AH:AH,0,0)</f>
        <v>1.8312000000000002E-2</v>
      </c>
      <c r="Q179" s="144"/>
      <c r="R179" s="144"/>
      <c r="S179" s="1343"/>
    </row>
    <row r="180" spans="1:20" s="172" customFormat="1" ht="15.75" customHeight="1">
      <c r="A180" s="670"/>
      <c r="B180" s="704"/>
      <c r="C180" s="291" t="s">
        <v>998</v>
      </c>
      <c r="D180" s="178" t="str">
        <f>VLOOKUP(F180,'Baumaterialien Matériaux'!$A$10:$AD$432,30,FALSE)</f>
        <v>Enduit, diluable à l'eau, 2 couches</v>
      </c>
      <c r="E180" s="181" t="str">
        <f>_xlfn.XLOOKUP($F180,'Baumaterialien Matériaux'!$A:$A,'Baumaterialien Matériaux'!G:G,0,0)</f>
        <v>m2</v>
      </c>
      <c r="F180" s="592" t="s">
        <v>762</v>
      </c>
      <c r="G180" s="281">
        <v>1</v>
      </c>
      <c r="I180" s="286">
        <v>30</v>
      </c>
      <c r="J180" s="281"/>
      <c r="K180" s="281"/>
      <c r="L180" s="1021">
        <f>$G180*_xlfn.XLOOKUP($F180,'Baumaterialien Matériaux'!$A:$A,'Baumaterialien Matériaux'!AA:AA,0,0)</f>
        <v>0.64500000000000002</v>
      </c>
      <c r="M180" s="1021">
        <f>$G180*_xlfn.XLOOKUP($F180,'Baumaterialien Matériaux'!$A:$A,'Baumaterialien Matériaux'!AB:AB,0,0)</f>
        <v>5.62E-2</v>
      </c>
      <c r="N180" s="1021">
        <f>$G180*_xlfn.XLOOKUP($F180,'Baumaterialien Matériaux'!$A:$A,'Baumaterialien Matériaux'!AC:AC,0,0)*44/12</f>
        <v>0</v>
      </c>
      <c r="O180" s="1021">
        <f>$G180*_xlfn.XLOOKUP($F180,'Baumaterialien Matériaux'!$A:$A,'Baumaterialien Matériaux'!AG:AG,0,0)</f>
        <v>0.54400000000000004</v>
      </c>
      <c r="P180" s="1346">
        <f>$G180*_xlfn.XLOOKUP($F180,'Baumaterialien Matériaux'!$A:$A,'Baumaterialien Matériaux'!AH:AH,0,0)</f>
        <v>0.71599999999999997</v>
      </c>
      <c r="Q180" s="144"/>
      <c r="R180" s="144"/>
      <c r="S180" s="1343"/>
    </row>
    <row r="181" spans="1:20" s="676" customFormat="1" ht="16.5" customHeight="1" thickBot="1">
      <c r="B181" s="706"/>
      <c r="F181" s="685"/>
      <c r="G181" s="688"/>
      <c r="I181" s="1033">
        <v>30</v>
      </c>
      <c r="J181" s="688"/>
      <c r="K181" s="688"/>
      <c r="L181" s="1022">
        <f>SUM(L177:L178)</f>
        <v>11.59755</v>
      </c>
      <c r="M181" s="1022">
        <f>SUM(M177:M178)</f>
        <v>0.36399599999999993</v>
      </c>
      <c r="N181" s="1022">
        <f>SUM(N177:N178)</f>
        <v>3.0868750000000005</v>
      </c>
      <c r="O181" s="1022">
        <f>SUM(O177:O178)</f>
        <v>10.351750000000001</v>
      </c>
      <c r="P181" s="1022">
        <f>SUM(P177:P178)</f>
        <v>6.225E-2</v>
      </c>
      <c r="Q181" s="144"/>
      <c r="R181" s="1445">
        <f>(L181+M181)/I180</f>
        <v>0.39871820000000002</v>
      </c>
      <c r="S181" s="763">
        <v>0.62</v>
      </c>
    </row>
    <row r="182" spans="1:20" ht="16.5" customHeight="1" thickTop="1">
      <c r="G182" s="132"/>
      <c r="I182" s="1034"/>
      <c r="J182" s="132"/>
      <c r="K182" s="132"/>
      <c r="L182" s="1023"/>
      <c r="M182" s="1023"/>
      <c r="N182" s="1023"/>
      <c r="O182" s="1023"/>
      <c r="P182" s="1023"/>
    </row>
    <row r="183" spans="1:20" s="160" customFormat="1" ht="14.1" customHeight="1">
      <c r="A183" s="687" t="s">
        <v>1012</v>
      </c>
      <c r="B183" s="1571" t="s">
        <v>1013</v>
      </c>
      <c r="C183" s="148" t="s">
        <v>1014</v>
      </c>
      <c r="D183" s="181" t="str">
        <f>VLOOKUP(F183,'Baumaterialien Matériaux'!$A$10:$AD$432,30,FALSE)</f>
        <v>Tôle d'acier, zinguée</v>
      </c>
      <c r="E183" s="181" t="str">
        <f>_xlfn.XLOOKUP($F183,'Baumaterialien Matériaux'!$A:$A,'Baumaterialien Matériaux'!G:G,0,0)</f>
        <v>kg</v>
      </c>
      <c r="F183" s="591" t="s">
        <v>772</v>
      </c>
      <c r="G183" s="182">
        <f>0.0006*7850</f>
        <v>4.71</v>
      </c>
      <c r="H183" s="181"/>
      <c r="I183" s="597">
        <v>30</v>
      </c>
      <c r="J183" s="182"/>
      <c r="K183" s="182"/>
      <c r="L183" s="1018">
        <f>$G183*_xlfn.XLOOKUP($F183,'Baumaterialien Matériaux'!$A:$A,'Baumaterialien Matériaux'!AA:AA,0,0)</f>
        <v>21.100800000000003</v>
      </c>
      <c r="M183" s="1018">
        <f>$G183*_xlfn.XLOOKUP($F183,'Baumaterialien Matériaux'!$A:$A,'Baumaterialien Matériaux'!AB:AB,0,0)</f>
        <v>3.2640300000000004E-2</v>
      </c>
      <c r="N183" s="1018">
        <f>$G183*_xlfn.XLOOKUP($F183,'Baumaterialien Matériaux'!$A:$A,'Baumaterialien Matériaux'!AC:AC,0,0)*44/12</f>
        <v>0</v>
      </c>
      <c r="O183" s="1018">
        <f>$G183*_xlfn.XLOOKUP($F183,'Baumaterialien Matériaux'!$A:$A,'Baumaterialien Matériaux'!AG:AG,0,0)</f>
        <v>8.1953999999999994</v>
      </c>
      <c r="P183" s="1356">
        <f>$G183*_xlfn.XLOOKUP($F183,'Baumaterialien Matériaux'!$A:$A,'Baumaterialien Matériaux'!AH:AH,0,0)</f>
        <v>0</v>
      </c>
      <c r="Q183" s="144"/>
      <c r="R183" s="144"/>
      <c r="S183" s="1343"/>
      <c r="T183" s="1340"/>
    </row>
    <row r="184" spans="1:20" ht="14.1" customHeight="1">
      <c r="A184" s="1431"/>
      <c r="B184" s="1572"/>
      <c r="C184" s="148" t="s">
        <v>1015</v>
      </c>
      <c r="D184" s="181" t="str">
        <f>VLOOKUP(F184,'Baumaterialien Matériaux'!$A$10:$AD$432,30,FALSE)</f>
        <v>Revêtement pulvérisé, acier</v>
      </c>
      <c r="E184" s="181" t="str">
        <f>_xlfn.XLOOKUP($F184,'Baumaterialien Matériaux'!$A:$A,'Baumaterialien Matériaux'!G:G,0,0)</f>
        <v>m2</v>
      </c>
      <c r="F184" s="591" t="s">
        <v>1016</v>
      </c>
      <c r="G184" s="182">
        <v>1</v>
      </c>
      <c r="H184" s="181"/>
      <c r="I184" s="597">
        <v>30</v>
      </c>
      <c r="J184" s="182"/>
      <c r="K184" s="182"/>
      <c r="L184" s="1018">
        <f>$G184*_xlfn.XLOOKUP($F184,'Baumaterialien Matériaux'!$A:$A,'Baumaterialien Matériaux'!AA:AA,0,0)</f>
        <v>4.38</v>
      </c>
      <c r="M184" s="1018">
        <f>$G184*_xlfn.XLOOKUP($F184,'Baumaterialien Matériaux'!$A:$A,'Baumaterialien Matériaux'!AB:AB,0,0)</f>
        <v>0</v>
      </c>
      <c r="N184" s="1018">
        <f>$G184*_xlfn.XLOOKUP($F184,'Baumaterialien Matériaux'!$A:$A,'Baumaterialien Matériaux'!AC:AC,0,0)*44/12</f>
        <v>0</v>
      </c>
      <c r="O184" s="1018">
        <f>$G184*_xlfn.XLOOKUP($F184,'Baumaterialien Matériaux'!$A:$A,'Baumaterialien Matériaux'!AG:AG,0,0)</f>
        <v>3.52</v>
      </c>
      <c r="P184" s="1356">
        <f>$G184*_xlfn.XLOOKUP($F184,'Baumaterialien Matériaux'!$A:$A,'Baumaterialien Matériaux'!AH:AH,0,0)</f>
        <v>0</v>
      </c>
      <c r="S184" s="1343"/>
    </row>
    <row r="185" spans="1:20" ht="14.1" customHeight="1">
      <c r="A185" s="1431"/>
      <c r="B185" s="1572"/>
      <c r="C185" s="148" t="s">
        <v>1017</v>
      </c>
      <c r="D185" s="181" t="str">
        <f>VLOOKUP(F185,'Baumaterialien Matériaux'!$A$10:$AD$432,30,FALSE)</f>
        <v>Voile de polyéthylène (PE)</v>
      </c>
      <c r="E185" s="181" t="str">
        <f>_xlfn.XLOOKUP($F185,'Baumaterialien Matériaux'!$A:$A,'Baumaterialien Matériaux'!G:G,0,0)</f>
        <v>kg</v>
      </c>
      <c r="F185" s="591" t="s">
        <v>715</v>
      </c>
      <c r="G185" s="182">
        <v>7.4999999999999997E-2</v>
      </c>
      <c r="H185" s="181"/>
      <c r="I185" s="597">
        <v>30</v>
      </c>
      <c r="J185" s="182"/>
      <c r="K185" s="182"/>
      <c r="L185" s="1018">
        <f>$G185*_xlfn.XLOOKUP($F185,'Baumaterialien Matériaux'!$A:$A,'Baumaterialien Matériaux'!AA:AA,0,0)</f>
        <v>0.222</v>
      </c>
      <c r="M185" s="1018">
        <f>$G185*_xlfn.XLOOKUP($F185,'Baumaterialien Matériaux'!$A:$A,'Baumaterialien Matériaux'!AB:AB,0,0)</f>
        <v>0.20024999999999998</v>
      </c>
      <c r="N185" s="1018">
        <f>$G185*_xlfn.XLOOKUP($F185,'Baumaterialien Matériaux'!$A:$A,'Baumaterialien Matériaux'!AC:AC,0,0)*44/12</f>
        <v>0</v>
      </c>
      <c r="O185" s="1018">
        <f>$G185*_xlfn.XLOOKUP($F185,'Baumaterialien Matériaux'!$A:$A,'Baumaterialien Matériaux'!AG:AG,0,0)</f>
        <v>0.21</v>
      </c>
      <c r="P185" s="1356">
        <f>$G185*_xlfn.XLOOKUP($F185,'Baumaterialien Matériaux'!$A:$A,'Baumaterialien Matériaux'!AH:AH,0,0)</f>
        <v>0.19274999999999998</v>
      </c>
      <c r="S185" s="1343"/>
    </row>
    <row r="186" spans="1:20" ht="15.75" customHeight="1">
      <c r="A186" s="1431"/>
      <c r="B186" s="1573"/>
      <c r="C186" s="148" t="s">
        <v>771</v>
      </c>
      <c r="D186" s="181" t="str">
        <f>VLOOKUP(F186,'Baumaterialien Matériaux'!$A$10:$AD$432,30,FALSE)</f>
        <v>Profil en acier, nu</v>
      </c>
      <c r="E186" s="181" t="str">
        <f>_xlfn.XLOOKUP($F186,'Baumaterialien Matériaux'!$A:$A,'Baumaterialien Matériaux'!G:G,0,0)</f>
        <v>kg</v>
      </c>
      <c r="F186" s="591" t="s">
        <v>863</v>
      </c>
      <c r="G186" s="182">
        <v>2.2000000000000002</v>
      </c>
      <c r="H186" s="181"/>
      <c r="I186" s="597">
        <v>30</v>
      </c>
      <c r="J186" s="182"/>
      <c r="K186" s="182"/>
      <c r="L186" s="1018">
        <f>$G186*_xlfn.XLOOKUP($F186,'Baumaterialien Matériaux'!$A:$A,'Baumaterialien Matériaux'!AA:AA,0,0)</f>
        <v>1.6038000000000001</v>
      </c>
      <c r="M186" s="1018">
        <f>$G186*_xlfn.XLOOKUP($F186,'Baumaterialien Matériaux'!$A:$A,'Baumaterialien Matériaux'!AB:AB,0,0)</f>
        <v>1.5246000000000003E-2</v>
      </c>
      <c r="N186" s="1018">
        <f>$G186*_xlfn.XLOOKUP($F186,'Baumaterialien Matériaux'!$A:$A,'Baumaterialien Matériaux'!AC:AC,0,0)*44/12</f>
        <v>0</v>
      </c>
      <c r="O186" s="1018">
        <f>$G186*_xlfn.XLOOKUP($F186,'Baumaterialien Matériaux'!$A:$A,'Baumaterialien Matériaux'!AG:AG,0,0)</f>
        <v>0.58300000000000007</v>
      </c>
      <c r="P186" s="1356">
        <f>$G186*_xlfn.XLOOKUP($F186,'Baumaterialien Matériaux'!$A:$A,'Baumaterialien Matériaux'!AH:AH,0,0)</f>
        <v>0</v>
      </c>
      <c r="S186" s="1343"/>
    </row>
    <row r="187" spans="1:20" s="658" customFormat="1" ht="16.5" customHeight="1" thickBot="1">
      <c r="A187" s="676"/>
      <c r="B187" s="705"/>
      <c r="F187" s="659"/>
      <c r="I187" s="1037">
        <v>30</v>
      </c>
      <c r="L187" s="1027">
        <f>SUM(L183:L186)</f>
        <v>27.306600000000003</v>
      </c>
      <c r="M187" s="1027">
        <f>SUM(M183:M186)</f>
        <v>0.2481363</v>
      </c>
      <c r="N187" s="1027">
        <f>SUM(N183:N186)</f>
        <v>0</v>
      </c>
      <c r="O187" s="1027">
        <f>SUM(O183:O186)</f>
        <v>12.5084</v>
      </c>
      <c r="P187" s="1027">
        <f>SUM(P183:P186)</f>
        <v>0.19274999999999998</v>
      </c>
      <c r="Q187" s="144"/>
      <c r="R187" s="1445">
        <f>(L187+M187)/I186</f>
        <v>0.91849121000000011</v>
      </c>
      <c r="S187" s="763"/>
    </row>
    <row r="188" spans="1:20" ht="16.5" customHeight="1" thickTop="1">
      <c r="A188" s="149"/>
    </row>
    <row r="191" spans="1:20" s="738" customFormat="1">
      <c r="A191" s="736" t="s">
        <v>656</v>
      </c>
      <c r="B191" s="736"/>
      <c r="C191" s="736"/>
      <c r="D191" s="736"/>
      <c r="E191" s="736"/>
      <c r="F191" s="736"/>
      <c r="G191" s="1141"/>
      <c r="H191" s="737"/>
      <c r="M191" s="1050"/>
      <c r="N191" s="1050"/>
      <c r="O191" s="1050"/>
      <c r="P191" s="1050"/>
      <c r="Q191" s="145"/>
      <c r="R191" s="145"/>
      <c r="S191" s="145"/>
    </row>
  </sheetData>
  <customSheetViews>
    <customSheetView guid="{B32447E2-AB5B-4CBB-881B-FF11349CA4D6}" scale="91">
      <pane ySplit="1" topLeftCell="A50" activePane="bottomLeft" state="frozen"/>
      <selection pane="bottomLeft" activeCell="L57" sqref="L57:L60"/>
      <pageMargins left="0" right="0" top="0" bottom="0" header="0" footer="0"/>
      <pageSetup paperSize="9" orientation="portrait" r:id="rId1"/>
    </customSheetView>
    <customSheetView guid="{9FA74287-E657-475B-BF4B-3C8C757714AE}" scale="91">
      <pane ySplit="1" topLeftCell="A50" activePane="bottomLeft" state="frozen"/>
      <selection pane="bottomLeft" activeCell="L57" sqref="L57:L60"/>
      <pageMargins left="0" right="0" top="0" bottom="0" header="0" footer="0"/>
      <pageSetup paperSize="9" orientation="portrait" r:id="rId2"/>
    </customSheetView>
    <customSheetView guid="{54A7C567-FA7D-467E-B353-ECB5E61AE756}" topLeftCell="B1">
      <selection activeCell="T13" sqref="T1:AS1048576"/>
      <pageMargins left="0" right="0" top="0" bottom="0" header="0" footer="0"/>
      <pageSetup paperSize="9" orientation="portrait" r:id="rId3"/>
    </customSheetView>
  </customSheetViews>
  <mergeCells count="25">
    <mergeCell ref="B183:B186"/>
    <mergeCell ref="B156:B158"/>
    <mergeCell ref="S18:S19"/>
    <mergeCell ref="S156:S158"/>
    <mergeCell ref="S161:S162"/>
    <mergeCell ref="S171:S174"/>
    <mergeCell ref="B161:B162"/>
    <mergeCell ref="B68:B74"/>
    <mergeCell ref="B177:B178"/>
    <mergeCell ref="B89:B90"/>
    <mergeCell ref="B93:B94"/>
    <mergeCell ref="B150:B151"/>
    <mergeCell ref="B30:B32"/>
    <mergeCell ref="B35:B36"/>
    <mergeCell ref="B50:B52"/>
    <mergeCell ref="Q50:Q52"/>
    <mergeCell ref="R50:R52"/>
    <mergeCell ref="S50:S52"/>
    <mergeCell ref="B5:B7"/>
    <mergeCell ref="B14:B15"/>
    <mergeCell ref="S5:S7"/>
    <mergeCell ref="S14:S15"/>
    <mergeCell ref="B25:B27"/>
    <mergeCell ref="B18:B19"/>
    <mergeCell ref="B10:B11"/>
  </mergeCells>
  <phoneticPr fontId="69" type="noConversion"/>
  <pageMargins left="0" right="0" top="0" bottom="0" header="0" footer="0"/>
  <pageSetup paperSize="9" orientation="portrait" r:id="rId4"/>
  <drawing r:id="rId5"/>
  <legacyDrawing r:id="rId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18">
    <pageSetUpPr autoPageBreaks="0"/>
  </sheetPr>
  <dimension ref="A1:X38"/>
  <sheetViews>
    <sheetView zoomScale="70" zoomScaleNormal="70" workbookViewId="0">
      <selection activeCell="W5" sqref="W5"/>
    </sheetView>
  </sheetViews>
  <sheetFormatPr baseColWidth="10" defaultColWidth="10.75" defaultRowHeight="14.25" outlineLevelCol="1"/>
  <cols>
    <col min="1" max="1" width="49.75" style="3" bestFit="1" customWidth="1"/>
    <col min="2" max="2" width="52.125" style="3" customWidth="1"/>
    <col min="3" max="3" width="2" style="3" customWidth="1"/>
    <col min="4" max="4" width="55.75" style="3" bestFit="1" customWidth="1"/>
    <col min="5" max="5" width="11.75" style="3" customWidth="1"/>
    <col min="6" max="7" width="10.75" style="3"/>
    <col min="8" max="8" width="3.5" style="3" customWidth="1"/>
    <col min="9" max="9" width="10.75" style="3"/>
    <col min="10" max="11" width="10.25" style="145" hidden="1" customWidth="1" outlineLevel="1"/>
    <col min="12" max="12" width="10.75" style="145" collapsed="1"/>
    <col min="13" max="14" width="10.75" style="145"/>
    <col min="15" max="16" width="0" style="145" hidden="1" customWidth="1"/>
    <col min="17" max="18" width="10.75" style="145" hidden="1" customWidth="1" outlineLevel="1"/>
    <col min="19" max="19" width="0" style="145" hidden="1" customWidth="1" collapsed="1"/>
    <col min="20" max="20" width="0" style="145" hidden="1" customWidth="1"/>
    <col min="21" max="16384" width="10.75" style="3"/>
  </cols>
  <sheetData>
    <row r="1" spans="1:24" ht="90">
      <c r="B1" s="1" t="s">
        <v>617</v>
      </c>
      <c r="C1" s="1" t="s">
        <v>618</v>
      </c>
      <c r="D1" s="1" t="s">
        <v>619</v>
      </c>
      <c r="E1" s="131" t="s">
        <v>620</v>
      </c>
      <c r="F1" s="1" t="s">
        <v>621</v>
      </c>
      <c r="G1" s="1" t="s">
        <v>622</v>
      </c>
      <c r="I1" s="131" t="s">
        <v>623</v>
      </c>
      <c r="J1" s="144" t="s">
        <v>624</v>
      </c>
      <c r="K1" s="144" t="s">
        <v>625</v>
      </c>
      <c r="L1" s="144" t="s">
        <v>626</v>
      </c>
      <c r="M1" s="144" t="s">
        <v>627</v>
      </c>
      <c r="N1" s="131" t="s">
        <v>628</v>
      </c>
      <c r="O1" s="131" t="s">
        <v>629</v>
      </c>
      <c r="P1" s="131" t="s">
        <v>630</v>
      </c>
      <c r="Q1" s="144" t="s">
        <v>1018</v>
      </c>
      <c r="R1" s="144" t="s">
        <v>1019</v>
      </c>
      <c r="S1" s="144" t="s">
        <v>1020</v>
      </c>
      <c r="T1" s="144" t="s">
        <v>1021</v>
      </c>
    </row>
    <row r="2" spans="1:24" ht="17.25">
      <c r="A2" s="143" t="s">
        <v>583</v>
      </c>
      <c r="B2" s="143"/>
      <c r="C2" s="143"/>
      <c r="D2" s="143"/>
      <c r="E2" s="143"/>
      <c r="F2" s="143"/>
      <c r="G2" s="144" t="s">
        <v>750</v>
      </c>
      <c r="H2" s="143"/>
      <c r="I2" s="145"/>
    </row>
    <row r="3" spans="1:24">
      <c r="A3" s="181" t="s">
        <v>1022</v>
      </c>
      <c r="B3" s="181" t="s">
        <v>1023</v>
      </c>
      <c r="C3" s="181"/>
      <c r="D3" s="181" t="s">
        <v>1024</v>
      </c>
      <c r="E3" s="181" t="str">
        <f>_xlfn.XLOOKUP($F3,'Gebäudetechnik Technique du bât'!$A:$A,'Gebäudetechnik Technique du bât'!$G:$G,0)</f>
        <v>m2</v>
      </c>
      <c r="F3" s="608" t="s">
        <v>1025</v>
      </c>
      <c r="G3" s="181">
        <v>1</v>
      </c>
      <c r="H3" s="181"/>
      <c r="I3" s="181">
        <v>30</v>
      </c>
      <c r="J3" s="933">
        <f>$G3*VLOOKUP(F3,'Gebäudetechnik Technique du bât'!$A$10:$W$403,18,FALSE)</f>
        <v>53.2</v>
      </c>
      <c r="K3" s="933">
        <f>G3*VLOOKUP(F3,'Gebäudetechnik Technique du bât'!$A$10:$W$403,19,FALSE)</f>
        <v>0.71799999999999997</v>
      </c>
      <c r="L3" s="933">
        <f>G3*VLOOKUP(F3,'Gebäudetechnik Technique du bât'!$A$10:$W$403,21,FALSE)</f>
        <v>9.5299999999999994</v>
      </c>
      <c r="M3" s="933">
        <f>G3*VLOOKUP(F3,'Gebäudetechnik Technique du bât'!$A$10:$W$403,22,FALSE)</f>
        <v>3.42</v>
      </c>
      <c r="N3" s="933"/>
      <c r="O3" s="933"/>
      <c r="P3" s="933"/>
      <c r="Q3" s="933">
        <f t="shared" ref="Q3:Q4" si="0">J3/$I3</f>
        <v>1.7733333333333334</v>
      </c>
      <c r="R3" s="933">
        <f t="shared" ref="R3:T4" si="1">K3/$I3</f>
        <v>2.3933333333333331E-2</v>
      </c>
      <c r="S3" s="933">
        <f t="shared" si="1"/>
        <v>0.31766666666666665</v>
      </c>
      <c r="T3" s="933">
        <f t="shared" si="1"/>
        <v>0.114</v>
      </c>
      <c r="W3" s="3">
        <f>(L3+M3)/I3</f>
        <v>0.43166666666666664</v>
      </c>
      <c r="X3" s="3">
        <v>0.42</v>
      </c>
    </row>
    <row r="4" spans="1:24">
      <c r="A4" s="181" t="s">
        <v>1026</v>
      </c>
      <c r="B4" s="181" t="s">
        <v>1027</v>
      </c>
      <c r="C4" s="181"/>
      <c r="D4" s="181" t="s">
        <v>1024</v>
      </c>
      <c r="E4" s="181" t="str">
        <f>_xlfn.XLOOKUP($F4,'Gebäudetechnik Technique du bât'!$A:$A,'Gebäudetechnik Technique du bât'!$G:$G,0)</f>
        <v>m2</v>
      </c>
      <c r="F4" s="608" t="s">
        <v>1028</v>
      </c>
      <c r="G4" s="181">
        <v>1</v>
      </c>
      <c r="H4" s="181"/>
      <c r="I4" s="181">
        <v>30</v>
      </c>
      <c r="J4" s="933">
        <f>$G4*VLOOKUP(F4,'Gebäudetechnik Technique du bât'!$A$10:$W$403,18,FALSE)</f>
        <v>105</v>
      </c>
      <c r="K4" s="933">
        <f>G4*VLOOKUP(F4,'Gebäudetechnik Technique du bât'!$A$10:$W$403,19,FALSE)</f>
        <v>0.81</v>
      </c>
      <c r="L4" s="933">
        <f>G4*VLOOKUP(F4,'Gebäudetechnik Technique du bât'!$A$10:$W$403,21,FALSE)</f>
        <v>22.6</v>
      </c>
      <c r="M4" s="933">
        <f>G4*VLOOKUP(F4,'Gebäudetechnik Technique du bât'!$A$10:$W$403,22,FALSE)</f>
        <v>1.47</v>
      </c>
      <c r="N4" s="933"/>
      <c r="O4" s="933"/>
      <c r="P4" s="933"/>
      <c r="Q4" s="933">
        <f t="shared" si="0"/>
        <v>3.5</v>
      </c>
      <c r="R4" s="933">
        <f t="shared" si="1"/>
        <v>2.7000000000000003E-2</v>
      </c>
      <c r="S4" s="933">
        <f t="shared" si="1"/>
        <v>0.75333333333333341</v>
      </c>
      <c r="T4" s="933">
        <f t="shared" si="1"/>
        <v>4.9000000000000002E-2</v>
      </c>
      <c r="W4" s="3">
        <f>(L4+M4)/I4</f>
        <v>0.80233333333333334</v>
      </c>
      <c r="X4" s="3">
        <v>0.8</v>
      </c>
    </row>
    <row r="5" spans="1:24">
      <c r="A5" s="181" t="s">
        <v>584</v>
      </c>
      <c r="B5" s="181" t="s">
        <v>1029</v>
      </c>
      <c r="C5" s="181"/>
      <c r="D5" s="181" t="s">
        <v>261</v>
      </c>
      <c r="E5" s="181" t="str">
        <f>_xlfn.XLOOKUP($F5,'Gebäudetechnik Technique du bât'!$A:$A,'Gebäudetechnik Technique du bât'!$G:$G,0)</f>
        <v>kWp</v>
      </c>
      <c r="F5" s="608" t="s">
        <v>1030</v>
      </c>
      <c r="G5" s="181">
        <v>1</v>
      </c>
      <c r="H5" s="181"/>
      <c r="I5" s="181">
        <v>30</v>
      </c>
      <c r="J5" s="933">
        <f>0.14*$G5*VLOOKUP(F5,'Gebäudetechnik Technique du bât'!$A$10:$W$403,18,FALSE)</f>
        <v>568.40000000000009</v>
      </c>
      <c r="K5" s="933">
        <v>0</v>
      </c>
      <c r="L5" s="933">
        <f>G5*VLOOKUP(F5,'Gebäudetechnik Technique du bât'!$A$10:$W$403,21,FALSE)</f>
        <v>1140</v>
      </c>
      <c r="M5" s="933">
        <v>0</v>
      </c>
      <c r="N5" s="933"/>
      <c r="O5" s="933"/>
      <c r="P5" s="933"/>
      <c r="Q5" s="933">
        <f>J5/$I5</f>
        <v>18.946666666666669</v>
      </c>
      <c r="R5" s="933" t="s">
        <v>1031</v>
      </c>
      <c r="S5" s="933">
        <f>L5/$I5</f>
        <v>38</v>
      </c>
      <c r="T5" s="933">
        <v>0</v>
      </c>
      <c r="U5" s="3" t="s">
        <v>104</v>
      </c>
      <c r="V5" s="149" t="s">
        <v>1032</v>
      </c>
      <c r="W5" s="3">
        <f>(L5+M5)/I5</f>
        <v>38</v>
      </c>
      <c r="X5" s="3">
        <f>10.84/0.14</f>
        <v>77.428571428571416</v>
      </c>
    </row>
    <row r="6" spans="1:24">
      <c r="F6" s="147"/>
      <c r="J6" s="935"/>
      <c r="K6" s="935"/>
      <c r="L6" s="935"/>
      <c r="M6" s="935"/>
      <c r="N6" s="935"/>
      <c r="O6" s="935"/>
      <c r="P6" s="935"/>
    </row>
    <row r="7" spans="1:24" ht="17.25">
      <c r="A7" s="143" t="s">
        <v>1033</v>
      </c>
      <c r="B7" s="143"/>
      <c r="C7" s="143"/>
      <c r="D7" s="143"/>
      <c r="E7" s="143"/>
      <c r="F7" s="143"/>
      <c r="G7" s="144" t="s">
        <v>750</v>
      </c>
      <c r="H7" s="143"/>
      <c r="I7" s="145"/>
    </row>
    <row r="8" spans="1:24" ht="15">
      <c r="A8" s="181" t="s">
        <v>1034</v>
      </c>
      <c r="B8" s="181" t="s">
        <v>1035</v>
      </c>
      <c r="C8" s="181"/>
      <c r="D8" s="181" t="s">
        <v>1036</v>
      </c>
      <c r="E8" s="181" t="str">
        <f>_xlfn.XLOOKUP($F8,'Gebäudetechnik Technique du bât'!$A:$A,'Gebäudetechnik Technique du bât'!$G:$G,0)</f>
        <v>m2</v>
      </c>
      <c r="F8" s="127" t="s">
        <v>1037</v>
      </c>
      <c r="G8" s="181">
        <v>1</v>
      </c>
      <c r="H8" s="181"/>
      <c r="I8" s="599">
        <v>20</v>
      </c>
      <c r="J8" s="933">
        <f>$G8*VLOOKUP(F8,'Gebäudetechnik Technique du bât'!$A$10:$W$403,18,FALSE)</f>
        <v>3.16</v>
      </c>
      <c r="K8" s="933">
        <f>G8*VLOOKUP(F8,'Gebäudetechnik Technique du bât'!$A$10:$W$403,19,FALSE)</f>
        <v>6.9300000000000004E-3</v>
      </c>
      <c r="L8" s="933">
        <f>G8*VLOOKUP(F8,'Gebäudetechnik Technique du bât'!$A$10:$W$403,21,FALSE)</f>
        <v>0.84899999999999998</v>
      </c>
      <c r="M8" s="933">
        <f>G8*VLOOKUP(F8,'Gebäudetechnik Technique du bât'!$A$10:$W$403,22,FALSE)</f>
        <v>9.6100000000000005E-3</v>
      </c>
      <c r="N8" s="933"/>
      <c r="O8" s="933"/>
      <c r="P8" s="933"/>
      <c r="Q8" s="937">
        <f>J8/$I8</f>
        <v>0.158</v>
      </c>
      <c r="R8" s="937">
        <f>K8/$I8</f>
        <v>3.4650000000000002E-4</v>
      </c>
      <c r="S8" s="937">
        <f>L8/$I8</f>
        <v>4.2450000000000002E-2</v>
      </c>
      <c r="T8" s="937">
        <f>M8/$I8</f>
        <v>4.8050000000000002E-4</v>
      </c>
      <c r="W8" s="3">
        <f>(L8+M8)/I8</f>
        <v>4.2930499999999996E-2</v>
      </c>
      <c r="X8" s="3">
        <v>0.08</v>
      </c>
    </row>
    <row r="9" spans="1:24" ht="15">
      <c r="A9" s="1"/>
      <c r="G9" s="2"/>
    </row>
    <row r="10" spans="1:24" ht="15">
      <c r="A10" s="181" t="s">
        <v>1038</v>
      </c>
      <c r="B10" s="181" t="s">
        <v>1039</v>
      </c>
      <c r="C10" s="181"/>
      <c r="D10" s="181" t="s">
        <v>1036</v>
      </c>
      <c r="E10" s="181" t="str">
        <f>_xlfn.XLOOKUP($F10,'Gebäudetechnik Technique du bât'!$A:$A,'Gebäudetechnik Technique du bât'!$G:$G,0)</f>
        <v>m2</v>
      </c>
      <c r="F10" s="608" t="s">
        <v>1040</v>
      </c>
      <c r="G10" s="181">
        <v>1</v>
      </c>
      <c r="H10" s="181"/>
      <c r="I10" s="599">
        <v>20</v>
      </c>
      <c r="J10" s="933">
        <f>$G10*VLOOKUP(F10,'Gebäudetechnik Technique du bât'!$A$10:$W$403,18,FALSE)</f>
        <v>9.48</v>
      </c>
      <c r="K10" s="933">
        <f>G10*VLOOKUP(F10,'Gebäudetechnik Technique du bât'!$A$10:$W$403,19,FALSE)</f>
        <v>2.0799999999999999E-2</v>
      </c>
      <c r="L10" s="933">
        <f>G10*VLOOKUP(F10,'Gebäudetechnik Technique du bât'!$A$10:$W$403,21,FALSE)</f>
        <v>2.5499999999999998</v>
      </c>
      <c r="M10" s="933">
        <f>G10*VLOOKUP(F10,'Gebäudetechnik Technique du bât'!$A$10:$W$403,22,FALSE)</f>
        <v>2.8799999999999999E-2</v>
      </c>
      <c r="N10" s="933"/>
      <c r="O10" s="933"/>
      <c r="P10" s="933"/>
      <c r="Q10" s="937">
        <f>J10/$I10</f>
        <v>0.47400000000000003</v>
      </c>
      <c r="R10" s="937">
        <f>K10/$I10</f>
        <v>1.0399999999999999E-3</v>
      </c>
      <c r="S10" s="937">
        <f>L10/$I10</f>
        <v>0.1275</v>
      </c>
      <c r="T10" s="937">
        <f>M10/$I10</f>
        <v>1.4399999999999999E-3</v>
      </c>
      <c r="W10" s="3">
        <f>(L10+M10)/I10</f>
        <v>0.12894</v>
      </c>
    </row>
    <row r="11" spans="1:24" ht="15">
      <c r="F11" s="147"/>
      <c r="I11" s="1"/>
      <c r="J11" s="935"/>
      <c r="K11" s="935"/>
      <c r="L11" s="935"/>
      <c r="M11" s="935"/>
      <c r="N11" s="935"/>
      <c r="O11" s="935"/>
      <c r="P11" s="935"/>
      <c r="Q11" s="763"/>
      <c r="R11" s="763"/>
      <c r="S11" s="763"/>
      <c r="T11" s="763"/>
    </row>
    <row r="12" spans="1:24" ht="15">
      <c r="A12" s="181" t="s">
        <v>1041</v>
      </c>
      <c r="B12" s="181" t="s">
        <v>1042</v>
      </c>
      <c r="C12" s="181"/>
      <c r="D12" s="181" t="s">
        <v>1036</v>
      </c>
      <c r="E12" s="181" t="str">
        <f>_xlfn.XLOOKUP($F12,'Gebäudetechnik Technique du bât'!$A:$A,'Gebäudetechnik Technique du bât'!$G:$G,0)</f>
        <v>m2</v>
      </c>
      <c r="F12" s="127" t="s">
        <v>1043</v>
      </c>
      <c r="G12" s="181">
        <v>1</v>
      </c>
      <c r="H12" s="181"/>
      <c r="I12" s="599">
        <v>20</v>
      </c>
      <c r="J12" s="933">
        <f>$G12*VLOOKUP(F12,'Gebäudetechnik Technique du bât'!$A$10:$W$403,18,FALSE)</f>
        <v>15.8</v>
      </c>
      <c r="K12" s="933">
        <f>G12*VLOOKUP(F12,'Gebäudetechnik Technique du bât'!$A$10:$W$403,19,FALSE)</f>
        <v>3.4599999999999999E-2</v>
      </c>
      <c r="L12" s="933">
        <f>G12*VLOOKUP(F12,'Gebäudetechnik Technique du bât'!$A$10:$W$403,21,FALSE)</f>
        <v>4.24</v>
      </c>
      <c r="M12" s="933">
        <f>G12*VLOOKUP(F12,'Gebäudetechnik Technique du bât'!$A$10:$W$403,22,FALSE)</f>
        <v>4.8000000000000001E-2</v>
      </c>
      <c r="N12" s="933"/>
      <c r="O12" s="933"/>
      <c r="P12" s="933"/>
      <c r="Q12" s="937">
        <f>J12/$I12</f>
        <v>0.79</v>
      </c>
      <c r="R12" s="937">
        <f>K12/$I12</f>
        <v>1.73E-3</v>
      </c>
      <c r="S12" s="937">
        <f>L12/$I12</f>
        <v>0.21200000000000002</v>
      </c>
      <c r="T12" s="937">
        <f>M12/$I12</f>
        <v>2.4000000000000002E-3</v>
      </c>
      <c r="W12" s="3">
        <f>(L12+M12)/I12</f>
        <v>0.21440000000000001</v>
      </c>
    </row>
    <row r="13" spans="1:24" ht="15">
      <c r="F13" s="147"/>
      <c r="I13" s="1"/>
      <c r="J13" s="935"/>
      <c r="K13" s="935"/>
      <c r="L13" s="935"/>
      <c r="M13" s="935"/>
      <c r="N13" s="935"/>
      <c r="O13" s="935"/>
      <c r="P13" s="935"/>
      <c r="Q13" s="763"/>
      <c r="R13" s="763"/>
      <c r="S13" s="763"/>
      <c r="T13" s="763"/>
    </row>
    <row r="14" spans="1:24" ht="15">
      <c r="A14" s="1"/>
      <c r="G14" s="2"/>
    </row>
    <row r="15" spans="1:24" s="160" customFormat="1">
      <c r="A15" s="600" t="s">
        <v>1044</v>
      </c>
      <c r="B15" s="1569" t="s">
        <v>1045</v>
      </c>
      <c r="C15" s="181"/>
      <c r="D15" s="181" t="s">
        <v>1036</v>
      </c>
      <c r="E15" s="181" t="str">
        <f>_xlfn.XLOOKUP($F15,'Gebäudetechnik Technique du bât'!$A:$A,'Gebäudetechnik Technique du bât'!$G:$G,0)</f>
        <v>m2</v>
      </c>
      <c r="F15" s="609" t="s">
        <v>1046</v>
      </c>
      <c r="G15" s="181">
        <v>1</v>
      </c>
      <c r="H15" s="181"/>
      <c r="I15" s="181">
        <v>30</v>
      </c>
      <c r="J15" s="933">
        <f>$G15*VLOOKUP(F15,'Gebäudetechnik Technique du bât'!$A$10:$W$403,18,FALSE)</f>
        <v>11.1</v>
      </c>
      <c r="K15" s="933">
        <f>G15*VLOOKUP(F15,'Gebäudetechnik Technique du bât'!$A$10:$W$403,19,FALSE)</f>
        <v>2.14</v>
      </c>
      <c r="L15" s="933">
        <f>G15*VLOOKUP(F15,'Gebäudetechnik Technique du bât'!$A$10:$W$403,21,FALSE)</f>
        <v>2.77</v>
      </c>
      <c r="M15" s="933">
        <f>G15*VLOOKUP(F15,'Gebäudetechnik Technique du bât'!$A$10:$W$403,22,FALSE)</f>
        <v>0.69499999999999995</v>
      </c>
      <c r="N15" s="933"/>
      <c r="O15" s="933"/>
      <c r="P15" s="933"/>
      <c r="Q15" s="933">
        <f t="shared" ref="Q15:Q16" si="2">J15/$I15</f>
        <v>0.37</v>
      </c>
      <c r="R15" s="933">
        <f t="shared" ref="R15:T16" si="3">K15/$I15</f>
        <v>7.1333333333333332E-2</v>
      </c>
      <c r="S15" s="933">
        <f t="shared" si="3"/>
        <v>9.2333333333333337E-2</v>
      </c>
      <c r="T15" s="933">
        <f t="shared" si="3"/>
        <v>2.3166666666666665E-2</v>
      </c>
      <c r="U15" s="1340"/>
      <c r="V15" s="1340"/>
    </row>
    <row r="16" spans="1:24">
      <c r="B16" s="1595"/>
      <c r="C16" s="148"/>
      <c r="D16" s="181" t="s">
        <v>1036</v>
      </c>
      <c r="E16" s="181" t="str">
        <f>_xlfn.XLOOKUP($F16,'Gebäudetechnik Technique du bât'!$A:$A,'Gebäudetechnik Technique du bât'!$G:$G,0)</f>
        <v>m2</v>
      </c>
      <c r="F16" s="608" t="s">
        <v>1047</v>
      </c>
      <c r="G16" s="181">
        <v>1</v>
      </c>
      <c r="H16" s="181"/>
      <c r="I16" s="181">
        <v>30</v>
      </c>
      <c r="J16" s="933">
        <f>$G16*VLOOKUP(F16,'Gebäudetechnik Technique du bât'!$A$10:$W$403,18,FALSE)</f>
        <v>21.8</v>
      </c>
      <c r="K16" s="933">
        <f>G16*VLOOKUP(F16,'Gebäudetechnik Technique du bât'!$A$10:$W$403,19,FALSE)</f>
        <v>8.5999999999999993E-2</v>
      </c>
      <c r="L16" s="933">
        <f>G16*VLOOKUP(F16,'Gebäudetechnik Technique du bât'!$A$10:$W$403,21,FALSE)</f>
        <v>3.02</v>
      </c>
      <c r="M16" s="933">
        <f>G16*VLOOKUP(F16,'Gebäudetechnik Technique du bât'!$A$10:$W$403,22,FALSE)</f>
        <v>2.04</v>
      </c>
      <c r="N16" s="933"/>
      <c r="O16" s="933"/>
      <c r="P16" s="933"/>
      <c r="Q16" s="933">
        <f t="shared" si="2"/>
        <v>0.72666666666666668</v>
      </c>
      <c r="R16" s="933">
        <f t="shared" si="3"/>
        <v>2.8666666666666662E-3</v>
      </c>
      <c r="S16" s="933">
        <f t="shared" si="3"/>
        <v>0.10066666666666667</v>
      </c>
      <c r="T16" s="933">
        <f t="shared" si="3"/>
        <v>6.8000000000000005E-2</v>
      </c>
    </row>
    <row r="17" spans="1:24" s="658" customFormat="1" ht="15.75" thickBot="1">
      <c r="B17" s="699"/>
      <c r="I17" s="661">
        <v>30</v>
      </c>
      <c r="J17" s="934">
        <f>SUM(J15:J16)</f>
        <v>32.9</v>
      </c>
      <c r="K17" s="934">
        <f>SUM(K15:K16)</f>
        <v>2.226</v>
      </c>
      <c r="L17" s="934">
        <f>SUM(L15:L16)</f>
        <v>5.79</v>
      </c>
      <c r="M17" s="934">
        <f>SUM(M15:M16)</f>
        <v>2.7349999999999999</v>
      </c>
      <c r="N17" s="934"/>
      <c r="O17" s="934"/>
      <c r="P17" s="934"/>
      <c r="Q17" s="934">
        <f>SUM(Q15:Q16)</f>
        <v>1.0966666666666667</v>
      </c>
      <c r="R17" s="934">
        <f t="shared" ref="R17:T17" si="4">SUM(R15:R16)</f>
        <v>7.4200000000000002E-2</v>
      </c>
      <c r="S17" s="934">
        <f t="shared" si="4"/>
        <v>0.193</v>
      </c>
      <c r="T17" s="934">
        <f t="shared" si="4"/>
        <v>9.1166666666666674E-2</v>
      </c>
      <c r="W17" s="3">
        <f>(L17+M17)/I17</f>
        <v>0.28416666666666668</v>
      </c>
      <c r="X17" s="658">
        <v>0.27</v>
      </c>
    </row>
    <row r="18" spans="1:24" ht="15" thickTop="1"/>
    <row r="19" spans="1:24" s="160" customFormat="1">
      <c r="A19" s="600" t="s">
        <v>1048</v>
      </c>
      <c r="B19" s="1596" t="s">
        <v>1049</v>
      </c>
      <c r="C19" s="600"/>
      <c r="D19" s="181" t="s">
        <v>1036</v>
      </c>
      <c r="E19" s="181" t="str">
        <f>_xlfn.XLOOKUP($F19,'Gebäudetechnik Technique du bât'!$A:$A,'Gebäudetechnik Technique du bât'!$G:$G,0)</f>
        <v>m2</v>
      </c>
      <c r="F19" s="610" t="s">
        <v>1050</v>
      </c>
      <c r="G19" s="181">
        <v>1</v>
      </c>
      <c r="H19" s="181"/>
      <c r="I19" s="181">
        <v>30</v>
      </c>
      <c r="J19" s="933">
        <f>$G19*VLOOKUP(F19,'Gebäudetechnik Technique du bât'!$A$10:$W$403,18,FALSE)</f>
        <v>27.3</v>
      </c>
      <c r="K19" s="933">
        <f>G19*VLOOKUP(F19,'Gebäudetechnik Technique du bât'!$A$10:$W$403,19,FALSE)</f>
        <v>2.57</v>
      </c>
      <c r="L19" s="933">
        <f>G19*VLOOKUP(F19,'Gebäudetechnik Technique du bât'!$A$10:$W$403,21,FALSE)</f>
        <v>8.06</v>
      </c>
      <c r="M19" s="933">
        <f>G19*VLOOKUP(F19,'Gebäudetechnik Technique du bât'!$A$10:$W$403,22,FALSE)</f>
        <v>1.08</v>
      </c>
      <c r="N19" s="933"/>
      <c r="O19" s="933"/>
      <c r="P19" s="933"/>
      <c r="Q19" s="933">
        <f t="shared" ref="Q19:Q20" si="5">J19/$I19</f>
        <v>0.91</v>
      </c>
      <c r="R19" s="933">
        <f t="shared" ref="R19:T20" si="6">K19/$I19</f>
        <v>8.5666666666666655E-2</v>
      </c>
      <c r="S19" s="933">
        <f t="shared" si="6"/>
        <v>0.26866666666666666</v>
      </c>
      <c r="T19" s="933">
        <f t="shared" si="6"/>
        <v>3.6000000000000004E-2</v>
      </c>
    </row>
    <row r="20" spans="1:24">
      <c r="A20" s="615"/>
      <c r="B20" s="1597"/>
      <c r="C20" s="615"/>
      <c r="D20" s="181" t="s">
        <v>1036</v>
      </c>
      <c r="E20" s="181" t="str">
        <f>_xlfn.XLOOKUP($F20,'Gebäudetechnik Technique du bât'!$A:$A,'Gebäudetechnik Technique du bât'!$G:$G,0)</f>
        <v>m2</v>
      </c>
      <c r="F20" s="610" t="s">
        <v>1051</v>
      </c>
      <c r="G20" s="181">
        <v>1</v>
      </c>
      <c r="H20" s="181"/>
      <c r="I20" s="181">
        <v>30</v>
      </c>
      <c r="J20" s="933">
        <f>$G20*VLOOKUP(F20,'Gebäudetechnik Technique du bât'!$A$10:$W$403,18,FALSE)</f>
        <v>21</v>
      </c>
      <c r="K20" s="933">
        <f>G20*VLOOKUP(F20,'Gebäudetechnik Technique du bât'!$A$10:$W$403,19,FALSE)</f>
        <v>2.7099999999999999E-2</v>
      </c>
      <c r="L20" s="933">
        <f>G20*VLOOKUP(F20,'Gebäudetechnik Technique du bât'!$A$10:$W$403,21,FALSE)</f>
        <v>6.48</v>
      </c>
      <c r="M20" s="933">
        <f>G20*VLOOKUP(F20,'Gebäudetechnik Technique du bât'!$A$10:$W$403,22,FALSE)</f>
        <v>2.1999999999999999E-2</v>
      </c>
      <c r="N20" s="933"/>
      <c r="O20" s="933"/>
      <c r="P20" s="933"/>
      <c r="Q20" s="933">
        <f t="shared" si="5"/>
        <v>0.7</v>
      </c>
      <c r="R20" s="933">
        <f t="shared" si="6"/>
        <v>9.0333333333333335E-4</v>
      </c>
      <c r="S20" s="933">
        <f t="shared" si="6"/>
        <v>0.21600000000000003</v>
      </c>
      <c r="T20" s="933">
        <f t="shared" si="6"/>
        <v>7.3333333333333334E-4</v>
      </c>
    </row>
    <row r="21" spans="1:24" s="658" customFormat="1" ht="15.75" thickBot="1">
      <c r="I21" s="660">
        <v>30</v>
      </c>
      <c r="J21" s="934">
        <f>SUM(J19:J20)</f>
        <v>48.3</v>
      </c>
      <c r="K21" s="934">
        <f>SUM(K19:K20)</f>
        <v>2.5970999999999997</v>
      </c>
      <c r="L21" s="934">
        <f>SUM(L19:L20)</f>
        <v>14.540000000000001</v>
      </c>
      <c r="M21" s="934">
        <f>SUM(M19:M20)</f>
        <v>1.1020000000000001</v>
      </c>
      <c r="N21" s="934"/>
      <c r="O21" s="934"/>
      <c r="P21" s="934"/>
      <c r="Q21" s="934">
        <f t="shared" ref="Q21:T21" si="7">SUM(Q19:Q20)</f>
        <v>1.6099999999999999</v>
      </c>
      <c r="R21" s="934">
        <f t="shared" si="7"/>
        <v>8.6569999999999994E-2</v>
      </c>
      <c r="S21" s="934">
        <f t="shared" si="7"/>
        <v>0.48466666666666669</v>
      </c>
      <c r="T21" s="934">
        <f t="shared" si="7"/>
        <v>3.673333333333334E-2</v>
      </c>
      <c r="W21" s="3">
        <f>(L21+M21)/I21</f>
        <v>0.52140000000000009</v>
      </c>
      <c r="X21" s="658">
        <v>0.44</v>
      </c>
    </row>
    <row r="22" spans="1:24" ht="15" thickTop="1">
      <c r="E22" s="181"/>
    </row>
    <row r="23" spans="1:24" ht="15">
      <c r="A23" s="602" t="s">
        <v>359</v>
      </c>
      <c r="B23" s="180"/>
      <c r="C23" s="180"/>
      <c r="D23" s="602" t="s">
        <v>359</v>
      </c>
      <c r="E23" s="181" t="str">
        <f>_xlfn.XLOOKUP($F23,'Gebäudetechnik Technique du bât'!$A:$A,'Gebäudetechnik Technique du bât'!$G:$G,0)</f>
        <v>m</v>
      </c>
      <c r="F23" s="181" t="s">
        <v>1052</v>
      </c>
      <c r="G23" s="181">
        <v>0.5</v>
      </c>
      <c r="H23" s="181"/>
      <c r="I23" s="181">
        <v>40</v>
      </c>
      <c r="J23" s="933">
        <f>$G23*VLOOKUP(F23,'Gebäudetechnik Technique du bât'!$A$10:$W$403,18,FALSE)</f>
        <v>50.5</v>
      </c>
      <c r="K23" s="933">
        <f>G23*VLOOKUP(F23,'Gebäudetechnik Technique du bât'!$A$10:$W$403,19,FALSE)</f>
        <v>0.64500000000000002</v>
      </c>
      <c r="L23" s="933">
        <f>G23*VLOOKUP(F23,'Gebäudetechnik Technique du bât'!$A$10:$W$403,21,FALSE)</f>
        <v>10.35</v>
      </c>
      <c r="M23" s="933">
        <f>G23*VLOOKUP(F23,'Gebäudetechnik Technique du bât'!$A$10:$W$403,22,FALSE)</f>
        <v>1.2749999999999999</v>
      </c>
      <c r="N23" s="933"/>
      <c r="O23" s="933"/>
      <c r="P23" s="933"/>
      <c r="Q23" s="937">
        <f>J23/$I23</f>
        <v>1.2625</v>
      </c>
      <c r="R23" s="937">
        <f>K23/$I23</f>
        <v>1.6125E-2</v>
      </c>
      <c r="S23" s="937">
        <f>L23/$I23</f>
        <v>0.25874999999999998</v>
      </c>
      <c r="T23" s="937">
        <f>M23/$I23</f>
        <v>3.1875000000000001E-2</v>
      </c>
      <c r="W23" s="3">
        <f>(L23+M23)/I23</f>
        <v>0.29062500000000002</v>
      </c>
    </row>
    <row r="24" spans="1:24">
      <c r="B24" s="2"/>
      <c r="C24" s="2"/>
      <c r="E24" s="181"/>
    </row>
    <row r="25" spans="1:24" ht="15">
      <c r="A25" s="181" t="s">
        <v>108</v>
      </c>
      <c r="B25" s="181" t="s">
        <v>1053</v>
      </c>
      <c r="C25" s="181"/>
      <c r="D25" s="181" t="s">
        <v>108</v>
      </c>
      <c r="E25" s="181" t="str">
        <f>_xlfn.XLOOKUP($F25,'Gebäudetechnik Technique du bât'!$A:$A,'Gebäudetechnik Technique du bât'!$G:$G,0)</f>
        <v>m2</v>
      </c>
      <c r="F25" s="608" t="s">
        <v>1054</v>
      </c>
      <c r="G25" s="181">
        <v>1</v>
      </c>
      <c r="H25" s="181"/>
      <c r="I25" s="181">
        <v>30</v>
      </c>
      <c r="J25" s="933">
        <f>$G25*VLOOKUP(F25,'Gebäudetechnik Technique du bât'!$A$10:$W$403,18,FALSE)</f>
        <v>667</v>
      </c>
      <c r="K25" s="933">
        <v>0</v>
      </c>
      <c r="L25" s="933">
        <f>G25*VLOOKUP(F25,'Gebäudetechnik Technique du bât'!$A$10:$W$403,21,FALSE)</f>
        <v>168</v>
      </c>
      <c r="M25" s="933">
        <v>0</v>
      </c>
      <c r="N25" s="933"/>
      <c r="O25" s="933"/>
      <c r="P25" s="933"/>
      <c r="Q25" s="937">
        <f>J25/$I25</f>
        <v>22.233333333333334</v>
      </c>
      <c r="R25" s="937" t="s">
        <v>1031</v>
      </c>
      <c r="S25" s="937">
        <f>L25/$I25</f>
        <v>5.6</v>
      </c>
      <c r="T25" s="937" t="s">
        <v>1031</v>
      </c>
      <c r="W25" s="3">
        <f>(L25+M25)/I25</f>
        <v>5.6</v>
      </c>
      <c r="X25" s="3">
        <v>5.17</v>
      </c>
    </row>
    <row r="26" spans="1:24">
      <c r="F26" s="146"/>
      <c r="J26" s="935"/>
      <c r="K26" s="935"/>
      <c r="L26" s="935"/>
      <c r="M26" s="935"/>
      <c r="N26" s="935"/>
      <c r="O26" s="935"/>
      <c r="P26" s="935"/>
    </row>
    <row r="27" spans="1:24" ht="17.25">
      <c r="A27" s="143" t="s">
        <v>589</v>
      </c>
      <c r="B27" s="143"/>
      <c r="C27" s="143"/>
      <c r="D27" s="143"/>
      <c r="E27" s="143"/>
      <c r="F27" s="143"/>
      <c r="G27" s="144" t="s">
        <v>750</v>
      </c>
      <c r="H27" s="143"/>
      <c r="I27" s="145"/>
    </row>
    <row r="28" spans="1:24" ht="15">
      <c r="A28" s="181" t="s">
        <v>590</v>
      </c>
      <c r="B28" s="180" t="s">
        <v>1055</v>
      </c>
      <c r="C28" s="180"/>
      <c r="D28" s="181" t="s">
        <v>1036</v>
      </c>
      <c r="E28" s="181" t="str">
        <f>_xlfn.XLOOKUP($F28,'Gebäudetechnik Technique du bât'!$A:$A,'Gebäudetechnik Technique du bât'!$G:$G,0)</f>
        <v>m2</v>
      </c>
      <c r="F28" s="608" t="s">
        <v>1056</v>
      </c>
      <c r="G28" s="181">
        <v>1</v>
      </c>
      <c r="H28" s="181"/>
      <c r="I28" s="181">
        <v>30</v>
      </c>
      <c r="J28" s="933">
        <f>$G28*VLOOKUP(F28,'Gebäudetechnik Technique du bât'!$A$10:$W$403,18,FALSE)</f>
        <v>13.7</v>
      </c>
      <c r="K28" s="933">
        <f>G28*VLOOKUP(F28,'Gebäudetechnik Technique du bât'!$A$10:$W$403,19,FALSE)</f>
        <v>7.9299999999999995E-3</v>
      </c>
      <c r="L28" s="933">
        <f>G28*VLOOKUP(F28,'Gebäudetechnik Technique du bât'!$A$10:$W$403,21,FALSE)</f>
        <v>3.52</v>
      </c>
      <c r="M28" s="933">
        <f>G28*VLOOKUP(F28,'Gebäudetechnik Technique du bât'!$A$10:$W$403,22,FALSE)</f>
        <v>0.125</v>
      </c>
      <c r="N28" s="933"/>
      <c r="O28" s="933"/>
      <c r="P28" s="933"/>
      <c r="Q28" s="937">
        <f t="shared" ref="Q28:Q29" si="8">J28/$I28</f>
        <v>0.45666666666666667</v>
      </c>
      <c r="R28" s="937">
        <f t="shared" ref="R28:T29" si="9">K28/$I28</f>
        <v>2.6433333333333333E-4</v>
      </c>
      <c r="S28" s="937">
        <f t="shared" si="9"/>
        <v>0.11733333333333333</v>
      </c>
      <c r="T28" s="937">
        <f t="shared" si="9"/>
        <v>4.1666666666666666E-3</v>
      </c>
      <c r="W28" s="3">
        <f>(L28+M28)/I28</f>
        <v>0.1215</v>
      </c>
      <c r="X28" s="3">
        <v>0.11</v>
      </c>
    </row>
    <row r="29" spans="1:24" ht="15">
      <c r="A29" s="181" t="s">
        <v>1057</v>
      </c>
      <c r="B29" s="180" t="s">
        <v>1058</v>
      </c>
      <c r="C29" s="180"/>
      <c r="D29" s="181" t="s">
        <v>1036</v>
      </c>
      <c r="E29" s="181" t="str">
        <f>_xlfn.XLOOKUP($F29,'Gebäudetechnik Technique du bât'!$A:$A,'Gebäudetechnik Technique du bât'!$G:$G,0)</f>
        <v>m2</v>
      </c>
      <c r="F29" s="608" t="s">
        <v>1059</v>
      </c>
      <c r="G29" s="181">
        <v>1</v>
      </c>
      <c r="H29" s="181"/>
      <c r="I29" s="181">
        <v>30</v>
      </c>
      <c r="J29" s="933">
        <f>$G29*VLOOKUP(F29,'Gebäudetechnik Technique du bât'!$A$10:$W$403,18,FALSE)</f>
        <v>50.3</v>
      </c>
      <c r="K29" s="933">
        <f>G29*VLOOKUP(F29,'Gebäudetechnik Technique du bât'!$A$10:$W$403,19,FALSE)</f>
        <v>0.14399999999999999</v>
      </c>
      <c r="L29" s="933">
        <f>G29*VLOOKUP(F29,'Gebäudetechnik Technique du bât'!$A$10:$W$403,21,FALSE)</f>
        <v>14.6</v>
      </c>
      <c r="M29" s="933">
        <f>G29*VLOOKUP(F29,'Gebäudetechnik Technique du bât'!$A$10:$W$403,22,FALSE)</f>
        <v>0.33800000000000002</v>
      </c>
      <c r="N29" s="933"/>
      <c r="O29" s="933"/>
      <c r="P29" s="933"/>
      <c r="Q29" s="937">
        <f t="shared" si="8"/>
        <v>1.6766666666666665</v>
      </c>
      <c r="R29" s="937">
        <f t="shared" si="9"/>
        <v>4.7999999999999996E-3</v>
      </c>
      <c r="S29" s="937">
        <f t="shared" si="9"/>
        <v>0.48666666666666664</v>
      </c>
      <c r="T29" s="937">
        <f t="shared" si="9"/>
        <v>1.1266666666666668E-2</v>
      </c>
      <c r="W29" s="3">
        <f>(L29+M29)/I29</f>
        <v>0.49793333333333328</v>
      </c>
      <c r="X29" s="3">
        <v>0.42</v>
      </c>
    </row>
    <row r="30" spans="1:24">
      <c r="A30" s="181" t="s">
        <v>1060</v>
      </c>
      <c r="B30" s="180" t="s">
        <v>1061</v>
      </c>
      <c r="C30" s="180"/>
      <c r="D30" s="181" t="s">
        <v>1036</v>
      </c>
      <c r="E30" s="181" t="str">
        <f>_xlfn.XLOOKUP($F30,'Gebäudetechnik Technique du bât'!$A:$A,'Gebäudetechnik Technique du bât'!$G:$G,0)</f>
        <v>m2</v>
      </c>
      <c r="F30" s="608" t="s">
        <v>1062</v>
      </c>
      <c r="G30" s="181">
        <v>1</v>
      </c>
      <c r="H30" s="181"/>
      <c r="I30" s="181">
        <v>30</v>
      </c>
      <c r="J30" s="933">
        <f>$G30*VLOOKUP(F30,'Gebäudetechnik Technique du bât'!$A$10:$W$403,18,FALSE)</f>
        <v>68</v>
      </c>
      <c r="K30" s="933">
        <f>G30*VLOOKUP(F30,'Gebäudetechnik Technique du bât'!$A$10:$W$403,19,FALSE)</f>
        <v>0.19800000000000001</v>
      </c>
      <c r="L30" s="933">
        <f>G30*VLOOKUP(F30,'Gebäudetechnik Technique du bât'!$A$10:$W$403,21,FALSE)</f>
        <v>19.7</v>
      </c>
      <c r="M30" s="933">
        <f>G30*VLOOKUP(F30,'Gebäudetechnik Technique du bât'!$A$10:$W$403,22,FALSE)</f>
        <v>0.47499999999999998</v>
      </c>
      <c r="N30" s="1145"/>
      <c r="O30" s="1145"/>
      <c r="P30" s="1145"/>
      <c r="Q30" s="1593">
        <f>AVERAGE(J30:J31)/$I30</f>
        <v>2.85</v>
      </c>
      <c r="R30" s="1593">
        <f>AVERAGE(K30:K31)/$I30</f>
        <v>8.3999999999999995E-3</v>
      </c>
      <c r="S30" s="1592">
        <f>AVERAGE(L30:L31)/$I30</f>
        <v>0.82499999999999996</v>
      </c>
      <c r="T30" s="1592">
        <f>AVERAGE(M30:M31)/$I30</f>
        <v>2.038333333333333E-2</v>
      </c>
      <c r="W30" s="3">
        <f>(L30+M30)/I30</f>
        <v>0.67249999999999999</v>
      </c>
      <c r="X30" s="3">
        <v>0.72</v>
      </c>
    </row>
    <row r="31" spans="1:24">
      <c r="A31" s="181" t="s">
        <v>1063</v>
      </c>
      <c r="B31" s="180" t="s">
        <v>1064</v>
      </c>
      <c r="C31" s="180"/>
      <c r="D31" s="181" t="s">
        <v>1036</v>
      </c>
      <c r="E31" s="181" t="str">
        <f>_xlfn.XLOOKUP($F31,'Gebäudetechnik Technique du bât'!$A:$A,'Gebäudetechnik Technique du bât'!$G:$G,0)</f>
        <v>m2</v>
      </c>
      <c r="F31" s="608" t="s">
        <v>1065</v>
      </c>
      <c r="G31" s="181">
        <v>1</v>
      </c>
      <c r="H31" s="181"/>
      <c r="I31" s="181">
        <v>30</v>
      </c>
      <c r="J31" s="933">
        <f>$G31*VLOOKUP(F31,'Gebäudetechnik Technique du bât'!$A$10:$W$403,18,FALSE)</f>
        <v>103</v>
      </c>
      <c r="K31" s="933">
        <f>G31*VLOOKUP(F31,'Gebäudetechnik Technique du bât'!$A$10:$W$403,19,FALSE)</f>
        <v>0.30599999999999999</v>
      </c>
      <c r="L31" s="933">
        <f>G31*VLOOKUP(F31,'Gebäudetechnik Technique du bât'!$A$10:$W$403,21,FALSE)</f>
        <v>29.8</v>
      </c>
      <c r="M31" s="933">
        <f>G31*VLOOKUP(F31,'Gebäudetechnik Technique du bât'!$A$10:$W$403,22,FALSE)</f>
        <v>0.748</v>
      </c>
      <c r="N31" s="1146"/>
      <c r="O31" s="1146"/>
      <c r="P31" s="1146"/>
      <c r="Q31" s="1594"/>
      <c r="R31" s="1594"/>
      <c r="S31" s="1592"/>
      <c r="T31" s="1592"/>
      <c r="W31" s="3">
        <f>(L31+M31)/I31</f>
        <v>1.0182666666666667</v>
      </c>
    </row>
    <row r="32" spans="1:24">
      <c r="B32" s="2"/>
      <c r="C32" s="2"/>
    </row>
    <row r="33" spans="1:24" ht="17.25">
      <c r="A33" s="143" t="s">
        <v>1066</v>
      </c>
      <c r="B33" s="143"/>
      <c r="C33" s="143"/>
      <c r="D33" s="143"/>
      <c r="E33" s="143"/>
      <c r="F33" s="143"/>
      <c r="G33" s="144" t="s">
        <v>750</v>
      </c>
      <c r="H33" s="143"/>
      <c r="I33" s="145"/>
    </row>
    <row r="34" spans="1:24" ht="15">
      <c r="A34" s="181" t="s">
        <v>1067</v>
      </c>
      <c r="B34" s="180" t="s">
        <v>1068</v>
      </c>
      <c r="C34" s="180"/>
      <c r="D34" s="181" t="s">
        <v>594</v>
      </c>
      <c r="E34" s="181" t="str">
        <f>_xlfn.XLOOKUP($F34,'Gebäudetechnik Technique du bât'!$A:$A,'Gebäudetechnik Technique du bât'!$G:$G,0)</f>
        <v>m2</v>
      </c>
      <c r="F34" s="608" t="s">
        <v>1069</v>
      </c>
      <c r="G34" s="181">
        <v>1</v>
      </c>
      <c r="H34" s="181"/>
      <c r="I34" s="181">
        <v>30</v>
      </c>
      <c r="J34" s="933">
        <f>$G34*VLOOKUP(F34,'Gebäudetechnik Technique du bât'!$A$10:$W$403,18,FALSE)</f>
        <v>45.8</v>
      </c>
      <c r="K34" s="933">
        <f>G34*VLOOKUP(F34,'Gebäudetechnik Technique du bât'!$A$10:$W$403,19,FALSE)</f>
        <v>0.28299999999999997</v>
      </c>
      <c r="L34" s="933">
        <f>G34*VLOOKUP(F34,'Gebäudetechnik Technique du bât'!$A$10:$W$403,21,FALSE)</f>
        <v>11</v>
      </c>
      <c r="M34" s="933">
        <f>G34*VLOOKUP(F34,'Gebäudetechnik Technique du bât'!$A$10:$W$403,22,FALSE)</f>
        <v>1.54</v>
      </c>
      <c r="N34" s="933"/>
      <c r="O34" s="933"/>
      <c r="P34" s="933"/>
      <c r="Q34" s="937">
        <f>J34/$I34</f>
        <v>1.5266666666666666</v>
      </c>
      <c r="R34" s="937">
        <f>K34/$I34</f>
        <v>9.4333333333333318E-3</v>
      </c>
      <c r="S34" s="937">
        <f>L34/$I34</f>
        <v>0.36666666666666664</v>
      </c>
      <c r="T34" s="937">
        <f>M34/$I34</f>
        <v>5.1333333333333335E-2</v>
      </c>
      <c r="W34" s="3">
        <f>(L34+M34)/I34</f>
        <v>0.41799999999999998</v>
      </c>
      <c r="X34" s="3">
        <v>0.38</v>
      </c>
    </row>
    <row r="35" spans="1:24">
      <c r="A35" s="181" t="s">
        <v>1070</v>
      </c>
      <c r="B35" s="180" t="s">
        <v>1071</v>
      </c>
      <c r="C35" s="180"/>
      <c r="D35" s="181" t="s">
        <v>594</v>
      </c>
      <c r="E35" s="181" t="str">
        <f>_xlfn.XLOOKUP($F35,'Gebäudetechnik Technique du bât'!$A:$A,'Gebäudetechnik Technique du bât'!$G:$G,0)</f>
        <v>m2</v>
      </c>
      <c r="F35" s="608" t="s">
        <v>1072</v>
      </c>
      <c r="G35" s="181">
        <v>1</v>
      </c>
      <c r="H35" s="181"/>
      <c r="I35" s="600">
        <v>30</v>
      </c>
      <c r="J35" s="933">
        <f>$G35*VLOOKUP(F35,'Gebäudetechnik Technique du bât'!$A$10:$W$403,18,FALSE)</f>
        <v>18.899999999999999</v>
      </c>
      <c r="K35" s="933">
        <f>G35*VLOOKUP(F35,'Gebäudetechnik Technique du bât'!$A$10:$W$403,19,FALSE)</f>
        <v>0.115</v>
      </c>
      <c r="L35" s="933">
        <f>G35*VLOOKUP(F35,'Gebäudetechnik Technique du bât'!$A$10:$W$403,21,FALSE)</f>
        <v>3.58</v>
      </c>
      <c r="M35" s="933">
        <f>G35*VLOOKUP(F35,'Gebäudetechnik Technique du bât'!$A$10:$W$403,22,FALSE)</f>
        <v>1.1499999999999999</v>
      </c>
      <c r="N35" s="1145"/>
      <c r="O35" s="1145"/>
      <c r="P35" s="1145"/>
      <c r="Q35" s="1593">
        <f>AVERAGE(J35:J36)/$I35</f>
        <v>1.0666666666666667</v>
      </c>
      <c r="R35" s="1593">
        <f>AVERAGE(K35:K36)/$I35</f>
        <v>9.0333333333333342E-3</v>
      </c>
      <c r="S35" s="1593">
        <f>AVERAGE(L35:L36)/$I35</f>
        <v>0.20166666666666666</v>
      </c>
      <c r="T35" s="1593">
        <f>AVERAGE(M35:M36)/$I35</f>
        <v>8.1833333333333341E-2</v>
      </c>
      <c r="W35" s="3">
        <f>(L35+M35)/I35</f>
        <v>0.15766666666666668</v>
      </c>
      <c r="X35" s="3">
        <v>0.27</v>
      </c>
    </row>
    <row r="36" spans="1:24" ht="28.5">
      <c r="A36" s="181" t="s">
        <v>1073</v>
      </c>
      <c r="B36" s="180" t="s">
        <v>1074</v>
      </c>
      <c r="C36" s="180"/>
      <c r="D36" s="181" t="s">
        <v>594</v>
      </c>
      <c r="E36" s="181" t="str">
        <f>_xlfn.XLOOKUP($F36,'Gebäudetechnik Technique du bât'!$A:$A,'Gebäudetechnik Technique du bât'!$G:$G,0)</f>
        <v>m2</v>
      </c>
      <c r="F36" s="608" t="s">
        <v>1075</v>
      </c>
      <c r="G36" s="181">
        <v>1</v>
      </c>
      <c r="H36" s="181"/>
      <c r="I36" s="615">
        <v>30</v>
      </c>
      <c r="J36" s="933">
        <f>$G36*VLOOKUP(F36,'Gebäudetechnik Technique du bât'!$A$10:$W$403,18,FALSE)</f>
        <v>45.1</v>
      </c>
      <c r="K36" s="933">
        <f>G36*VLOOKUP(F36,'Gebäudetechnik Technique du bât'!$A$10:$W$403,19,FALSE)</f>
        <v>0.42699999999999999</v>
      </c>
      <c r="L36" s="933">
        <f>G36*VLOOKUP(F36,'Gebäudetechnik Technique du bât'!$A$10:$W$403,21,FALSE)</f>
        <v>8.52</v>
      </c>
      <c r="M36" s="933">
        <f>G36*VLOOKUP(F36,'Gebäudetechnik Technique du bât'!$A$10:$W$403,22,FALSE)</f>
        <v>3.76</v>
      </c>
      <c r="N36" s="1146"/>
      <c r="O36" s="1146"/>
      <c r="P36" s="1146"/>
      <c r="Q36" s="1594"/>
      <c r="R36" s="1594"/>
      <c r="S36" s="1594"/>
      <c r="T36" s="1594"/>
      <c r="W36" s="3">
        <f>(L36+M36)/I36</f>
        <v>0.40933333333333333</v>
      </c>
    </row>
    <row r="38" spans="1:24" ht="17.25">
      <c r="A38" s="143"/>
      <c r="B38" s="143"/>
      <c r="C38" s="143"/>
      <c r="D38" s="143"/>
      <c r="E38" s="143"/>
      <c r="F38" s="143"/>
      <c r="G38" s="144" t="s">
        <v>750</v>
      </c>
      <c r="H38" s="143"/>
      <c r="I38" s="145"/>
    </row>
  </sheetData>
  <customSheetViews>
    <customSheetView guid="{B32447E2-AB5B-4CBB-881B-FF11349CA4D6}" scale="95">
      <pane ySplit="1" topLeftCell="A2" activePane="bottomLeft" state="frozen"/>
      <selection pane="bottomLeft" activeCell="N26" sqref="N26:N27"/>
      <pageMargins left="0" right="0" top="0" bottom="0" header="0" footer="0"/>
    </customSheetView>
    <customSheetView guid="{9FA74287-E657-475B-BF4B-3C8C757714AE}" scale="95">
      <pane ySplit="1" topLeftCell="A2" activePane="bottomLeft" state="frozen"/>
      <selection pane="bottomLeft" activeCell="N26" sqref="N26:N27"/>
      <pageMargins left="0" right="0" top="0" bottom="0" header="0" footer="0"/>
    </customSheetView>
    <customSheetView guid="{54A7C567-FA7D-467E-B353-ECB5E61AE756}" topLeftCell="A5">
      <selection activeCell="G33" sqref="G33"/>
      <pageMargins left="0" right="0" top="0" bottom="0" header="0" footer="0"/>
    </customSheetView>
  </customSheetViews>
  <mergeCells count="10">
    <mergeCell ref="T30:T31"/>
    <mergeCell ref="S35:S36"/>
    <mergeCell ref="T35:T36"/>
    <mergeCell ref="B15:B16"/>
    <mergeCell ref="B19:B20"/>
    <mergeCell ref="R30:R31"/>
    <mergeCell ref="S30:S31"/>
    <mergeCell ref="R35:R36"/>
    <mergeCell ref="Q35:Q36"/>
    <mergeCell ref="Q30:Q31"/>
  </mergeCells>
  <pageMargins left="0" right="0" top="0" bottom="0" header="0" footer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9">
    <tabColor theme="3" tint="0.59999389629810485"/>
    <outlinePr summaryRight="0"/>
    <pageSetUpPr autoPageBreaks="0" fitToPage="1"/>
  </sheetPr>
  <dimension ref="A1:AL344"/>
  <sheetViews>
    <sheetView workbookViewId="0">
      <selection activeCell="F25" sqref="F25"/>
    </sheetView>
  </sheetViews>
  <sheetFormatPr baseColWidth="10" defaultColWidth="10.75" defaultRowHeight="12.75" outlineLevelRow="2" outlineLevelCol="1"/>
  <cols>
    <col min="1" max="1" width="9.25" style="489" customWidth="1" collapsed="1"/>
    <col min="2" max="2" width="36.625" style="489" hidden="1" customWidth="1" outlineLevel="1"/>
    <col min="3" max="3" width="48.25" style="114" customWidth="1" collapsed="1"/>
    <col min="4" max="4" width="10" style="113" hidden="1" customWidth="1" outlineLevel="1"/>
    <col min="5" max="5" width="64.75" style="114" hidden="1" customWidth="1" outlineLevel="1" collapsed="1"/>
    <col min="6" max="6" width="10.5" style="115" customWidth="1" collapsed="1"/>
    <col min="7" max="7" width="6.25" style="113" customWidth="1"/>
    <col min="8" max="8" width="10.125" style="489" customWidth="1"/>
    <col min="9" max="10" width="9.25" style="489" customWidth="1"/>
    <col min="11" max="15" width="9.25" style="489" customWidth="1" outlineLevel="1"/>
    <col min="16" max="16" width="9.25" style="489" customWidth="1" collapsed="1"/>
    <col min="17" max="29" width="9.25" style="489" customWidth="1"/>
    <col min="30" max="30" width="55.75" style="810" customWidth="1" collapsed="1"/>
    <col min="31" max="31" width="64.75" style="114" hidden="1" customWidth="1" outlineLevel="1" collapsed="1"/>
    <col min="32" max="16384" width="10.75" style="113"/>
  </cols>
  <sheetData>
    <row r="1" spans="1:38" s="11" customFormat="1" ht="21">
      <c r="A1" s="4"/>
      <c r="B1" s="6"/>
      <c r="C1" s="5" t="s">
        <v>1076</v>
      </c>
      <c r="D1" s="6"/>
      <c r="E1" s="7"/>
      <c r="F1" s="8"/>
      <c r="G1" s="9"/>
      <c r="H1" s="10"/>
      <c r="I1" s="6"/>
      <c r="J1" s="6"/>
      <c r="K1" s="10"/>
      <c r="L1" s="6"/>
      <c r="M1" s="6"/>
      <c r="N1" s="6"/>
      <c r="O1" s="6"/>
      <c r="P1" s="10" t="s">
        <v>1077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798" t="s">
        <v>1078</v>
      </c>
      <c r="AE1" s="7"/>
      <c r="AF1" s="1630" t="s">
        <v>1079</v>
      </c>
      <c r="AG1" s="1630"/>
      <c r="AH1" s="1630"/>
      <c r="AI1" s="1630"/>
      <c r="AJ1" s="1630"/>
      <c r="AK1" s="1630"/>
      <c r="AL1" s="1630"/>
    </row>
    <row r="2" spans="1:38" s="932" customFormat="1" ht="15.75">
      <c r="A2" s="929">
        <v>1</v>
      </c>
      <c r="B2" s="930">
        <v>2</v>
      </c>
      <c r="C2" s="929">
        <v>3</v>
      </c>
      <c r="D2" s="930">
        <v>4</v>
      </c>
      <c r="E2" s="929">
        <v>5</v>
      </c>
      <c r="F2" s="930">
        <v>6</v>
      </c>
      <c r="G2" s="929">
        <v>7</v>
      </c>
      <c r="H2" s="930">
        <v>8</v>
      </c>
      <c r="I2" s="929">
        <v>9</v>
      </c>
      <c r="J2" s="930">
        <v>10</v>
      </c>
      <c r="K2" s="929">
        <v>11</v>
      </c>
      <c r="L2" s="930">
        <v>12</v>
      </c>
      <c r="M2" s="929">
        <v>13</v>
      </c>
      <c r="N2" s="930">
        <v>14</v>
      </c>
      <c r="O2" s="929">
        <v>15</v>
      </c>
      <c r="P2" s="930">
        <v>16</v>
      </c>
      <c r="Q2" s="929">
        <v>17</v>
      </c>
      <c r="R2" s="930">
        <v>18</v>
      </c>
      <c r="S2" s="929">
        <v>19</v>
      </c>
      <c r="T2" s="930">
        <v>20</v>
      </c>
      <c r="U2" s="929">
        <v>21</v>
      </c>
      <c r="V2" s="930">
        <v>22</v>
      </c>
      <c r="W2" s="929">
        <v>23</v>
      </c>
      <c r="X2" s="930">
        <v>24</v>
      </c>
      <c r="Y2" s="929">
        <v>25</v>
      </c>
      <c r="Z2" s="930">
        <v>26</v>
      </c>
      <c r="AA2" s="929">
        <v>27</v>
      </c>
      <c r="AB2" s="930">
        <v>28</v>
      </c>
      <c r="AC2" s="929">
        <v>29</v>
      </c>
      <c r="AD2" s="930">
        <v>30</v>
      </c>
      <c r="AE2" s="929">
        <v>31</v>
      </c>
      <c r="AF2" s="931" t="s">
        <v>1080</v>
      </c>
    </row>
    <row r="3" spans="1:38" s="14" customFormat="1" ht="12.75" hidden="1" customHeight="1" outlineLevel="1">
      <c r="A3" s="12"/>
      <c r="C3" s="13"/>
      <c r="D3" s="1432"/>
      <c r="E3" s="1433"/>
      <c r="F3" s="1433"/>
      <c r="H3" s="15"/>
      <c r="I3" s="37" t="s">
        <v>1081</v>
      </c>
      <c r="J3" s="37" t="s">
        <v>1081</v>
      </c>
      <c r="L3" s="14" t="s">
        <v>1081</v>
      </c>
      <c r="O3" s="14" t="s">
        <v>1081</v>
      </c>
      <c r="Q3" s="14" t="s">
        <v>1082</v>
      </c>
      <c r="S3" s="14" t="s">
        <v>1083</v>
      </c>
      <c r="T3" s="14" t="s">
        <v>1082</v>
      </c>
      <c r="V3" s="14" t="s">
        <v>1084</v>
      </c>
      <c r="X3" s="14" t="s">
        <v>1085</v>
      </c>
      <c r="Y3" s="16" t="s">
        <v>1084</v>
      </c>
      <c r="AA3" s="14" t="s">
        <v>1086</v>
      </c>
      <c r="AB3" s="14" t="s">
        <v>1086</v>
      </c>
      <c r="AC3" s="14" t="s">
        <v>1087</v>
      </c>
      <c r="AD3" s="799"/>
      <c r="AE3" s="800"/>
    </row>
    <row r="4" spans="1:38" s="14" customFormat="1" ht="25.5" customHeight="1" collapsed="1">
      <c r="A4" s="17" t="s">
        <v>1088</v>
      </c>
      <c r="B4" s="17" t="s">
        <v>1089</v>
      </c>
      <c r="C4" s="1627" t="s">
        <v>1090</v>
      </c>
      <c r="D4" s="1434" t="s">
        <v>1091</v>
      </c>
      <c r="E4" s="1631" t="s">
        <v>1092</v>
      </c>
      <c r="F4" s="1633" t="s">
        <v>1093</v>
      </c>
      <c r="G4" s="1634" t="s">
        <v>1094</v>
      </c>
      <c r="H4" s="1636" t="s">
        <v>1095</v>
      </c>
      <c r="I4" s="1637"/>
      <c r="J4" s="1638"/>
      <c r="K4" s="1642" t="s">
        <v>1096</v>
      </c>
      <c r="L4" s="1643"/>
      <c r="M4" s="1643"/>
      <c r="N4" s="1643"/>
      <c r="O4" s="1643"/>
      <c r="P4" s="1643"/>
      <c r="Q4" s="1643"/>
      <c r="R4" s="1643"/>
      <c r="S4" s="1643"/>
      <c r="T4" s="1643"/>
      <c r="U4" s="1643"/>
      <c r="V4" s="1643"/>
      <c r="W4" s="1643"/>
      <c r="X4" s="1643"/>
      <c r="Y4" s="1644"/>
      <c r="Z4" s="1646" t="s">
        <v>1097</v>
      </c>
      <c r="AA4" s="1647"/>
      <c r="AB4" s="1648"/>
      <c r="AC4" s="156" t="s">
        <v>1098</v>
      </c>
      <c r="AD4" s="1649" t="s">
        <v>1099</v>
      </c>
      <c r="AE4" s="1655" t="s">
        <v>1100</v>
      </c>
    </row>
    <row r="5" spans="1:38" s="14" customFormat="1" ht="12.75" customHeight="1">
      <c r="A5" s="1615" t="s">
        <v>1101</v>
      </c>
      <c r="B5" s="775"/>
      <c r="C5" s="1628"/>
      <c r="D5" s="1617" t="s">
        <v>1102</v>
      </c>
      <c r="E5" s="1632"/>
      <c r="F5" s="1625"/>
      <c r="G5" s="1626"/>
      <c r="H5" s="1618" t="s">
        <v>1103</v>
      </c>
      <c r="I5" s="1619"/>
      <c r="J5" s="1620"/>
      <c r="K5" s="1624" t="s">
        <v>1104</v>
      </c>
      <c r="L5" s="1624"/>
      <c r="M5" s="1624"/>
      <c r="N5" s="1624"/>
      <c r="O5" s="1624"/>
      <c r="P5" s="1624" t="s">
        <v>1105</v>
      </c>
      <c r="Q5" s="1624"/>
      <c r="R5" s="1624"/>
      <c r="S5" s="1624"/>
      <c r="T5" s="1624"/>
      <c r="U5" s="1624" t="s">
        <v>1106</v>
      </c>
      <c r="V5" s="1624"/>
      <c r="W5" s="1624"/>
      <c r="X5" s="1624"/>
      <c r="Y5" s="1624"/>
      <c r="Z5" s="1651" t="s">
        <v>1107</v>
      </c>
      <c r="AA5" s="1652"/>
      <c r="AB5" s="1653"/>
      <c r="AC5" s="157"/>
      <c r="AD5" s="1650"/>
      <c r="AE5" s="1656"/>
    </row>
    <row r="6" spans="1:38" s="14" customFormat="1" ht="12.75" customHeight="1">
      <c r="A6" s="1616"/>
      <c r="B6" s="777"/>
      <c r="C6" s="1628"/>
      <c r="D6" s="1617"/>
      <c r="E6" s="1632"/>
      <c r="F6" s="1625" t="s">
        <v>1108</v>
      </c>
      <c r="G6" s="1626"/>
      <c r="H6" s="1621"/>
      <c r="I6" s="1622"/>
      <c r="J6" s="1623"/>
      <c r="K6" s="1645" t="s">
        <v>1109</v>
      </c>
      <c r="L6" s="1645"/>
      <c r="M6" s="1645"/>
      <c r="N6" s="1645"/>
      <c r="O6" s="1645"/>
      <c r="P6" s="1645" t="s">
        <v>1110</v>
      </c>
      <c r="Q6" s="1645"/>
      <c r="R6" s="1645"/>
      <c r="S6" s="1645"/>
      <c r="T6" s="1645"/>
      <c r="U6" s="1645" t="s">
        <v>1111</v>
      </c>
      <c r="V6" s="1645"/>
      <c r="W6" s="1645"/>
      <c r="X6" s="1645"/>
      <c r="Y6" s="1645"/>
      <c r="Z6" s="1639" t="s">
        <v>1112</v>
      </c>
      <c r="AA6" s="1640"/>
      <c r="AB6" s="1641"/>
      <c r="AC6" s="158"/>
      <c r="AD6" s="1650"/>
      <c r="AE6" s="1656"/>
    </row>
    <row r="7" spans="1:38" s="14" customFormat="1" ht="18.75" customHeight="1">
      <c r="A7" s="18"/>
      <c r="B7" s="18"/>
      <c r="C7" s="1629" t="s">
        <v>1113</v>
      </c>
      <c r="D7" s="1432"/>
      <c r="E7" s="1435" t="s">
        <v>217</v>
      </c>
      <c r="F7" s="1626"/>
      <c r="G7" s="1626"/>
      <c r="H7" s="19" t="s">
        <v>290</v>
      </c>
      <c r="I7" s="20" t="s">
        <v>1114</v>
      </c>
      <c r="J7" s="20" t="s">
        <v>1092</v>
      </c>
      <c r="K7" s="21" t="s">
        <v>290</v>
      </c>
      <c r="L7" s="152" t="s">
        <v>1115</v>
      </c>
      <c r="M7" s="152" t="s">
        <v>1116</v>
      </c>
      <c r="N7" s="152" t="s">
        <v>1117</v>
      </c>
      <c r="O7" s="22" t="s">
        <v>1092</v>
      </c>
      <c r="P7" s="21" t="s">
        <v>290</v>
      </c>
      <c r="Q7" s="152" t="s">
        <v>1115</v>
      </c>
      <c r="R7" s="152" t="s">
        <v>1118</v>
      </c>
      <c r="S7" s="152" t="s">
        <v>1117</v>
      </c>
      <c r="T7" s="22" t="s">
        <v>1092</v>
      </c>
      <c r="U7" s="21" t="s">
        <v>290</v>
      </c>
      <c r="V7" s="152" t="s">
        <v>1115</v>
      </c>
      <c r="W7" s="152" t="s">
        <v>1118</v>
      </c>
      <c r="X7" s="152" t="s">
        <v>1117</v>
      </c>
      <c r="Y7" s="22" t="s">
        <v>1092</v>
      </c>
      <c r="Z7" s="21" t="s">
        <v>290</v>
      </c>
      <c r="AA7" s="22" t="s">
        <v>1114</v>
      </c>
      <c r="AB7" s="22" t="s">
        <v>1092</v>
      </c>
      <c r="AC7" s="152" t="s">
        <v>1119</v>
      </c>
      <c r="AD7" s="1654" t="s">
        <v>1120</v>
      </c>
      <c r="AE7" s="801" t="s">
        <v>1121</v>
      </c>
      <c r="AF7" s="321" t="s">
        <v>290</v>
      </c>
      <c r="AG7" s="322" t="s">
        <v>1114</v>
      </c>
      <c r="AH7" s="322" t="s">
        <v>1092</v>
      </c>
    </row>
    <row r="8" spans="1:38" s="25" customFormat="1" ht="18.75" customHeight="1">
      <c r="A8" s="23"/>
      <c r="B8" s="23"/>
      <c r="C8" s="1629"/>
      <c r="D8" s="1432"/>
      <c r="E8" s="1435"/>
      <c r="F8" s="1626"/>
      <c r="G8" s="1626"/>
      <c r="H8" s="802" t="s">
        <v>290</v>
      </c>
      <c r="I8" s="24" t="s">
        <v>1122</v>
      </c>
      <c r="J8" s="24" t="s">
        <v>1100</v>
      </c>
      <c r="K8" s="803" t="s">
        <v>290</v>
      </c>
      <c r="L8" s="153"/>
      <c r="M8" s="153"/>
      <c r="N8" s="153"/>
      <c r="O8" s="153" t="s">
        <v>1100</v>
      </c>
      <c r="P8" s="803" t="s">
        <v>290</v>
      </c>
      <c r="Q8" s="155" t="s">
        <v>1123</v>
      </c>
      <c r="R8" s="155" t="s">
        <v>1124</v>
      </c>
      <c r="S8" s="155" t="s">
        <v>1125</v>
      </c>
      <c r="T8" s="153" t="s">
        <v>1100</v>
      </c>
      <c r="U8" s="803" t="s">
        <v>290</v>
      </c>
      <c r="V8" s="155" t="s">
        <v>1123</v>
      </c>
      <c r="W8" s="155" t="s">
        <v>1124</v>
      </c>
      <c r="X8" s="155" t="s">
        <v>1125</v>
      </c>
      <c r="Y8" s="153" t="s">
        <v>1100</v>
      </c>
      <c r="Z8" s="803" t="s">
        <v>290</v>
      </c>
      <c r="AA8" s="153" t="s">
        <v>1122</v>
      </c>
      <c r="AB8" s="153" t="s">
        <v>1100</v>
      </c>
      <c r="AC8" s="155" t="s">
        <v>1126</v>
      </c>
      <c r="AD8" s="1654"/>
      <c r="AE8" s="801"/>
      <c r="AF8" s="323" t="s">
        <v>290</v>
      </c>
      <c r="AG8" s="324" t="s">
        <v>1122</v>
      </c>
      <c r="AH8" s="324" t="s">
        <v>1127</v>
      </c>
    </row>
    <row r="9" spans="1:38" s="25" customFormat="1" ht="18.75" customHeight="1">
      <c r="A9" s="26"/>
      <c r="B9" s="26"/>
      <c r="C9" s="27"/>
      <c r="D9" s="1432"/>
      <c r="E9" s="1435"/>
      <c r="F9" s="804"/>
      <c r="G9" s="1635"/>
      <c r="H9" s="28" t="s">
        <v>1128</v>
      </c>
      <c r="I9" s="28" t="s">
        <v>1128</v>
      </c>
      <c r="J9" s="28" t="s">
        <v>1128</v>
      </c>
      <c r="K9" s="224" t="s">
        <v>1129</v>
      </c>
      <c r="L9" s="224" t="s">
        <v>1129</v>
      </c>
      <c r="M9" s="154" t="s">
        <v>1129</v>
      </c>
      <c r="N9" s="154" t="s">
        <v>1129</v>
      </c>
      <c r="O9" s="224" t="s">
        <v>1129</v>
      </c>
      <c r="P9" s="224" t="s">
        <v>1129</v>
      </c>
      <c r="Q9" s="224" t="s">
        <v>1129</v>
      </c>
      <c r="R9" s="154" t="s">
        <v>1129</v>
      </c>
      <c r="S9" s="154" t="s">
        <v>1129</v>
      </c>
      <c r="T9" s="224" t="s">
        <v>1129</v>
      </c>
      <c r="U9" s="224" t="s">
        <v>1129</v>
      </c>
      <c r="V9" s="224" t="s">
        <v>1129</v>
      </c>
      <c r="W9" s="154" t="s">
        <v>1129</v>
      </c>
      <c r="X9" s="154" t="s">
        <v>1129</v>
      </c>
      <c r="Y9" s="224" t="s">
        <v>1129</v>
      </c>
      <c r="Z9" s="225" t="s">
        <v>1130</v>
      </c>
      <c r="AA9" s="225" t="s">
        <v>1130</v>
      </c>
      <c r="AB9" s="225" t="s">
        <v>1130</v>
      </c>
      <c r="AC9" s="159" t="s">
        <v>1131</v>
      </c>
      <c r="AD9" s="805"/>
      <c r="AE9" s="806"/>
      <c r="AF9" s="320" t="s">
        <v>1132</v>
      </c>
      <c r="AG9" s="320" t="s">
        <v>1132</v>
      </c>
      <c r="AH9" s="320" t="s">
        <v>1132</v>
      </c>
    </row>
    <row r="10" spans="1:38" s="364" customFormat="1" ht="14.25" customHeight="1">
      <c r="A10" s="357">
        <v>0</v>
      </c>
      <c r="B10" s="807"/>
      <c r="C10" s="41" t="s">
        <v>1133</v>
      </c>
      <c r="D10" s="40"/>
      <c r="E10" s="41"/>
      <c r="F10" s="42" t="s">
        <v>1134</v>
      </c>
      <c r="G10" s="43"/>
      <c r="H10" s="358"/>
      <c r="I10" s="358"/>
      <c r="J10" s="358"/>
      <c r="K10" s="359"/>
      <c r="L10" s="360"/>
      <c r="M10" s="360"/>
      <c r="N10" s="360"/>
      <c r="O10" s="361"/>
      <c r="P10" s="359"/>
      <c r="Q10" s="360"/>
      <c r="R10" s="360"/>
      <c r="S10" s="360"/>
      <c r="T10" s="361"/>
      <c r="U10" s="362"/>
      <c r="V10" s="360"/>
      <c r="W10" s="360"/>
      <c r="X10" s="360"/>
      <c r="Y10" s="360"/>
      <c r="Z10" s="362"/>
      <c r="AA10" s="360"/>
      <c r="AB10" s="360"/>
      <c r="AC10" s="360"/>
      <c r="AD10" s="363" t="s">
        <v>1135</v>
      </c>
      <c r="AE10" s="41"/>
      <c r="AI10" s="14"/>
    </row>
    <row r="11" spans="1:38" s="364" customFormat="1" ht="14.25" customHeight="1">
      <c r="A11" s="365" t="s">
        <v>1136</v>
      </c>
      <c r="B11" s="235" t="s">
        <v>1137</v>
      </c>
      <c r="C11" s="45" t="s">
        <v>1138</v>
      </c>
      <c r="D11" s="45" t="s">
        <v>1139</v>
      </c>
      <c r="E11" s="45" t="s">
        <v>1140</v>
      </c>
      <c r="F11" s="79" t="s">
        <v>1134</v>
      </c>
      <c r="G11" s="47" t="s">
        <v>1141</v>
      </c>
      <c r="H11" s="33">
        <v>1300000</v>
      </c>
      <c r="I11" s="86">
        <v>1140000</v>
      </c>
      <c r="J11" s="34">
        <v>167000</v>
      </c>
      <c r="K11" s="35">
        <v>2250</v>
      </c>
      <c r="L11" s="366">
        <v>1990</v>
      </c>
      <c r="M11" s="36">
        <v>1990</v>
      </c>
      <c r="N11" s="36">
        <v>0</v>
      </c>
      <c r="O11" s="36">
        <v>257</v>
      </c>
      <c r="P11" s="35">
        <v>129</v>
      </c>
      <c r="Q11" s="366">
        <v>120</v>
      </c>
      <c r="R11" s="36">
        <v>120</v>
      </c>
      <c r="S11" s="36">
        <v>0</v>
      </c>
      <c r="T11" s="36">
        <v>9.02</v>
      </c>
      <c r="U11" s="35">
        <v>2120</v>
      </c>
      <c r="V11" s="366">
        <v>1870</v>
      </c>
      <c r="W11" s="36">
        <v>1870</v>
      </c>
      <c r="X11" s="36">
        <v>0</v>
      </c>
      <c r="Y11" s="36">
        <v>248</v>
      </c>
      <c r="Z11" s="35">
        <v>861</v>
      </c>
      <c r="AA11" s="366">
        <v>801</v>
      </c>
      <c r="AB11" s="36">
        <v>60.5</v>
      </c>
      <c r="AC11" s="367">
        <v>0</v>
      </c>
      <c r="AD11" s="368" t="s">
        <v>1142</v>
      </c>
      <c r="AE11" s="45" t="s">
        <v>1143</v>
      </c>
      <c r="AF11" s="369">
        <v>210</v>
      </c>
      <c r="AG11" s="370">
        <v>197</v>
      </c>
      <c r="AH11" s="370">
        <v>12.9</v>
      </c>
      <c r="AI11" s="330">
        <f>(Z11-AF11)/Z11</f>
        <v>0.75609756097560976</v>
      </c>
    </row>
    <row r="12" spans="1:38" s="364" customFormat="1" ht="14.25" customHeight="1">
      <c r="A12" s="365" t="s">
        <v>1144</v>
      </c>
      <c r="B12" s="235" t="s">
        <v>1145</v>
      </c>
      <c r="C12" s="45" t="s">
        <v>1146</v>
      </c>
      <c r="D12" s="45" t="s">
        <v>1147</v>
      </c>
      <c r="E12" s="45" t="s">
        <v>1148</v>
      </c>
      <c r="F12" s="79" t="s">
        <v>1134</v>
      </c>
      <c r="G12" s="47" t="s">
        <v>1141</v>
      </c>
      <c r="H12" s="33">
        <v>1230000</v>
      </c>
      <c r="I12" s="86">
        <v>1070000</v>
      </c>
      <c r="J12" s="34">
        <v>167000</v>
      </c>
      <c r="K12" s="35">
        <v>2050</v>
      </c>
      <c r="L12" s="366">
        <v>1800</v>
      </c>
      <c r="M12" s="36">
        <v>1800</v>
      </c>
      <c r="N12" s="36">
        <v>0</v>
      </c>
      <c r="O12" s="36">
        <v>257</v>
      </c>
      <c r="P12" s="35">
        <v>114</v>
      </c>
      <c r="Q12" s="366">
        <v>105</v>
      </c>
      <c r="R12" s="36">
        <v>105</v>
      </c>
      <c r="S12" s="36">
        <v>0</v>
      </c>
      <c r="T12" s="36">
        <v>9.02</v>
      </c>
      <c r="U12" s="35">
        <v>1940</v>
      </c>
      <c r="V12" s="366">
        <v>1690</v>
      </c>
      <c r="W12" s="36">
        <v>1690</v>
      </c>
      <c r="X12" s="36">
        <v>0</v>
      </c>
      <c r="Y12" s="36">
        <v>248</v>
      </c>
      <c r="Z12" s="35">
        <v>821</v>
      </c>
      <c r="AA12" s="366">
        <v>761</v>
      </c>
      <c r="AB12" s="36">
        <v>60.5</v>
      </c>
      <c r="AC12" s="367">
        <v>0</v>
      </c>
      <c r="AD12" s="368" t="s">
        <v>1149</v>
      </c>
      <c r="AE12" s="45" t="s">
        <v>1150</v>
      </c>
      <c r="AF12" s="369">
        <v>195</v>
      </c>
      <c r="AG12" s="370">
        <v>182</v>
      </c>
      <c r="AH12" s="370">
        <v>12.9</v>
      </c>
      <c r="AI12" s="330">
        <f t="shared" ref="AI12:AI74" si="0">(Z12-AF12)/Z12</f>
        <v>0.76248477466504261</v>
      </c>
    </row>
    <row r="13" spans="1:38" s="364" customFormat="1" ht="14.25" customHeight="1">
      <c r="A13" s="365" t="s">
        <v>1151</v>
      </c>
      <c r="B13" s="235" t="s">
        <v>1152</v>
      </c>
      <c r="C13" s="45" t="s">
        <v>1153</v>
      </c>
      <c r="D13" s="45" t="s">
        <v>1154</v>
      </c>
      <c r="E13" s="45" t="s">
        <v>1155</v>
      </c>
      <c r="F13" s="79" t="s">
        <v>1134</v>
      </c>
      <c r="G13" s="47" t="s">
        <v>1141</v>
      </c>
      <c r="H13" s="33">
        <v>846000</v>
      </c>
      <c r="I13" s="86">
        <v>735000</v>
      </c>
      <c r="J13" s="34">
        <v>111000</v>
      </c>
      <c r="K13" s="38">
        <v>1490</v>
      </c>
      <c r="L13" s="366">
        <v>1320</v>
      </c>
      <c r="M13" s="36">
        <v>1320</v>
      </c>
      <c r="N13" s="36">
        <v>0</v>
      </c>
      <c r="O13" s="36">
        <v>170</v>
      </c>
      <c r="P13" s="38">
        <v>103</v>
      </c>
      <c r="Q13" s="366">
        <v>96.9</v>
      </c>
      <c r="R13" s="36">
        <v>96.9</v>
      </c>
      <c r="S13" s="36">
        <v>0</v>
      </c>
      <c r="T13" s="36">
        <v>5.96</v>
      </c>
      <c r="U13" s="38">
        <v>1390</v>
      </c>
      <c r="V13" s="366">
        <v>1230</v>
      </c>
      <c r="W13" s="36">
        <v>1230</v>
      </c>
      <c r="X13" s="36">
        <v>0</v>
      </c>
      <c r="Y13" s="36">
        <v>164</v>
      </c>
      <c r="Z13" s="38">
        <v>535</v>
      </c>
      <c r="AA13" s="90">
        <v>495</v>
      </c>
      <c r="AB13" s="39">
        <v>40</v>
      </c>
      <c r="AC13" s="367">
        <v>0</v>
      </c>
      <c r="AD13" s="110" t="s">
        <v>1156</v>
      </c>
      <c r="AE13" s="45" t="s">
        <v>1157</v>
      </c>
      <c r="AF13" s="369">
        <v>140</v>
      </c>
      <c r="AG13" s="370">
        <v>131</v>
      </c>
      <c r="AH13" s="370">
        <v>8.5399999999999991</v>
      </c>
      <c r="AI13" s="330">
        <f t="shared" si="0"/>
        <v>0.73831775700934577</v>
      </c>
    </row>
    <row r="14" spans="1:38" s="364" customFormat="1" ht="14.25" customHeight="1">
      <c r="A14" s="365" t="s">
        <v>1158</v>
      </c>
      <c r="B14" s="235" t="s">
        <v>1159</v>
      </c>
      <c r="C14" s="45" t="s">
        <v>1160</v>
      </c>
      <c r="D14" s="45" t="s">
        <v>1161</v>
      </c>
      <c r="E14" s="45" t="s">
        <v>1162</v>
      </c>
      <c r="F14" s="79" t="s">
        <v>1134</v>
      </c>
      <c r="G14" s="47" t="s">
        <v>1141</v>
      </c>
      <c r="H14" s="33">
        <v>188000</v>
      </c>
      <c r="I14" s="86">
        <v>164000</v>
      </c>
      <c r="J14" s="34">
        <v>24300</v>
      </c>
      <c r="K14" s="38">
        <v>319</v>
      </c>
      <c r="L14" s="366">
        <v>282</v>
      </c>
      <c r="M14" s="36">
        <v>282</v>
      </c>
      <c r="N14" s="36">
        <v>0</v>
      </c>
      <c r="O14" s="36">
        <v>37.200000000000003</v>
      </c>
      <c r="P14" s="38">
        <v>22.5</v>
      </c>
      <c r="Q14" s="366">
        <v>21.2</v>
      </c>
      <c r="R14" s="36">
        <v>21.2</v>
      </c>
      <c r="S14" s="36">
        <v>0</v>
      </c>
      <c r="T14" s="36">
        <v>1.31</v>
      </c>
      <c r="U14" s="38">
        <v>297</v>
      </c>
      <c r="V14" s="366">
        <v>261</v>
      </c>
      <c r="W14" s="36">
        <v>261</v>
      </c>
      <c r="X14" s="36">
        <v>0</v>
      </c>
      <c r="Y14" s="36">
        <v>35.9</v>
      </c>
      <c r="Z14" s="38">
        <v>121</v>
      </c>
      <c r="AA14" s="90">
        <v>112</v>
      </c>
      <c r="AB14" s="39">
        <v>8.7799999999999994</v>
      </c>
      <c r="AC14" s="367">
        <v>0</v>
      </c>
      <c r="AD14" s="110" t="s">
        <v>1163</v>
      </c>
      <c r="AE14" s="45" t="s">
        <v>1164</v>
      </c>
      <c r="AF14" s="369">
        <v>31</v>
      </c>
      <c r="AG14" s="370">
        <v>29.1</v>
      </c>
      <c r="AH14" s="370">
        <v>1.88</v>
      </c>
      <c r="AI14" s="330">
        <f t="shared" si="0"/>
        <v>0.74380165289256195</v>
      </c>
    </row>
    <row r="15" spans="1:38" s="364" customFormat="1" ht="14.25" customHeight="1">
      <c r="A15" s="365" t="s">
        <v>639</v>
      </c>
      <c r="B15" s="235" t="s">
        <v>1165</v>
      </c>
      <c r="C15" s="45" t="s">
        <v>1166</v>
      </c>
      <c r="D15" s="45" t="s">
        <v>1167</v>
      </c>
      <c r="E15" s="45" t="s">
        <v>1168</v>
      </c>
      <c r="F15" s="79" t="s">
        <v>1134</v>
      </c>
      <c r="G15" s="47" t="s">
        <v>1141</v>
      </c>
      <c r="H15" s="33">
        <v>436000</v>
      </c>
      <c r="I15" s="86">
        <v>397000</v>
      </c>
      <c r="J15" s="34">
        <v>39000</v>
      </c>
      <c r="K15" s="38">
        <v>982</v>
      </c>
      <c r="L15" s="366">
        <v>922</v>
      </c>
      <c r="M15" s="36">
        <v>922</v>
      </c>
      <c r="N15" s="36">
        <v>0</v>
      </c>
      <c r="O15" s="36">
        <v>59.7</v>
      </c>
      <c r="P15" s="38">
        <v>107</v>
      </c>
      <c r="Q15" s="366">
        <v>105</v>
      </c>
      <c r="R15" s="36">
        <v>105</v>
      </c>
      <c r="S15" s="36">
        <v>0</v>
      </c>
      <c r="T15" s="36">
        <v>2.13</v>
      </c>
      <c r="U15" s="38">
        <v>874</v>
      </c>
      <c r="V15" s="366">
        <v>817</v>
      </c>
      <c r="W15" s="36">
        <v>817</v>
      </c>
      <c r="X15" s="36">
        <v>0</v>
      </c>
      <c r="Y15" s="36">
        <v>57.6</v>
      </c>
      <c r="Z15" s="38">
        <v>270</v>
      </c>
      <c r="AA15" s="90">
        <v>256</v>
      </c>
      <c r="AB15" s="39">
        <v>14.2</v>
      </c>
      <c r="AC15" s="367">
        <v>0</v>
      </c>
      <c r="AD15" s="110" t="s">
        <v>1169</v>
      </c>
      <c r="AE15" s="45" t="s">
        <v>1170</v>
      </c>
      <c r="AF15" s="369">
        <v>78.400000000000006</v>
      </c>
      <c r="AG15" s="370">
        <v>75.400000000000006</v>
      </c>
      <c r="AH15" s="370">
        <v>3.03</v>
      </c>
      <c r="AI15" s="330">
        <f t="shared" si="0"/>
        <v>0.70962962962962961</v>
      </c>
    </row>
    <row r="16" spans="1:38" s="364" customFormat="1" ht="14.25" customHeight="1">
      <c r="A16" s="365" t="s">
        <v>640</v>
      </c>
      <c r="B16" s="235" t="s">
        <v>1171</v>
      </c>
      <c r="C16" s="45" t="s">
        <v>1172</v>
      </c>
      <c r="D16" s="45" t="s">
        <v>1173</v>
      </c>
      <c r="E16" s="45" t="s">
        <v>1174</v>
      </c>
      <c r="F16" s="79" t="s">
        <v>1134</v>
      </c>
      <c r="G16" s="47" t="s">
        <v>1141</v>
      </c>
      <c r="H16" s="33">
        <v>305000</v>
      </c>
      <c r="I16" s="86">
        <v>282000</v>
      </c>
      <c r="J16" s="34">
        <v>22800</v>
      </c>
      <c r="K16" s="38">
        <v>683</v>
      </c>
      <c r="L16" s="366">
        <v>648</v>
      </c>
      <c r="M16" s="36">
        <v>648</v>
      </c>
      <c r="N16" s="36">
        <v>0</v>
      </c>
      <c r="O16" s="36">
        <v>35</v>
      </c>
      <c r="P16" s="38">
        <v>46.6</v>
      </c>
      <c r="Q16" s="366">
        <v>45.4</v>
      </c>
      <c r="R16" s="36">
        <v>45.4</v>
      </c>
      <c r="S16" s="36">
        <v>0</v>
      </c>
      <c r="T16" s="36">
        <v>1.23</v>
      </c>
      <c r="U16" s="38">
        <v>637</v>
      </c>
      <c r="V16" s="366">
        <v>603</v>
      </c>
      <c r="W16" s="36">
        <v>603</v>
      </c>
      <c r="X16" s="36">
        <v>0</v>
      </c>
      <c r="Y16" s="36">
        <v>33.799999999999997</v>
      </c>
      <c r="Z16" s="38">
        <v>187</v>
      </c>
      <c r="AA16" s="90">
        <v>178</v>
      </c>
      <c r="AB16" s="39">
        <v>8.26</v>
      </c>
      <c r="AC16" s="367">
        <v>0</v>
      </c>
      <c r="AD16" s="110" t="s">
        <v>1175</v>
      </c>
      <c r="AE16" s="45" t="s">
        <v>1176</v>
      </c>
      <c r="AF16" s="369">
        <v>55.8</v>
      </c>
      <c r="AG16" s="370">
        <v>54.1</v>
      </c>
      <c r="AH16" s="370">
        <v>1.76</v>
      </c>
      <c r="AI16" s="330">
        <f t="shared" si="0"/>
        <v>0.70160427807486625</v>
      </c>
    </row>
    <row r="17" spans="1:35" s="364" customFormat="1" ht="14.25" customHeight="1">
      <c r="A17" s="365" t="s">
        <v>641</v>
      </c>
      <c r="B17" s="235" t="s">
        <v>1177</v>
      </c>
      <c r="C17" s="45" t="s">
        <v>1178</v>
      </c>
      <c r="D17" s="45" t="s">
        <v>1179</v>
      </c>
      <c r="E17" s="45" t="s">
        <v>1180</v>
      </c>
      <c r="F17" s="79" t="s">
        <v>1134</v>
      </c>
      <c r="G17" s="47" t="s">
        <v>1141</v>
      </c>
      <c r="H17" s="33">
        <v>319000</v>
      </c>
      <c r="I17" s="86">
        <v>292000</v>
      </c>
      <c r="J17" s="34">
        <v>26400</v>
      </c>
      <c r="K17" s="38">
        <v>686</v>
      </c>
      <c r="L17" s="366">
        <v>646</v>
      </c>
      <c r="M17" s="36">
        <v>646</v>
      </c>
      <c r="N17" s="36">
        <v>0</v>
      </c>
      <c r="O17" s="36">
        <v>40.4</v>
      </c>
      <c r="P17" s="38">
        <v>45.4</v>
      </c>
      <c r="Q17" s="366">
        <v>44</v>
      </c>
      <c r="R17" s="36">
        <v>44</v>
      </c>
      <c r="S17" s="36">
        <v>0</v>
      </c>
      <c r="T17" s="36">
        <v>1.42</v>
      </c>
      <c r="U17" s="38">
        <v>641</v>
      </c>
      <c r="V17" s="366">
        <v>602</v>
      </c>
      <c r="W17" s="36">
        <v>602</v>
      </c>
      <c r="X17" s="36">
        <v>0</v>
      </c>
      <c r="Y17" s="36">
        <v>39</v>
      </c>
      <c r="Z17" s="38">
        <v>197</v>
      </c>
      <c r="AA17" s="90">
        <v>187</v>
      </c>
      <c r="AB17" s="39">
        <v>9.5399999999999991</v>
      </c>
      <c r="AC17" s="367">
        <v>0</v>
      </c>
      <c r="AD17" s="110" t="s">
        <v>1181</v>
      </c>
      <c r="AE17" s="45" t="s">
        <v>1182</v>
      </c>
      <c r="AF17" s="369">
        <v>56.7</v>
      </c>
      <c r="AG17" s="370">
        <v>54.7</v>
      </c>
      <c r="AH17" s="370">
        <v>2.04</v>
      </c>
      <c r="AI17" s="330">
        <f t="shared" si="0"/>
        <v>0.71218274111675128</v>
      </c>
    </row>
    <row r="18" spans="1:35" s="364" customFormat="1" ht="14.25" customHeight="1">
      <c r="A18" s="365" t="s">
        <v>642</v>
      </c>
      <c r="B18" s="235" t="s">
        <v>1183</v>
      </c>
      <c r="C18" s="45" t="s">
        <v>1184</v>
      </c>
      <c r="D18" s="45" t="s">
        <v>1185</v>
      </c>
      <c r="E18" s="45" t="s">
        <v>1186</v>
      </c>
      <c r="F18" s="79" t="s">
        <v>1134</v>
      </c>
      <c r="G18" s="47" t="s">
        <v>1141</v>
      </c>
      <c r="H18" s="33">
        <v>777000</v>
      </c>
      <c r="I18" s="86">
        <v>693000</v>
      </c>
      <c r="J18" s="34">
        <v>84200</v>
      </c>
      <c r="K18" s="38">
        <v>1250</v>
      </c>
      <c r="L18" s="366">
        <v>1120</v>
      </c>
      <c r="M18" s="36">
        <v>1120</v>
      </c>
      <c r="N18" s="36">
        <v>0</v>
      </c>
      <c r="O18" s="36">
        <v>129</v>
      </c>
      <c r="P18" s="38">
        <v>88.9</v>
      </c>
      <c r="Q18" s="366">
        <v>84.4</v>
      </c>
      <c r="R18" s="36">
        <v>84.4</v>
      </c>
      <c r="S18" s="36">
        <v>0</v>
      </c>
      <c r="T18" s="36">
        <v>4.54</v>
      </c>
      <c r="U18" s="38">
        <v>1160</v>
      </c>
      <c r="V18" s="366">
        <v>1040</v>
      </c>
      <c r="W18" s="36">
        <v>1040</v>
      </c>
      <c r="X18" s="36">
        <v>0</v>
      </c>
      <c r="Y18" s="36">
        <v>124</v>
      </c>
      <c r="Z18" s="38">
        <v>423</v>
      </c>
      <c r="AA18" s="90">
        <v>393</v>
      </c>
      <c r="AB18" s="39">
        <v>30.3</v>
      </c>
      <c r="AC18" s="367">
        <v>0</v>
      </c>
      <c r="AD18" s="110" t="s">
        <v>1187</v>
      </c>
      <c r="AE18" s="45" t="s">
        <v>1188</v>
      </c>
      <c r="AF18" s="369">
        <v>125</v>
      </c>
      <c r="AG18" s="370">
        <v>118</v>
      </c>
      <c r="AH18" s="370">
        <v>6.34</v>
      </c>
      <c r="AI18" s="330">
        <f t="shared" si="0"/>
        <v>0.70449172576832153</v>
      </c>
    </row>
    <row r="19" spans="1:35" s="364" customFormat="1" ht="14.25" customHeight="1">
      <c r="A19" s="365" t="s">
        <v>643</v>
      </c>
      <c r="B19" s="235" t="s">
        <v>1189</v>
      </c>
      <c r="C19" s="45" t="s">
        <v>1190</v>
      </c>
      <c r="D19" s="45" t="s">
        <v>1191</v>
      </c>
      <c r="E19" s="45" t="s">
        <v>1192</v>
      </c>
      <c r="F19" s="79" t="s">
        <v>1134</v>
      </c>
      <c r="G19" s="47" t="s">
        <v>1141</v>
      </c>
      <c r="H19" s="33">
        <v>1380000</v>
      </c>
      <c r="I19" s="86">
        <v>1210000</v>
      </c>
      <c r="J19" s="34">
        <v>166000</v>
      </c>
      <c r="K19" s="38">
        <v>2250</v>
      </c>
      <c r="L19" s="366">
        <v>2000</v>
      </c>
      <c r="M19" s="36">
        <v>2000</v>
      </c>
      <c r="N19" s="36">
        <v>0</v>
      </c>
      <c r="O19" s="36">
        <v>254</v>
      </c>
      <c r="P19" s="38">
        <v>168</v>
      </c>
      <c r="Q19" s="366">
        <v>159</v>
      </c>
      <c r="R19" s="36">
        <v>159</v>
      </c>
      <c r="S19" s="36">
        <v>0</v>
      </c>
      <c r="T19" s="36">
        <v>8.94</v>
      </c>
      <c r="U19" s="38">
        <v>2080</v>
      </c>
      <c r="V19" s="366">
        <v>1840</v>
      </c>
      <c r="W19" s="36">
        <v>1840</v>
      </c>
      <c r="X19" s="36">
        <v>0</v>
      </c>
      <c r="Y19" s="36">
        <v>245</v>
      </c>
      <c r="Z19" s="38">
        <v>809</v>
      </c>
      <c r="AA19" s="90">
        <v>749</v>
      </c>
      <c r="AB19" s="39">
        <v>59.8</v>
      </c>
      <c r="AC19" s="367">
        <v>0</v>
      </c>
      <c r="AD19" s="110" t="s">
        <v>1193</v>
      </c>
      <c r="AE19" s="45" t="s">
        <v>1194</v>
      </c>
      <c r="AF19" s="369">
        <v>226</v>
      </c>
      <c r="AG19" s="370">
        <v>213</v>
      </c>
      <c r="AH19" s="370">
        <v>12.6</v>
      </c>
      <c r="AI19" s="330">
        <f t="shared" si="0"/>
        <v>0.72064276885043266</v>
      </c>
    </row>
    <row r="20" spans="1:35" s="364" customFormat="1" ht="14.25" customHeight="1">
      <c r="A20" s="365" t="s">
        <v>644</v>
      </c>
      <c r="B20" s="235" t="s">
        <v>1195</v>
      </c>
      <c r="C20" s="45" t="s">
        <v>1196</v>
      </c>
      <c r="D20" s="45" t="s">
        <v>1197</v>
      </c>
      <c r="E20" s="45" t="s">
        <v>1198</v>
      </c>
      <c r="F20" s="79" t="s">
        <v>1134</v>
      </c>
      <c r="G20" s="47" t="s">
        <v>1141</v>
      </c>
      <c r="H20" s="33">
        <v>287000</v>
      </c>
      <c r="I20" s="86">
        <v>285000</v>
      </c>
      <c r="J20" s="34">
        <v>1690</v>
      </c>
      <c r="K20" s="38">
        <v>776</v>
      </c>
      <c r="L20" s="366">
        <v>771</v>
      </c>
      <c r="M20" s="36">
        <v>771</v>
      </c>
      <c r="N20" s="36">
        <v>0</v>
      </c>
      <c r="O20" s="36">
        <v>4.25</v>
      </c>
      <c r="P20" s="38">
        <v>44.2</v>
      </c>
      <c r="Q20" s="366">
        <v>44.1</v>
      </c>
      <c r="R20" s="36">
        <v>44.1</v>
      </c>
      <c r="S20" s="36">
        <v>0</v>
      </c>
      <c r="T20" s="36">
        <v>8.6800000000000002E-2</v>
      </c>
      <c r="U20" s="38">
        <v>732</v>
      </c>
      <c r="V20" s="366">
        <v>727</v>
      </c>
      <c r="W20" s="36">
        <v>727</v>
      </c>
      <c r="X20" s="36">
        <v>0</v>
      </c>
      <c r="Y20" s="36">
        <v>4.16</v>
      </c>
      <c r="Z20" s="38">
        <v>169</v>
      </c>
      <c r="AA20" s="90">
        <v>168</v>
      </c>
      <c r="AB20" s="39">
        <v>1.06</v>
      </c>
      <c r="AC20" s="367">
        <v>0</v>
      </c>
      <c r="AD20" s="110" t="s">
        <v>1199</v>
      </c>
      <c r="AE20" s="45" t="s">
        <v>1200</v>
      </c>
      <c r="AF20" s="369">
        <v>52.5</v>
      </c>
      <c r="AG20" s="370">
        <v>52.5</v>
      </c>
      <c r="AH20" s="370">
        <v>0</v>
      </c>
      <c r="AI20" s="330">
        <f t="shared" si="0"/>
        <v>0.68934911242603547</v>
      </c>
    </row>
    <row r="21" spans="1:35" s="364" customFormat="1" ht="14.25" customHeight="1">
      <c r="A21" s="365" t="s">
        <v>645</v>
      </c>
      <c r="B21" s="235" t="s">
        <v>1201</v>
      </c>
      <c r="C21" s="45" t="s">
        <v>1202</v>
      </c>
      <c r="D21" s="45" t="s">
        <v>1203</v>
      </c>
      <c r="E21" s="45" t="s">
        <v>1204</v>
      </c>
      <c r="F21" s="79" t="s">
        <v>1134</v>
      </c>
      <c r="G21" s="47" t="s">
        <v>1141</v>
      </c>
      <c r="H21" s="33">
        <v>162000</v>
      </c>
      <c r="I21" s="86">
        <v>161000</v>
      </c>
      <c r="J21" s="34">
        <v>926</v>
      </c>
      <c r="K21" s="38">
        <v>437</v>
      </c>
      <c r="L21" s="366">
        <v>434</v>
      </c>
      <c r="M21" s="36">
        <v>434</v>
      </c>
      <c r="N21" s="36">
        <v>0</v>
      </c>
      <c r="O21" s="36">
        <v>2.33</v>
      </c>
      <c r="P21" s="38">
        <v>24.3</v>
      </c>
      <c r="Q21" s="366">
        <v>24.3</v>
      </c>
      <c r="R21" s="36">
        <v>24.3</v>
      </c>
      <c r="S21" s="36">
        <v>0</v>
      </c>
      <c r="T21" s="36">
        <v>4.7500000000000001E-2</v>
      </c>
      <c r="U21" s="38">
        <v>412</v>
      </c>
      <c r="V21" s="366">
        <v>410</v>
      </c>
      <c r="W21" s="36">
        <v>410</v>
      </c>
      <c r="X21" s="36">
        <v>0</v>
      </c>
      <c r="Y21" s="36">
        <v>2.2799999999999998</v>
      </c>
      <c r="Z21" s="38">
        <v>95.7</v>
      </c>
      <c r="AA21" s="90">
        <v>95.1</v>
      </c>
      <c r="AB21" s="39">
        <v>0.57999999999999996</v>
      </c>
      <c r="AC21" s="367">
        <v>0</v>
      </c>
      <c r="AD21" s="110" t="s">
        <v>1205</v>
      </c>
      <c r="AE21" s="45" t="s">
        <v>1206</v>
      </c>
      <c r="AF21" s="369">
        <v>29.4</v>
      </c>
      <c r="AG21" s="370">
        <v>29.4</v>
      </c>
      <c r="AH21" s="370">
        <v>0</v>
      </c>
      <c r="AI21" s="330">
        <f t="shared" si="0"/>
        <v>0.69278996865203768</v>
      </c>
    </row>
    <row r="22" spans="1:35" s="364" customFormat="1" ht="14.25" customHeight="1">
      <c r="A22" s="365" t="s">
        <v>646</v>
      </c>
      <c r="B22" s="235" t="s">
        <v>1207</v>
      </c>
      <c r="C22" s="45" t="s">
        <v>1208</v>
      </c>
      <c r="D22" s="45" t="s">
        <v>1209</v>
      </c>
      <c r="E22" s="45" t="s">
        <v>1210</v>
      </c>
      <c r="F22" s="79" t="s">
        <v>1134</v>
      </c>
      <c r="G22" s="47" t="s">
        <v>1141</v>
      </c>
      <c r="H22" s="33">
        <v>321000</v>
      </c>
      <c r="I22" s="86">
        <v>315000</v>
      </c>
      <c r="J22" s="34">
        <v>5450</v>
      </c>
      <c r="K22" s="38">
        <v>846</v>
      </c>
      <c r="L22" s="366">
        <v>836</v>
      </c>
      <c r="M22" s="36">
        <v>836</v>
      </c>
      <c r="N22" s="36">
        <v>0</v>
      </c>
      <c r="O22" s="36">
        <v>10.3</v>
      </c>
      <c r="P22" s="38">
        <v>53.2</v>
      </c>
      <c r="Q22" s="366">
        <v>53</v>
      </c>
      <c r="R22" s="36">
        <v>53</v>
      </c>
      <c r="S22" s="36">
        <v>0</v>
      </c>
      <c r="T22" s="36">
        <v>0.28899999999999998</v>
      </c>
      <c r="U22" s="38">
        <v>793</v>
      </c>
      <c r="V22" s="366">
        <v>783</v>
      </c>
      <c r="W22" s="36">
        <v>783</v>
      </c>
      <c r="X22" s="36">
        <v>0</v>
      </c>
      <c r="Y22" s="36">
        <v>10</v>
      </c>
      <c r="Z22" s="38">
        <v>187</v>
      </c>
      <c r="AA22" s="90">
        <v>185</v>
      </c>
      <c r="AB22" s="39">
        <v>2.4900000000000002</v>
      </c>
      <c r="AC22" s="367">
        <v>0</v>
      </c>
      <c r="AD22" s="110" t="s">
        <v>1211</v>
      </c>
      <c r="AE22" s="45" t="s">
        <v>1212</v>
      </c>
      <c r="AF22" s="369">
        <v>59.6</v>
      </c>
      <c r="AG22" s="370">
        <v>59.6</v>
      </c>
      <c r="AH22" s="370">
        <v>0</v>
      </c>
      <c r="AI22" s="330">
        <f t="shared" si="0"/>
        <v>0.68128342245989304</v>
      </c>
    </row>
    <row r="23" spans="1:35" s="364" customFormat="1" ht="14.25" customHeight="1">
      <c r="A23" s="365" t="s">
        <v>649</v>
      </c>
      <c r="B23" s="235" t="s">
        <v>1213</v>
      </c>
      <c r="C23" s="45" t="s">
        <v>1214</v>
      </c>
      <c r="D23" s="45" t="s">
        <v>1215</v>
      </c>
      <c r="E23" s="45" t="s">
        <v>1216</v>
      </c>
      <c r="F23" s="79" t="s">
        <v>1134</v>
      </c>
      <c r="G23" s="47" t="s">
        <v>362</v>
      </c>
      <c r="H23" s="85">
        <v>52500</v>
      </c>
      <c r="I23" s="86">
        <v>52500</v>
      </c>
      <c r="J23" s="86">
        <v>0</v>
      </c>
      <c r="K23" s="91">
        <v>118</v>
      </c>
      <c r="L23" s="366">
        <v>118</v>
      </c>
      <c r="M23" s="36">
        <v>118</v>
      </c>
      <c r="N23" s="36">
        <v>0</v>
      </c>
      <c r="O23" s="366">
        <v>0</v>
      </c>
      <c r="P23" s="91">
        <v>8.2799999999999994</v>
      </c>
      <c r="Q23" s="366">
        <v>8.2799999999999994</v>
      </c>
      <c r="R23" s="36">
        <v>8.2799999999999994</v>
      </c>
      <c r="S23" s="36">
        <v>0</v>
      </c>
      <c r="T23" s="366">
        <v>0</v>
      </c>
      <c r="U23" s="91">
        <v>110</v>
      </c>
      <c r="V23" s="366">
        <v>110</v>
      </c>
      <c r="W23" s="36">
        <v>110</v>
      </c>
      <c r="X23" s="36">
        <v>0</v>
      </c>
      <c r="Y23" s="366">
        <v>0</v>
      </c>
      <c r="Z23" s="91">
        <v>31.4</v>
      </c>
      <c r="AA23" s="90">
        <v>31.4</v>
      </c>
      <c r="AB23" s="90">
        <v>0</v>
      </c>
      <c r="AC23" s="367">
        <v>0</v>
      </c>
      <c r="AD23" s="110" t="s">
        <v>1217</v>
      </c>
      <c r="AE23" s="45" t="s">
        <v>1218</v>
      </c>
      <c r="AF23" s="369">
        <v>9.51</v>
      </c>
      <c r="AG23" s="370">
        <v>9.51</v>
      </c>
      <c r="AH23" s="370">
        <v>0</v>
      </c>
      <c r="AI23" s="330">
        <f t="shared" si="0"/>
        <v>0.69713375796178345</v>
      </c>
    </row>
    <row r="24" spans="1:35" s="364" customFormat="1" ht="14.25" customHeight="1">
      <c r="A24" s="365" t="s">
        <v>1219</v>
      </c>
      <c r="B24" s="235" t="s">
        <v>1220</v>
      </c>
      <c r="C24" s="45" t="s">
        <v>1221</v>
      </c>
      <c r="D24" s="45" t="s">
        <v>1222</v>
      </c>
      <c r="E24" s="45" t="s">
        <v>1223</v>
      </c>
      <c r="F24" s="79" t="s">
        <v>1134</v>
      </c>
      <c r="G24" s="47" t="s">
        <v>362</v>
      </c>
      <c r="H24" s="85">
        <v>258000</v>
      </c>
      <c r="I24" s="86">
        <v>258000</v>
      </c>
      <c r="J24" s="86">
        <v>0</v>
      </c>
      <c r="K24" s="91">
        <v>395</v>
      </c>
      <c r="L24" s="366">
        <v>395</v>
      </c>
      <c r="M24" s="36">
        <v>395</v>
      </c>
      <c r="N24" s="36">
        <v>0</v>
      </c>
      <c r="O24" s="366">
        <v>0</v>
      </c>
      <c r="P24" s="91">
        <v>28.4</v>
      </c>
      <c r="Q24" s="366">
        <v>28.4</v>
      </c>
      <c r="R24" s="36">
        <v>28.4</v>
      </c>
      <c r="S24" s="36">
        <v>0</v>
      </c>
      <c r="T24" s="366">
        <v>0</v>
      </c>
      <c r="U24" s="91">
        <v>367</v>
      </c>
      <c r="V24" s="366">
        <v>367</v>
      </c>
      <c r="W24" s="36">
        <v>367</v>
      </c>
      <c r="X24" s="36">
        <v>0</v>
      </c>
      <c r="Y24" s="366">
        <v>0</v>
      </c>
      <c r="Z24" s="91">
        <v>163</v>
      </c>
      <c r="AA24" s="90">
        <v>163</v>
      </c>
      <c r="AB24" s="90">
        <v>0</v>
      </c>
      <c r="AC24" s="367">
        <v>0</v>
      </c>
      <c r="AD24" s="110" t="s">
        <v>1224</v>
      </c>
      <c r="AE24" s="45" t="s">
        <v>1225</v>
      </c>
      <c r="AF24" s="369">
        <v>41.8</v>
      </c>
      <c r="AG24" s="370">
        <v>41.8</v>
      </c>
      <c r="AH24" s="370">
        <v>0</v>
      </c>
      <c r="AI24" s="330">
        <f t="shared" si="0"/>
        <v>0.74355828220858899</v>
      </c>
    </row>
    <row r="25" spans="1:35" s="364" customFormat="1" ht="14.25" customHeight="1">
      <c r="A25" s="365" t="s">
        <v>650</v>
      </c>
      <c r="B25" s="235" t="s">
        <v>1226</v>
      </c>
      <c r="C25" s="45" t="s">
        <v>1227</v>
      </c>
      <c r="D25" s="45" t="s">
        <v>1228</v>
      </c>
      <c r="E25" s="45" t="s">
        <v>1229</v>
      </c>
      <c r="F25" s="79" t="s">
        <v>1134</v>
      </c>
      <c r="G25" s="47" t="s">
        <v>362</v>
      </c>
      <c r="H25" s="85">
        <v>377000</v>
      </c>
      <c r="I25" s="86">
        <v>377000</v>
      </c>
      <c r="J25" s="86">
        <v>0</v>
      </c>
      <c r="K25" s="91">
        <v>549</v>
      </c>
      <c r="L25" s="366">
        <v>549</v>
      </c>
      <c r="M25" s="36">
        <v>549</v>
      </c>
      <c r="N25" s="36">
        <v>0</v>
      </c>
      <c r="O25" s="366">
        <v>0</v>
      </c>
      <c r="P25" s="91">
        <v>43.8</v>
      </c>
      <c r="Q25" s="366">
        <v>43.8</v>
      </c>
      <c r="R25" s="36">
        <v>43.8</v>
      </c>
      <c r="S25" s="36">
        <v>0</v>
      </c>
      <c r="T25" s="366">
        <v>0</v>
      </c>
      <c r="U25" s="91">
        <v>505</v>
      </c>
      <c r="V25" s="366">
        <v>505</v>
      </c>
      <c r="W25" s="36">
        <v>505</v>
      </c>
      <c r="X25" s="36">
        <v>0</v>
      </c>
      <c r="Y25" s="366">
        <v>0</v>
      </c>
      <c r="Z25" s="91">
        <v>244</v>
      </c>
      <c r="AA25" s="90">
        <v>244</v>
      </c>
      <c r="AB25" s="90">
        <v>0</v>
      </c>
      <c r="AC25" s="367">
        <v>0</v>
      </c>
      <c r="AD25" s="110" t="s">
        <v>1230</v>
      </c>
      <c r="AE25" s="45" t="s">
        <v>1231</v>
      </c>
      <c r="AF25" s="369">
        <v>62.4</v>
      </c>
      <c r="AG25" s="370">
        <v>62.4</v>
      </c>
      <c r="AH25" s="370">
        <v>0</v>
      </c>
      <c r="AI25" s="330">
        <f t="shared" si="0"/>
        <v>0.74426229508196717</v>
      </c>
    </row>
    <row r="26" spans="1:35" s="364" customFormat="1" ht="14.25" customHeight="1">
      <c r="A26" s="365" t="s">
        <v>1232</v>
      </c>
      <c r="B26" s="235" t="s">
        <v>1233</v>
      </c>
      <c r="C26" s="45" t="s">
        <v>1234</v>
      </c>
      <c r="D26" s="45" t="s">
        <v>1235</v>
      </c>
      <c r="E26" s="45" t="s">
        <v>1236</v>
      </c>
      <c r="F26" s="79" t="s">
        <v>1134</v>
      </c>
      <c r="G26" s="47" t="s">
        <v>362</v>
      </c>
      <c r="H26" s="85">
        <v>579000</v>
      </c>
      <c r="I26" s="86">
        <v>579000</v>
      </c>
      <c r="J26" s="86">
        <v>0</v>
      </c>
      <c r="K26" s="91">
        <v>820</v>
      </c>
      <c r="L26" s="366">
        <v>820</v>
      </c>
      <c r="M26" s="36">
        <v>820</v>
      </c>
      <c r="N26" s="36">
        <v>0</v>
      </c>
      <c r="O26" s="366">
        <v>0</v>
      </c>
      <c r="P26" s="91">
        <v>69.2</v>
      </c>
      <c r="Q26" s="366">
        <v>69.2</v>
      </c>
      <c r="R26" s="36">
        <v>69.2</v>
      </c>
      <c r="S26" s="36">
        <v>0</v>
      </c>
      <c r="T26" s="366">
        <v>0</v>
      </c>
      <c r="U26" s="91">
        <v>751</v>
      </c>
      <c r="V26" s="366">
        <v>751</v>
      </c>
      <c r="W26" s="36">
        <v>751</v>
      </c>
      <c r="X26" s="36">
        <v>0</v>
      </c>
      <c r="Y26" s="366">
        <v>0</v>
      </c>
      <c r="Z26" s="91">
        <v>379</v>
      </c>
      <c r="AA26" s="90">
        <v>379</v>
      </c>
      <c r="AB26" s="90">
        <v>0</v>
      </c>
      <c r="AC26" s="367">
        <v>0</v>
      </c>
      <c r="AD26" s="110" t="s">
        <v>1237</v>
      </c>
      <c r="AE26" s="45" t="s">
        <v>1238</v>
      </c>
      <c r="AF26" s="369">
        <v>96.9</v>
      </c>
      <c r="AG26" s="370">
        <v>96.9</v>
      </c>
      <c r="AH26" s="370">
        <v>0</v>
      </c>
      <c r="AI26" s="330">
        <f t="shared" si="0"/>
        <v>0.74432717678100269</v>
      </c>
    </row>
    <row r="27" spans="1:35" s="364" customFormat="1" ht="14.25" customHeight="1">
      <c r="A27" s="365" t="s">
        <v>1239</v>
      </c>
      <c r="B27" s="235" t="s">
        <v>1240</v>
      </c>
      <c r="C27" s="45" t="s">
        <v>1241</v>
      </c>
      <c r="D27" s="45" t="s">
        <v>1242</v>
      </c>
      <c r="E27" s="45" t="s">
        <v>1243</v>
      </c>
      <c r="F27" s="79" t="s">
        <v>1134</v>
      </c>
      <c r="G27" s="47" t="s">
        <v>362</v>
      </c>
      <c r="H27" s="85">
        <v>122000</v>
      </c>
      <c r="I27" s="86">
        <v>122000</v>
      </c>
      <c r="J27" s="86">
        <v>0</v>
      </c>
      <c r="K27" s="91">
        <v>229</v>
      </c>
      <c r="L27" s="366">
        <v>229</v>
      </c>
      <c r="M27" s="36">
        <v>229</v>
      </c>
      <c r="N27" s="36">
        <v>0</v>
      </c>
      <c r="O27" s="366">
        <v>0</v>
      </c>
      <c r="P27" s="91">
        <v>13.4</v>
      </c>
      <c r="Q27" s="366">
        <v>13.4</v>
      </c>
      <c r="R27" s="36">
        <v>13.4</v>
      </c>
      <c r="S27" s="36">
        <v>0</v>
      </c>
      <c r="T27" s="366">
        <v>0</v>
      </c>
      <c r="U27" s="91">
        <v>215</v>
      </c>
      <c r="V27" s="366">
        <v>215</v>
      </c>
      <c r="W27" s="36">
        <v>215</v>
      </c>
      <c r="X27" s="36">
        <v>0</v>
      </c>
      <c r="Y27" s="366">
        <v>0</v>
      </c>
      <c r="Z27" s="91">
        <v>76.400000000000006</v>
      </c>
      <c r="AA27" s="90">
        <v>76.400000000000006</v>
      </c>
      <c r="AB27" s="90">
        <v>0</v>
      </c>
      <c r="AC27" s="367">
        <v>0</v>
      </c>
      <c r="AD27" s="110" t="s">
        <v>1244</v>
      </c>
      <c r="AE27" s="45" t="s">
        <v>1245</v>
      </c>
      <c r="AF27" s="369">
        <v>19.5</v>
      </c>
      <c r="AG27" s="370">
        <v>19.5</v>
      </c>
      <c r="AH27" s="370">
        <v>0</v>
      </c>
      <c r="AI27" s="330">
        <f t="shared" si="0"/>
        <v>0.74476439790575921</v>
      </c>
    </row>
    <row r="28" spans="1:35" s="364" customFormat="1" ht="14.25" customHeight="1">
      <c r="A28" s="365" t="s">
        <v>652</v>
      </c>
      <c r="B28" s="235" t="s">
        <v>1246</v>
      </c>
      <c r="C28" s="45" t="s">
        <v>1247</v>
      </c>
      <c r="D28" s="45" t="s">
        <v>1248</v>
      </c>
      <c r="E28" s="45" t="s">
        <v>1249</v>
      </c>
      <c r="F28" s="79" t="s">
        <v>1134</v>
      </c>
      <c r="G28" s="47" t="s">
        <v>362</v>
      </c>
      <c r="H28" s="85">
        <v>153000</v>
      </c>
      <c r="I28" s="86">
        <v>153000</v>
      </c>
      <c r="J28" s="86">
        <v>0</v>
      </c>
      <c r="K28" s="91">
        <v>274</v>
      </c>
      <c r="L28" s="366">
        <v>274</v>
      </c>
      <c r="M28" s="36">
        <v>274</v>
      </c>
      <c r="N28" s="36">
        <v>0</v>
      </c>
      <c r="O28" s="366">
        <v>0</v>
      </c>
      <c r="P28" s="91">
        <v>17.7</v>
      </c>
      <c r="Q28" s="366">
        <v>17.7</v>
      </c>
      <c r="R28" s="36">
        <v>17.7</v>
      </c>
      <c r="S28" s="36">
        <v>0</v>
      </c>
      <c r="T28" s="366">
        <v>0</v>
      </c>
      <c r="U28" s="91">
        <v>256</v>
      </c>
      <c r="V28" s="366">
        <v>256</v>
      </c>
      <c r="W28" s="36">
        <v>256</v>
      </c>
      <c r="X28" s="36">
        <v>0</v>
      </c>
      <c r="Y28" s="366">
        <v>0</v>
      </c>
      <c r="Z28" s="91">
        <v>95.9</v>
      </c>
      <c r="AA28" s="90">
        <v>95.9</v>
      </c>
      <c r="AB28" s="90">
        <v>0</v>
      </c>
      <c r="AC28" s="367">
        <v>0</v>
      </c>
      <c r="AD28" s="110" t="s">
        <v>1250</v>
      </c>
      <c r="AE28" s="45" t="s">
        <v>1251</v>
      </c>
      <c r="AF28" s="369">
        <v>24.8</v>
      </c>
      <c r="AG28" s="370">
        <v>24.8</v>
      </c>
      <c r="AH28" s="370">
        <v>0</v>
      </c>
      <c r="AI28" s="330">
        <f t="shared" si="0"/>
        <v>0.74139728884254441</v>
      </c>
    </row>
    <row r="29" spans="1:35" s="364" customFormat="1" ht="14.25" customHeight="1">
      <c r="A29" s="365" t="s">
        <v>653</v>
      </c>
      <c r="B29" s="235" t="s">
        <v>1252</v>
      </c>
      <c r="C29" s="45" t="s">
        <v>1253</v>
      </c>
      <c r="D29" s="45" t="s">
        <v>1254</v>
      </c>
      <c r="E29" s="45" t="s">
        <v>1255</v>
      </c>
      <c r="F29" s="79" t="s">
        <v>1134</v>
      </c>
      <c r="G29" s="47" t="s">
        <v>362</v>
      </c>
      <c r="H29" s="85">
        <v>30800</v>
      </c>
      <c r="I29" s="86">
        <v>30800</v>
      </c>
      <c r="J29" s="86">
        <v>0</v>
      </c>
      <c r="K29" s="91">
        <v>30.3</v>
      </c>
      <c r="L29" s="366">
        <v>30.3</v>
      </c>
      <c r="M29" s="36">
        <v>30.3</v>
      </c>
      <c r="N29" s="36">
        <v>0</v>
      </c>
      <c r="O29" s="366">
        <v>0</v>
      </c>
      <c r="P29" s="91">
        <v>1.52</v>
      </c>
      <c r="Q29" s="366">
        <v>1.52</v>
      </c>
      <c r="R29" s="36">
        <v>1.52</v>
      </c>
      <c r="S29" s="36">
        <v>0</v>
      </c>
      <c r="T29" s="366">
        <v>0</v>
      </c>
      <c r="U29" s="91">
        <v>28.8</v>
      </c>
      <c r="V29" s="366">
        <v>28.8</v>
      </c>
      <c r="W29" s="36">
        <v>28.8</v>
      </c>
      <c r="X29" s="36">
        <v>0</v>
      </c>
      <c r="Y29" s="366">
        <v>0</v>
      </c>
      <c r="Z29" s="91">
        <v>6.74</v>
      </c>
      <c r="AA29" s="90">
        <v>6.74</v>
      </c>
      <c r="AB29" s="90">
        <v>0</v>
      </c>
      <c r="AC29" s="367">
        <v>0</v>
      </c>
      <c r="AD29" s="110" t="s">
        <v>1256</v>
      </c>
      <c r="AE29" s="45" t="s">
        <v>1257</v>
      </c>
      <c r="AF29" s="369">
        <v>1.71</v>
      </c>
      <c r="AG29" s="370">
        <v>1.71</v>
      </c>
      <c r="AH29" s="370">
        <v>0</v>
      </c>
      <c r="AI29" s="330">
        <f t="shared" si="0"/>
        <v>0.74629080118694369</v>
      </c>
    </row>
    <row r="30" spans="1:35" s="364" customFormat="1" ht="14.25" customHeight="1">
      <c r="A30" s="365" t="s">
        <v>655</v>
      </c>
      <c r="B30" s="235" t="s">
        <v>1258</v>
      </c>
      <c r="C30" s="45" t="s">
        <v>1259</v>
      </c>
      <c r="D30" s="45" t="s">
        <v>1260</v>
      </c>
      <c r="E30" s="45" t="s">
        <v>1261</v>
      </c>
      <c r="F30" s="79" t="s">
        <v>1134</v>
      </c>
      <c r="G30" s="47" t="s">
        <v>362</v>
      </c>
      <c r="H30" s="85">
        <v>44600</v>
      </c>
      <c r="I30" s="86">
        <v>44600</v>
      </c>
      <c r="J30" s="86">
        <v>0</v>
      </c>
      <c r="K30" s="91">
        <v>63.8</v>
      </c>
      <c r="L30" s="366">
        <v>63.8</v>
      </c>
      <c r="M30" s="36">
        <v>63.8</v>
      </c>
      <c r="N30" s="36">
        <v>0</v>
      </c>
      <c r="O30" s="366">
        <v>0</v>
      </c>
      <c r="P30" s="91">
        <v>5.26</v>
      </c>
      <c r="Q30" s="366">
        <v>5.26</v>
      </c>
      <c r="R30" s="36">
        <v>5.26</v>
      </c>
      <c r="S30" s="36">
        <v>0</v>
      </c>
      <c r="T30" s="366">
        <v>0</v>
      </c>
      <c r="U30" s="91">
        <v>58.5</v>
      </c>
      <c r="V30" s="366">
        <v>58.5</v>
      </c>
      <c r="W30" s="36">
        <v>58.5</v>
      </c>
      <c r="X30" s="36">
        <v>0</v>
      </c>
      <c r="Y30" s="366">
        <v>0</v>
      </c>
      <c r="Z30" s="91">
        <v>29.2</v>
      </c>
      <c r="AA30" s="90">
        <v>29.2</v>
      </c>
      <c r="AB30" s="90">
        <v>0</v>
      </c>
      <c r="AC30" s="367">
        <v>0</v>
      </c>
      <c r="AD30" s="110" t="s">
        <v>1262</v>
      </c>
      <c r="AE30" s="45" t="s">
        <v>1263</v>
      </c>
      <c r="AF30" s="369">
        <v>7.44</v>
      </c>
      <c r="AG30" s="370">
        <v>7.44</v>
      </c>
      <c r="AH30" s="370">
        <v>0</v>
      </c>
      <c r="AI30" s="330">
        <f t="shared" si="0"/>
        <v>0.74520547945205473</v>
      </c>
    </row>
    <row r="31" spans="1:35" s="364" customFormat="1" ht="14.25" customHeight="1">
      <c r="A31" s="365" t="s">
        <v>1264</v>
      </c>
      <c r="B31" s="235" t="s">
        <v>1265</v>
      </c>
      <c r="C31" s="45" t="s">
        <v>1266</v>
      </c>
      <c r="D31" s="45" t="s">
        <v>1267</v>
      </c>
      <c r="E31" s="45" t="s">
        <v>1268</v>
      </c>
      <c r="F31" s="79" t="s">
        <v>1134</v>
      </c>
      <c r="G31" s="371" t="s">
        <v>1269</v>
      </c>
      <c r="H31" s="85">
        <v>21</v>
      </c>
      <c r="I31" s="86">
        <v>21</v>
      </c>
      <c r="J31" s="86">
        <v>0</v>
      </c>
      <c r="K31" s="91">
        <v>0.106</v>
      </c>
      <c r="L31" s="366">
        <v>0.106</v>
      </c>
      <c r="M31" s="36">
        <v>0.106</v>
      </c>
      <c r="N31" s="36">
        <v>0</v>
      </c>
      <c r="O31" s="366">
        <v>0</v>
      </c>
      <c r="P31" s="91">
        <v>2.23E-2</v>
      </c>
      <c r="Q31" s="366">
        <v>2.23E-2</v>
      </c>
      <c r="R31" s="36">
        <v>2.23E-2</v>
      </c>
      <c r="S31" s="36">
        <v>0</v>
      </c>
      <c r="T31" s="366">
        <v>0</v>
      </c>
      <c r="U31" s="91">
        <v>8.3699999999999997E-2</v>
      </c>
      <c r="V31" s="366">
        <v>8.3699999999999997E-2</v>
      </c>
      <c r="W31" s="36">
        <v>8.3699999999999997E-2</v>
      </c>
      <c r="X31" s="36">
        <v>0</v>
      </c>
      <c r="Y31" s="366">
        <v>0</v>
      </c>
      <c r="Z31" s="91">
        <v>5.1500000000000001E-3</v>
      </c>
      <c r="AA31" s="90">
        <v>5.1500000000000001E-3</v>
      </c>
      <c r="AB31" s="90">
        <v>0</v>
      </c>
      <c r="AC31" s="367">
        <v>0</v>
      </c>
      <c r="AD31" s="110" t="s">
        <v>1270</v>
      </c>
      <c r="AE31" s="45" t="s">
        <v>1271</v>
      </c>
      <c r="AF31" s="369">
        <v>1.8799999999999999E-3</v>
      </c>
      <c r="AG31" s="370">
        <v>1.8799999999999999E-3</v>
      </c>
      <c r="AH31" s="370">
        <v>0</v>
      </c>
      <c r="AI31" s="330">
        <f t="shared" si="0"/>
        <v>0.63495145631067962</v>
      </c>
    </row>
    <row r="32" spans="1:35" s="364" customFormat="1" ht="14.25" customHeight="1">
      <c r="A32" s="365" t="s">
        <v>1272</v>
      </c>
      <c r="B32" s="235" t="s">
        <v>1273</v>
      </c>
      <c r="C32" s="45" t="s">
        <v>1274</v>
      </c>
      <c r="D32" s="45" t="s">
        <v>1275</v>
      </c>
      <c r="E32" s="45" t="s">
        <v>1276</v>
      </c>
      <c r="F32" s="79" t="s">
        <v>1134</v>
      </c>
      <c r="G32" s="371" t="s">
        <v>1269</v>
      </c>
      <c r="H32" s="85">
        <v>24.6</v>
      </c>
      <c r="I32" s="86">
        <v>24.6</v>
      </c>
      <c r="J32" s="86">
        <v>0</v>
      </c>
      <c r="K32" s="91">
        <v>0.124</v>
      </c>
      <c r="L32" s="366">
        <v>0.124</v>
      </c>
      <c r="M32" s="36">
        <v>0.124</v>
      </c>
      <c r="N32" s="36">
        <v>0</v>
      </c>
      <c r="O32" s="366">
        <v>0</v>
      </c>
      <c r="P32" s="91">
        <v>2.6200000000000001E-2</v>
      </c>
      <c r="Q32" s="366">
        <v>2.6200000000000001E-2</v>
      </c>
      <c r="R32" s="36">
        <v>2.6200000000000001E-2</v>
      </c>
      <c r="S32" s="36">
        <v>0</v>
      </c>
      <c r="T32" s="366">
        <v>0</v>
      </c>
      <c r="U32" s="91">
        <v>9.8100000000000007E-2</v>
      </c>
      <c r="V32" s="366">
        <v>9.8100000000000007E-2</v>
      </c>
      <c r="W32" s="36">
        <v>9.8100000000000007E-2</v>
      </c>
      <c r="X32" s="36">
        <v>0</v>
      </c>
      <c r="Y32" s="366">
        <v>0</v>
      </c>
      <c r="Z32" s="91">
        <v>6.0200000000000002E-3</v>
      </c>
      <c r="AA32" s="90">
        <v>6.0200000000000002E-3</v>
      </c>
      <c r="AB32" s="90">
        <v>0</v>
      </c>
      <c r="AC32" s="367">
        <v>0</v>
      </c>
      <c r="AD32" s="110" t="s">
        <v>1277</v>
      </c>
      <c r="AE32" s="45" t="s">
        <v>1278</v>
      </c>
      <c r="AF32" s="369">
        <v>2.2000000000000001E-3</v>
      </c>
      <c r="AG32" s="370">
        <v>2.2000000000000001E-3</v>
      </c>
      <c r="AH32" s="370">
        <v>0</v>
      </c>
      <c r="AI32" s="330">
        <f t="shared" si="0"/>
        <v>0.63455149501661123</v>
      </c>
    </row>
    <row r="33" spans="1:35" s="364" customFormat="1" ht="14.25" customHeight="1">
      <c r="A33" s="365" t="s">
        <v>1279</v>
      </c>
      <c r="B33" s="235" t="s">
        <v>1280</v>
      </c>
      <c r="C33" s="45" t="s">
        <v>1281</v>
      </c>
      <c r="D33" s="45" t="s">
        <v>1282</v>
      </c>
      <c r="E33" s="45" t="s">
        <v>1283</v>
      </c>
      <c r="F33" s="79" t="s">
        <v>1134</v>
      </c>
      <c r="G33" s="371" t="s">
        <v>1269</v>
      </c>
      <c r="H33" s="85">
        <v>28.5</v>
      </c>
      <c r="I33" s="86">
        <v>28.5</v>
      </c>
      <c r="J33" s="86">
        <v>0</v>
      </c>
      <c r="K33" s="91">
        <v>0.14499999999999999</v>
      </c>
      <c r="L33" s="366">
        <v>0.14499999999999999</v>
      </c>
      <c r="M33" s="36">
        <v>0.14499999999999999</v>
      </c>
      <c r="N33" s="36">
        <v>0</v>
      </c>
      <c r="O33" s="366">
        <v>0</v>
      </c>
      <c r="P33" s="91">
        <v>3.0499999999999999E-2</v>
      </c>
      <c r="Q33" s="366">
        <v>3.0499999999999999E-2</v>
      </c>
      <c r="R33" s="36">
        <v>3.0499999999999999E-2</v>
      </c>
      <c r="S33" s="36">
        <v>0</v>
      </c>
      <c r="T33" s="366">
        <v>0</v>
      </c>
      <c r="U33" s="91">
        <v>0.114</v>
      </c>
      <c r="V33" s="366">
        <v>0.114</v>
      </c>
      <c r="W33" s="36">
        <v>0.114</v>
      </c>
      <c r="X33" s="36">
        <v>0</v>
      </c>
      <c r="Y33" s="366">
        <v>0</v>
      </c>
      <c r="Z33" s="91">
        <v>6.9899999999999997E-3</v>
      </c>
      <c r="AA33" s="90">
        <v>6.9899999999999997E-3</v>
      </c>
      <c r="AB33" s="90">
        <v>0</v>
      </c>
      <c r="AC33" s="367">
        <v>0</v>
      </c>
      <c r="AD33" s="110" t="s">
        <v>1284</v>
      </c>
      <c r="AE33" s="45" t="s">
        <v>1285</v>
      </c>
      <c r="AF33" s="369">
        <v>2.5500000000000002E-3</v>
      </c>
      <c r="AG33" s="370">
        <v>2.5500000000000002E-3</v>
      </c>
      <c r="AH33" s="370">
        <v>0</v>
      </c>
      <c r="AI33" s="330">
        <f t="shared" si="0"/>
        <v>0.63519313304721026</v>
      </c>
    </row>
    <row r="34" spans="1:35" s="364" customFormat="1" ht="14.25" customHeight="1">
      <c r="A34" s="365" t="s">
        <v>1286</v>
      </c>
      <c r="B34" s="235" t="s">
        <v>1287</v>
      </c>
      <c r="C34" s="45" t="s">
        <v>1288</v>
      </c>
      <c r="D34" s="45" t="s">
        <v>1289</v>
      </c>
      <c r="E34" s="45" t="s">
        <v>1290</v>
      </c>
      <c r="F34" s="79" t="s">
        <v>1134</v>
      </c>
      <c r="G34" s="371" t="s">
        <v>1269</v>
      </c>
      <c r="H34" s="85">
        <v>32.9</v>
      </c>
      <c r="I34" s="86">
        <v>32.9</v>
      </c>
      <c r="J34" s="86">
        <v>0</v>
      </c>
      <c r="K34" s="91">
        <v>0.16700000000000001</v>
      </c>
      <c r="L34" s="366">
        <v>0.16700000000000001</v>
      </c>
      <c r="M34" s="36">
        <v>0.16700000000000001</v>
      </c>
      <c r="N34" s="36">
        <v>0</v>
      </c>
      <c r="O34" s="366">
        <v>0</v>
      </c>
      <c r="P34" s="91">
        <v>3.5099999999999999E-2</v>
      </c>
      <c r="Q34" s="366">
        <v>3.5099999999999999E-2</v>
      </c>
      <c r="R34" s="36">
        <v>3.5099999999999999E-2</v>
      </c>
      <c r="S34" s="36">
        <v>0</v>
      </c>
      <c r="T34" s="366">
        <v>0</v>
      </c>
      <c r="U34" s="91">
        <v>0.13200000000000001</v>
      </c>
      <c r="V34" s="366">
        <v>0.13200000000000001</v>
      </c>
      <c r="W34" s="36">
        <v>0.13200000000000001</v>
      </c>
      <c r="X34" s="36">
        <v>0</v>
      </c>
      <c r="Y34" s="366">
        <v>0</v>
      </c>
      <c r="Z34" s="91">
        <v>8.0400000000000003E-3</v>
      </c>
      <c r="AA34" s="90">
        <v>8.0400000000000003E-3</v>
      </c>
      <c r="AB34" s="90">
        <v>0</v>
      </c>
      <c r="AC34" s="367">
        <v>0</v>
      </c>
      <c r="AD34" s="110" t="s">
        <v>1291</v>
      </c>
      <c r="AE34" s="45" t="s">
        <v>1292</v>
      </c>
      <c r="AF34" s="369">
        <v>2.9299999999999999E-3</v>
      </c>
      <c r="AG34" s="370">
        <v>2.9299999999999999E-3</v>
      </c>
      <c r="AH34" s="370">
        <v>0</v>
      </c>
      <c r="AI34" s="330">
        <f t="shared" si="0"/>
        <v>0.63557213930348255</v>
      </c>
    </row>
    <row r="35" spans="1:35" s="374" customFormat="1" ht="14.25" customHeight="1">
      <c r="A35" s="124" t="s">
        <v>1293</v>
      </c>
      <c r="B35" s="807"/>
      <c r="C35" s="41" t="s">
        <v>1294</v>
      </c>
      <c r="D35" s="40"/>
      <c r="E35" s="41"/>
      <c r="F35" s="42" t="s">
        <v>1295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372"/>
      <c r="R35" s="373"/>
      <c r="S35" s="373"/>
      <c r="T35" s="372"/>
      <c r="U35" s="372"/>
      <c r="V35" s="372"/>
      <c r="W35" s="373"/>
      <c r="X35" s="373"/>
      <c r="Y35" s="372"/>
      <c r="Z35" s="41"/>
      <c r="AA35" s="41"/>
      <c r="AB35" s="41"/>
      <c r="AC35" s="29"/>
      <c r="AD35" s="41" t="s">
        <v>908</v>
      </c>
      <c r="AE35" s="41"/>
      <c r="AI35" s="330" t="e">
        <f t="shared" si="0"/>
        <v>#DIV/0!</v>
      </c>
    </row>
    <row r="36" spans="1:35" s="374" customFormat="1" ht="14.25" customHeight="1">
      <c r="A36" s="365" t="s">
        <v>683</v>
      </c>
      <c r="B36" s="235" t="s">
        <v>1296</v>
      </c>
      <c r="C36" s="45" t="s">
        <v>1297</v>
      </c>
      <c r="D36" s="44" t="s">
        <v>1298</v>
      </c>
      <c r="E36" s="30" t="s">
        <v>1299</v>
      </c>
      <c r="F36" s="72">
        <v>2150</v>
      </c>
      <c r="G36" s="47" t="s">
        <v>294</v>
      </c>
      <c r="H36" s="48">
        <v>104</v>
      </c>
      <c r="I36" s="76">
        <v>68.8</v>
      </c>
      <c r="J36" s="49">
        <v>35.4</v>
      </c>
      <c r="K36" s="50">
        <v>0.13800000000000001</v>
      </c>
      <c r="L36" s="366">
        <v>8.4900000000000003E-2</v>
      </c>
      <c r="M36" s="36">
        <v>8.4900000000000003E-2</v>
      </c>
      <c r="N36" s="36">
        <v>0</v>
      </c>
      <c r="O36" s="36">
        <v>5.3499999999999999E-2</v>
      </c>
      <c r="P36" s="50">
        <v>1.01E-2</v>
      </c>
      <c r="Q36" s="366">
        <v>8.2100000000000003E-3</v>
      </c>
      <c r="R36" s="36">
        <v>8.2100000000000003E-3</v>
      </c>
      <c r="S36" s="36">
        <v>0</v>
      </c>
      <c r="T36" s="36">
        <v>1.8799999999999999E-3</v>
      </c>
      <c r="U36" s="50">
        <v>0.128</v>
      </c>
      <c r="V36" s="366">
        <v>7.6700000000000004E-2</v>
      </c>
      <c r="W36" s="36">
        <v>7.6700000000000004E-2</v>
      </c>
      <c r="X36" s="36">
        <v>0</v>
      </c>
      <c r="Y36" s="36">
        <v>5.16E-2</v>
      </c>
      <c r="Z36" s="51">
        <v>6.2799999999999995E-2</v>
      </c>
      <c r="AA36" s="84">
        <v>5.0200000000000002E-2</v>
      </c>
      <c r="AB36" s="53">
        <v>1.26E-2</v>
      </c>
      <c r="AC36" s="367">
        <v>0</v>
      </c>
      <c r="AD36" s="110" t="s">
        <v>1300</v>
      </c>
      <c r="AE36" s="30" t="s">
        <v>1301</v>
      </c>
      <c r="AF36" s="325">
        <v>1.44E-2</v>
      </c>
      <c r="AG36" s="326">
        <v>1.21E-2</v>
      </c>
      <c r="AH36" s="327">
        <v>2.32E-3</v>
      </c>
      <c r="AI36" s="330">
        <f t="shared" si="0"/>
        <v>0.77070063694267521</v>
      </c>
    </row>
    <row r="37" spans="1:35" s="374" customFormat="1" ht="14.25" customHeight="1">
      <c r="A37" s="365" t="s">
        <v>685</v>
      </c>
      <c r="B37" s="235" t="s">
        <v>1302</v>
      </c>
      <c r="C37" s="45" t="s">
        <v>1303</v>
      </c>
      <c r="D37" s="60" t="s">
        <v>1298</v>
      </c>
      <c r="E37" s="30" t="s">
        <v>1299</v>
      </c>
      <c r="F37" s="72">
        <v>2300</v>
      </c>
      <c r="G37" s="47" t="s">
        <v>294</v>
      </c>
      <c r="H37" s="48">
        <v>153</v>
      </c>
      <c r="I37" s="76">
        <v>118</v>
      </c>
      <c r="J37" s="49">
        <v>35.200000000000003</v>
      </c>
      <c r="K37" s="50">
        <v>0.189</v>
      </c>
      <c r="L37" s="366">
        <v>0.13600000000000001</v>
      </c>
      <c r="M37" s="36">
        <v>0.13600000000000001</v>
      </c>
      <c r="N37" s="36">
        <v>0</v>
      </c>
      <c r="O37" s="36">
        <v>5.3199999999999997E-2</v>
      </c>
      <c r="P37" s="50">
        <v>1.46E-2</v>
      </c>
      <c r="Q37" s="366">
        <v>1.2800000000000001E-2</v>
      </c>
      <c r="R37" s="36">
        <v>1.2800000000000001E-2</v>
      </c>
      <c r="S37" s="36">
        <v>0</v>
      </c>
      <c r="T37" s="36">
        <v>1.8699999999999999E-3</v>
      </c>
      <c r="U37" s="50">
        <v>0.17499999999999999</v>
      </c>
      <c r="V37" s="366">
        <v>0.123</v>
      </c>
      <c r="W37" s="36">
        <v>0.123</v>
      </c>
      <c r="X37" s="36">
        <v>0</v>
      </c>
      <c r="Y37" s="36">
        <v>5.1299999999999998E-2</v>
      </c>
      <c r="Z37" s="51">
        <v>0.10100000000000001</v>
      </c>
      <c r="AA37" s="84">
        <v>8.8700000000000001E-2</v>
      </c>
      <c r="AB37" s="52">
        <v>1.26E-2</v>
      </c>
      <c r="AC37" s="367">
        <v>0</v>
      </c>
      <c r="AD37" s="45" t="s">
        <v>1304</v>
      </c>
      <c r="AE37" s="30" t="s">
        <v>1301</v>
      </c>
      <c r="AF37" s="325">
        <v>2.35E-2</v>
      </c>
      <c r="AG37" s="326">
        <v>2.0799999999999999E-2</v>
      </c>
      <c r="AH37" s="326">
        <v>2.6800000000000001E-3</v>
      </c>
      <c r="AI37" s="330">
        <f t="shared" si="0"/>
        <v>0.76732673267326745</v>
      </c>
    </row>
    <row r="38" spans="1:35" s="374" customFormat="1" ht="14.25" customHeight="1">
      <c r="A38" s="365" t="s">
        <v>1305</v>
      </c>
      <c r="B38" s="235" t="s">
        <v>1306</v>
      </c>
      <c r="C38" s="45" t="s">
        <v>1307</v>
      </c>
      <c r="D38" s="57" t="s">
        <v>1298</v>
      </c>
      <c r="E38" s="30" t="s">
        <v>1299</v>
      </c>
      <c r="F38" s="72">
        <v>2350</v>
      </c>
      <c r="G38" s="47" t="s">
        <v>294</v>
      </c>
      <c r="H38" s="55">
        <v>163</v>
      </c>
      <c r="I38" s="76">
        <v>128</v>
      </c>
      <c r="J38" s="49">
        <v>35.1</v>
      </c>
      <c r="K38" s="50">
        <v>0.20499999999999999</v>
      </c>
      <c r="L38" s="366">
        <v>0.152</v>
      </c>
      <c r="M38" s="36">
        <v>0.152</v>
      </c>
      <c r="N38" s="36">
        <v>0</v>
      </c>
      <c r="O38" s="36">
        <v>5.3100000000000001E-2</v>
      </c>
      <c r="P38" s="50">
        <v>1.5699999999999999E-2</v>
      </c>
      <c r="Q38" s="366">
        <v>1.38E-2</v>
      </c>
      <c r="R38" s="36">
        <v>1.38E-2</v>
      </c>
      <c r="S38" s="36">
        <v>0</v>
      </c>
      <c r="T38" s="36">
        <v>1.8600000000000001E-3</v>
      </c>
      <c r="U38" s="50">
        <v>0.189</v>
      </c>
      <c r="V38" s="366">
        <v>0.13800000000000001</v>
      </c>
      <c r="W38" s="36">
        <v>0.13800000000000001</v>
      </c>
      <c r="X38" s="36">
        <v>0</v>
      </c>
      <c r="Y38" s="36">
        <v>5.1299999999999998E-2</v>
      </c>
      <c r="Z38" s="50">
        <v>0.109</v>
      </c>
      <c r="AA38" s="79">
        <v>9.6299999999999997E-2</v>
      </c>
      <c r="AB38" s="52">
        <v>1.2500000000000001E-2</v>
      </c>
      <c r="AC38" s="367">
        <v>0</v>
      </c>
      <c r="AD38" s="45" t="s">
        <v>1308</v>
      </c>
      <c r="AE38" s="30" t="s">
        <v>1301</v>
      </c>
      <c r="AF38" s="328">
        <v>2.58E-2</v>
      </c>
      <c r="AG38" s="329">
        <v>2.3199999999999998E-2</v>
      </c>
      <c r="AH38" s="326">
        <v>2.6800000000000001E-3</v>
      </c>
      <c r="AI38" s="330">
        <f t="shared" si="0"/>
        <v>0.76330275229357791</v>
      </c>
    </row>
    <row r="39" spans="1:35" s="374" customFormat="1" ht="14.25" customHeight="1">
      <c r="A39" s="365" t="s">
        <v>1309</v>
      </c>
      <c r="B39" s="235" t="s">
        <v>1310</v>
      </c>
      <c r="C39" s="45" t="s">
        <v>1311</v>
      </c>
      <c r="D39" s="57" t="s">
        <v>1298</v>
      </c>
      <c r="E39" s="30" t="s">
        <v>1299</v>
      </c>
      <c r="F39" s="72">
        <v>2325</v>
      </c>
      <c r="G39" s="47" t="s">
        <v>294</v>
      </c>
      <c r="H39" s="55">
        <v>174</v>
      </c>
      <c r="I39" s="75">
        <v>139</v>
      </c>
      <c r="J39" s="49">
        <v>35.1</v>
      </c>
      <c r="K39" s="50">
        <v>0.214</v>
      </c>
      <c r="L39" s="366">
        <v>0.161</v>
      </c>
      <c r="M39" s="36">
        <v>0.161</v>
      </c>
      <c r="N39" s="36">
        <v>0</v>
      </c>
      <c r="O39" s="36">
        <v>5.3100000000000001E-2</v>
      </c>
      <c r="P39" s="50">
        <v>1.6799999999999999E-2</v>
      </c>
      <c r="Q39" s="366">
        <v>1.49E-2</v>
      </c>
      <c r="R39" s="36">
        <v>1.49E-2</v>
      </c>
      <c r="S39" s="36">
        <v>0</v>
      </c>
      <c r="T39" s="36">
        <v>1.8600000000000001E-3</v>
      </c>
      <c r="U39" s="50">
        <v>0.19700000000000001</v>
      </c>
      <c r="V39" s="366">
        <v>0.14599999999999999</v>
      </c>
      <c r="W39" s="36">
        <v>0.14599999999999999</v>
      </c>
      <c r="X39" s="36">
        <v>0</v>
      </c>
      <c r="Y39" s="36">
        <v>5.1200000000000002E-2</v>
      </c>
      <c r="Z39" s="50">
        <v>0.11899999999999999</v>
      </c>
      <c r="AA39" s="79">
        <v>0.106</v>
      </c>
      <c r="AB39" s="52">
        <v>1.2500000000000001E-2</v>
      </c>
      <c r="AC39" s="367">
        <v>0</v>
      </c>
      <c r="AD39" s="45" t="s">
        <v>1312</v>
      </c>
      <c r="AE39" s="30" t="s">
        <v>1301</v>
      </c>
      <c r="AF39" s="328">
        <v>2.7699999999999999E-2</v>
      </c>
      <c r="AG39" s="329">
        <v>2.5100000000000001E-2</v>
      </c>
      <c r="AH39" s="326">
        <v>2.6700000000000001E-3</v>
      </c>
      <c r="AI39" s="330">
        <f t="shared" si="0"/>
        <v>0.76722689075630246</v>
      </c>
    </row>
    <row r="40" spans="1:35" s="364" customFormat="1" ht="14.25" customHeight="1">
      <c r="A40" s="365" t="s">
        <v>1313</v>
      </c>
      <c r="B40" s="235" t="s">
        <v>1314</v>
      </c>
      <c r="C40" s="45" t="s">
        <v>1315</v>
      </c>
      <c r="D40" s="57" t="s">
        <v>1298</v>
      </c>
      <c r="E40" s="30" t="s">
        <v>1299</v>
      </c>
      <c r="F40" s="72">
        <v>2770</v>
      </c>
      <c r="G40" s="47" t="s">
        <v>294</v>
      </c>
      <c r="H40" s="58">
        <v>440</v>
      </c>
      <c r="I40" s="375">
        <v>409</v>
      </c>
      <c r="J40" s="59">
        <v>31</v>
      </c>
      <c r="K40" s="50">
        <v>0.77100000000000002</v>
      </c>
      <c r="L40" s="366">
        <v>0.72399999999999998</v>
      </c>
      <c r="M40" s="36">
        <v>0.72399999999999998</v>
      </c>
      <c r="N40" s="36">
        <v>0</v>
      </c>
      <c r="O40" s="36">
        <v>4.6899999999999997E-2</v>
      </c>
      <c r="P40" s="50">
        <v>7.3999999999999996E-2</v>
      </c>
      <c r="Q40" s="366">
        <v>7.2300000000000003E-2</v>
      </c>
      <c r="R40" s="36">
        <v>7.2300000000000003E-2</v>
      </c>
      <c r="S40" s="36">
        <v>0</v>
      </c>
      <c r="T40" s="36">
        <v>1.65E-3</v>
      </c>
      <c r="U40" s="50">
        <v>0.69699999999999995</v>
      </c>
      <c r="V40" s="366">
        <v>0.65200000000000002</v>
      </c>
      <c r="W40" s="36">
        <v>0.65200000000000002</v>
      </c>
      <c r="X40" s="36">
        <v>0</v>
      </c>
      <c r="Y40" s="36">
        <v>4.53E-2</v>
      </c>
      <c r="Z40" s="50">
        <v>0.27600000000000002</v>
      </c>
      <c r="AA40" s="84">
        <v>0.26500000000000001</v>
      </c>
      <c r="AB40" s="53">
        <v>1.11E-2</v>
      </c>
      <c r="AC40" s="367">
        <v>0</v>
      </c>
      <c r="AD40" s="45" t="s">
        <v>1316</v>
      </c>
      <c r="AE40" s="30" t="s">
        <v>1301</v>
      </c>
      <c r="AF40" s="328">
        <v>4.4200000000000003E-2</v>
      </c>
      <c r="AG40" s="326">
        <v>4.1799999999999997E-2</v>
      </c>
      <c r="AH40" s="327">
        <v>2.3600000000000001E-3</v>
      </c>
      <c r="AI40" s="330">
        <f t="shared" si="0"/>
        <v>0.83985507246376812</v>
      </c>
    </row>
    <row r="41" spans="1:35" s="364" customFormat="1" ht="14.25" customHeight="1">
      <c r="A41" s="365" t="s">
        <v>906</v>
      </c>
      <c r="B41" s="235" t="s">
        <v>1317</v>
      </c>
      <c r="C41" s="45" t="s">
        <v>1318</v>
      </c>
      <c r="D41" s="57" t="s">
        <v>1298</v>
      </c>
      <c r="E41" s="30" t="s">
        <v>1299</v>
      </c>
      <c r="F41" s="72">
        <v>2500</v>
      </c>
      <c r="G41" s="47" t="s">
        <v>294</v>
      </c>
      <c r="H41" s="58">
        <v>282</v>
      </c>
      <c r="I41" s="375">
        <v>248</v>
      </c>
      <c r="J41" s="59">
        <v>33.9</v>
      </c>
      <c r="K41" s="50">
        <v>0.52600000000000002</v>
      </c>
      <c r="L41" s="366">
        <v>0.47499999999999998</v>
      </c>
      <c r="M41" s="36">
        <v>0.47499999999999998</v>
      </c>
      <c r="N41" s="36">
        <v>0</v>
      </c>
      <c r="O41" s="36">
        <v>5.1299999999999998E-2</v>
      </c>
      <c r="P41" s="50">
        <v>9.3799999999999994E-2</v>
      </c>
      <c r="Q41" s="366">
        <v>9.1999999999999998E-2</v>
      </c>
      <c r="R41" s="36">
        <v>9.1999999999999998E-2</v>
      </c>
      <c r="S41" s="36">
        <v>0</v>
      </c>
      <c r="T41" s="36">
        <v>1.8E-3</v>
      </c>
      <c r="U41" s="50">
        <v>0.432</v>
      </c>
      <c r="V41" s="366">
        <v>0.38300000000000001</v>
      </c>
      <c r="W41" s="36">
        <v>0.38300000000000001</v>
      </c>
      <c r="X41" s="36">
        <v>0</v>
      </c>
      <c r="Y41" s="36">
        <v>4.9500000000000002E-2</v>
      </c>
      <c r="Z41" s="50">
        <v>0.17699999999999999</v>
      </c>
      <c r="AA41" s="84">
        <v>0.16500000000000001</v>
      </c>
      <c r="AB41" s="53">
        <v>1.21E-2</v>
      </c>
      <c r="AC41" s="367">
        <v>0</v>
      </c>
      <c r="AD41" s="45" t="s">
        <v>1319</v>
      </c>
      <c r="AE41" s="30" t="s">
        <v>1301</v>
      </c>
      <c r="AF41" s="328">
        <v>4.0099999999999997E-2</v>
      </c>
      <c r="AG41" s="326">
        <v>3.7499999999999999E-2</v>
      </c>
      <c r="AH41" s="327">
        <v>2.5899999999999999E-3</v>
      </c>
      <c r="AI41" s="330">
        <f t="shared" si="0"/>
        <v>0.77344632768361588</v>
      </c>
    </row>
    <row r="42" spans="1:35" s="364" customFormat="1" ht="14.25" customHeight="1">
      <c r="A42" s="776" t="s">
        <v>1320</v>
      </c>
      <c r="B42" s="235" t="s">
        <v>1321</v>
      </c>
      <c r="C42" s="45" t="s">
        <v>1322</v>
      </c>
      <c r="D42" s="376" t="s">
        <v>1323</v>
      </c>
      <c r="E42" s="45" t="s">
        <v>1324</v>
      </c>
      <c r="F42" s="72">
        <v>600</v>
      </c>
      <c r="G42" s="47" t="s">
        <v>294</v>
      </c>
      <c r="H42" s="377">
        <v>665</v>
      </c>
      <c r="I42" s="375">
        <v>663</v>
      </c>
      <c r="J42" s="375">
        <v>1.69</v>
      </c>
      <c r="K42" s="80">
        <v>1.86</v>
      </c>
      <c r="L42" s="366">
        <v>1.86</v>
      </c>
      <c r="M42" s="36">
        <v>1.02</v>
      </c>
      <c r="N42" s="36">
        <v>0.83899999999999997</v>
      </c>
      <c r="O42" s="36">
        <v>3.1199999999999999E-4</v>
      </c>
      <c r="P42" s="80">
        <v>0.89900000000000002</v>
      </c>
      <c r="Q42" s="366">
        <v>0.89900000000000002</v>
      </c>
      <c r="R42" s="36">
        <v>6.0600000000000001E-2</v>
      </c>
      <c r="S42" s="378">
        <v>0.83899999999999997</v>
      </c>
      <c r="T42" s="366">
        <v>1.5999999999999999E-5</v>
      </c>
      <c r="U42" s="80">
        <v>0.95899999999999996</v>
      </c>
      <c r="V42" s="366">
        <v>0.95899999999999996</v>
      </c>
      <c r="W42" s="36">
        <v>0.95899999999999996</v>
      </c>
      <c r="X42" s="36">
        <v>0</v>
      </c>
      <c r="Y42" s="366">
        <v>2.9599999999999998E-4</v>
      </c>
      <c r="Z42" s="80">
        <v>0.32400000000000001</v>
      </c>
      <c r="AA42" s="84">
        <v>0.32400000000000001</v>
      </c>
      <c r="AB42" s="81">
        <v>7.3200000000000004E-5</v>
      </c>
      <c r="AC42" s="367">
        <v>6.4899999999999999E-2</v>
      </c>
      <c r="AD42" s="110" t="s">
        <v>1325</v>
      </c>
      <c r="AE42" s="45" t="s">
        <v>1326</v>
      </c>
      <c r="AF42" s="379">
        <v>0.28799999999999998</v>
      </c>
      <c r="AG42" s="380">
        <v>0.28799999999999998</v>
      </c>
      <c r="AH42" s="381">
        <v>1.4999999999999999E-4</v>
      </c>
      <c r="AI42" s="330">
        <f t="shared" si="0"/>
        <v>0.1111111111111112</v>
      </c>
    </row>
    <row r="43" spans="1:35" s="364" customFormat="1" ht="14.25" customHeight="1" outlineLevel="1">
      <c r="A43" s="382" t="s">
        <v>1327</v>
      </c>
      <c r="B43" s="61" t="s">
        <v>1328</v>
      </c>
      <c r="C43" s="95" t="s">
        <v>1329</v>
      </c>
      <c r="D43" s="96" t="s">
        <v>1323</v>
      </c>
      <c r="E43" s="95" t="s">
        <v>1324</v>
      </c>
      <c r="F43" s="97">
        <v>600</v>
      </c>
      <c r="G43" s="98" t="s">
        <v>294</v>
      </c>
      <c r="H43" s="99">
        <v>639</v>
      </c>
      <c r="I43" s="100">
        <v>638</v>
      </c>
      <c r="J43" s="100">
        <v>1.69</v>
      </c>
      <c r="K43" s="101">
        <v>1.79</v>
      </c>
      <c r="L43" s="383">
        <v>1.79</v>
      </c>
      <c r="M43" s="108">
        <v>0.94799999999999995</v>
      </c>
      <c r="N43" s="108">
        <v>0.83899999999999997</v>
      </c>
      <c r="O43" s="102">
        <v>3.1199999999999999E-4</v>
      </c>
      <c r="P43" s="101">
        <v>0.86499999999999999</v>
      </c>
      <c r="Q43" s="102">
        <v>0.86499999999999999</v>
      </c>
      <c r="R43" s="108">
        <v>2.5999999999999999E-2</v>
      </c>
      <c r="S43" s="384">
        <v>0.83899999999999997</v>
      </c>
      <c r="T43" s="102">
        <v>1.5999999999999999E-5</v>
      </c>
      <c r="U43" s="102">
        <v>0.92200000000000004</v>
      </c>
      <c r="V43" s="102">
        <v>0.92200000000000004</v>
      </c>
      <c r="W43" s="108">
        <v>0.92200000000000004</v>
      </c>
      <c r="X43" s="108">
        <v>0</v>
      </c>
      <c r="Y43" s="102">
        <v>2.9599999999999998E-4</v>
      </c>
      <c r="Z43" s="104">
        <v>0.312</v>
      </c>
      <c r="AA43" s="103">
        <v>0.312</v>
      </c>
      <c r="AB43" s="105">
        <v>7.3200000000000004E-5</v>
      </c>
      <c r="AC43" s="385">
        <v>6.4899999999999999E-2</v>
      </c>
      <c r="AD43" s="95" t="s">
        <v>1330</v>
      </c>
      <c r="AE43" s="95" t="s">
        <v>1326</v>
      </c>
      <c r="AI43" s="330">
        <f t="shared" si="0"/>
        <v>1</v>
      </c>
    </row>
    <row r="44" spans="1:35" s="364" customFormat="1" ht="14.25" customHeight="1">
      <c r="A44" s="1609" t="s">
        <v>1331</v>
      </c>
      <c r="B44" s="1609"/>
      <c r="C44" s="1609"/>
      <c r="D44" s="1609"/>
      <c r="E44" s="1609"/>
      <c r="F44" s="1609"/>
      <c r="G44" s="1609"/>
      <c r="H44" s="1609"/>
      <c r="I44" s="1609"/>
      <c r="J44" s="1609"/>
      <c r="K44" s="1609"/>
      <c r="L44" s="1609"/>
      <c r="M44" s="1609"/>
      <c r="N44" s="1609"/>
      <c r="O44" s="1609"/>
      <c r="P44" s="1609"/>
      <c r="Q44" s="1609"/>
      <c r="R44" s="1609"/>
      <c r="S44" s="1609"/>
      <c r="T44" s="1609"/>
      <c r="U44" s="1609"/>
      <c r="V44" s="1609"/>
      <c r="W44" s="1609"/>
      <c r="X44" s="1609"/>
      <c r="Y44" s="1609"/>
      <c r="Z44" s="1609"/>
      <c r="AA44" s="1609"/>
      <c r="AB44" s="1609"/>
      <c r="AC44" s="1609"/>
      <c r="AD44" s="1609"/>
      <c r="AE44" s="1609"/>
      <c r="AI44" s="330" t="e">
        <f t="shared" si="0"/>
        <v>#DIV/0!</v>
      </c>
    </row>
    <row r="45" spans="1:35" s="364" customFormat="1" ht="14.25" customHeight="1">
      <c r="A45" s="1609" t="s">
        <v>1332</v>
      </c>
      <c r="B45" s="1609"/>
      <c r="C45" s="1609"/>
      <c r="D45" s="1609"/>
      <c r="E45" s="1609"/>
      <c r="F45" s="1609"/>
      <c r="G45" s="1609"/>
      <c r="H45" s="1609"/>
      <c r="I45" s="1609"/>
      <c r="J45" s="1609"/>
      <c r="K45" s="1609"/>
      <c r="L45" s="1609"/>
      <c r="M45" s="1609"/>
      <c r="N45" s="1609"/>
      <c r="O45" s="1609"/>
      <c r="P45" s="1609"/>
      <c r="Q45" s="1609"/>
      <c r="R45" s="1609"/>
      <c r="S45" s="1609"/>
      <c r="T45" s="1609"/>
      <c r="U45" s="1609"/>
      <c r="V45" s="1609"/>
      <c r="W45" s="1609"/>
      <c r="X45" s="1609"/>
      <c r="Y45" s="1609"/>
      <c r="Z45" s="1609"/>
      <c r="AA45" s="1609"/>
      <c r="AB45" s="1609"/>
      <c r="AC45" s="1609"/>
      <c r="AD45" s="1609"/>
      <c r="AE45" s="1609"/>
      <c r="AI45" s="330" t="e">
        <f t="shared" si="0"/>
        <v>#DIV/0!</v>
      </c>
    </row>
    <row r="46" spans="1:35" s="364" customFormat="1" ht="14.25" customHeight="1">
      <c r="A46" s="357" t="s">
        <v>1333</v>
      </c>
      <c r="B46" s="357"/>
      <c r="C46" s="41" t="s">
        <v>1334</v>
      </c>
      <c r="D46" s="40"/>
      <c r="E46" s="41"/>
      <c r="F46" s="42" t="s">
        <v>1295</v>
      </c>
      <c r="G46" s="43"/>
      <c r="H46" s="358"/>
      <c r="I46" s="358"/>
      <c r="J46" s="358"/>
      <c r="K46" s="386"/>
      <c r="L46" s="360"/>
      <c r="M46" s="360"/>
      <c r="N46" s="360"/>
      <c r="O46" s="361"/>
      <c r="P46" s="386"/>
      <c r="Q46" s="360"/>
      <c r="R46" s="360"/>
      <c r="S46" s="360"/>
      <c r="T46" s="361"/>
      <c r="U46" s="362"/>
      <c r="V46" s="360"/>
      <c r="W46" s="360"/>
      <c r="X46" s="360"/>
      <c r="Y46" s="360"/>
      <c r="Z46" s="362"/>
      <c r="AA46" s="360"/>
      <c r="AB46" s="360"/>
      <c r="AC46" s="360"/>
      <c r="AD46" s="363" t="s">
        <v>1335</v>
      </c>
      <c r="AE46" s="41"/>
      <c r="AI46" s="330" t="e">
        <f t="shared" si="0"/>
        <v>#DIV/0!</v>
      </c>
    </row>
    <row r="47" spans="1:35" s="364" customFormat="1" ht="14.25" customHeight="1">
      <c r="A47" s="387" t="s">
        <v>738</v>
      </c>
      <c r="B47" s="235" t="s">
        <v>1336</v>
      </c>
      <c r="C47" s="45" t="s">
        <v>1337</v>
      </c>
      <c r="D47" s="89" t="s">
        <v>1338</v>
      </c>
      <c r="E47" s="30" t="s">
        <v>1339</v>
      </c>
      <c r="F47" s="72">
        <v>900</v>
      </c>
      <c r="G47" s="47" t="s">
        <v>294</v>
      </c>
      <c r="H47" s="55">
        <v>371</v>
      </c>
      <c r="I47" s="75">
        <v>328</v>
      </c>
      <c r="J47" s="49">
        <v>42.5</v>
      </c>
      <c r="K47" s="73">
        <v>0.86699999999999999</v>
      </c>
      <c r="L47" s="366">
        <v>0.81200000000000006</v>
      </c>
      <c r="M47" s="39">
        <v>0.81200000000000006</v>
      </c>
      <c r="N47" s="39">
        <v>0</v>
      </c>
      <c r="O47" s="36">
        <v>5.4800000000000001E-2</v>
      </c>
      <c r="P47" s="73">
        <v>7.9899999999999999E-2</v>
      </c>
      <c r="Q47" s="366">
        <v>7.7700000000000005E-2</v>
      </c>
      <c r="R47" s="36">
        <v>7.7700000000000005E-2</v>
      </c>
      <c r="S47" s="36">
        <v>0</v>
      </c>
      <c r="T47" s="36">
        <v>2.16E-3</v>
      </c>
      <c r="U47" s="73">
        <v>0.78700000000000003</v>
      </c>
      <c r="V47" s="366">
        <v>0.73399999999999999</v>
      </c>
      <c r="W47" s="36">
        <v>0.73399999999999999</v>
      </c>
      <c r="X47" s="36">
        <v>0</v>
      </c>
      <c r="Y47" s="36">
        <v>5.2600000000000001E-2</v>
      </c>
      <c r="Z47" s="50">
        <v>0.26600000000000001</v>
      </c>
      <c r="AA47" s="79">
        <v>0.254</v>
      </c>
      <c r="AB47" s="53">
        <v>1.2699999999999999E-2</v>
      </c>
      <c r="AC47" s="367">
        <v>0</v>
      </c>
      <c r="AD47" s="110" t="s">
        <v>1340</v>
      </c>
      <c r="AE47" s="30" t="s">
        <v>1341</v>
      </c>
      <c r="AF47" s="328">
        <v>4.0899999999999999E-2</v>
      </c>
      <c r="AG47" s="329">
        <v>3.8399999999999997E-2</v>
      </c>
      <c r="AH47" s="327">
        <v>2.5500000000000002E-3</v>
      </c>
      <c r="AI47" s="330">
        <f t="shared" si="0"/>
        <v>0.84624060150375946</v>
      </c>
    </row>
    <row r="48" spans="1:35" s="389" customFormat="1" ht="14.25" customHeight="1" outlineLevel="1">
      <c r="A48" s="388" t="s">
        <v>1342</v>
      </c>
      <c r="B48" s="61" t="s">
        <v>1343</v>
      </c>
      <c r="C48" s="61" t="s">
        <v>1344</v>
      </c>
      <c r="D48" s="62" t="s">
        <v>1338</v>
      </c>
      <c r="E48" s="61" t="s">
        <v>1339</v>
      </c>
      <c r="F48" s="63">
        <v>575</v>
      </c>
      <c r="G48" s="64" t="s">
        <v>294</v>
      </c>
      <c r="H48" s="65">
        <v>420</v>
      </c>
      <c r="I48" s="66">
        <v>378</v>
      </c>
      <c r="J48" s="66">
        <v>42.5</v>
      </c>
      <c r="K48" s="67">
        <v>1.02</v>
      </c>
      <c r="L48" s="383">
        <v>0.96399999999999997</v>
      </c>
      <c r="M48" s="108">
        <v>0.96399999999999997</v>
      </c>
      <c r="N48" s="108">
        <v>0</v>
      </c>
      <c r="O48" s="108">
        <v>5.4800000000000001E-2</v>
      </c>
      <c r="P48" s="67">
        <v>0.105</v>
      </c>
      <c r="Q48" s="383">
        <v>0.10299999999999999</v>
      </c>
      <c r="R48" s="108">
        <v>0.10299999999999999</v>
      </c>
      <c r="S48" s="108">
        <v>0</v>
      </c>
      <c r="T48" s="108">
        <v>2.16E-3</v>
      </c>
      <c r="U48" s="67">
        <v>0.91400000000000003</v>
      </c>
      <c r="V48" s="383">
        <v>0.86099999999999999</v>
      </c>
      <c r="W48" s="108">
        <v>0.86099999999999999</v>
      </c>
      <c r="X48" s="108">
        <v>0</v>
      </c>
      <c r="Y48" s="68">
        <v>5.2600000000000001E-2</v>
      </c>
      <c r="Z48" s="70">
        <v>0.28299999999999997</v>
      </c>
      <c r="AA48" s="69">
        <v>0.27</v>
      </c>
      <c r="AB48" s="71">
        <v>1.2699999999999999E-2</v>
      </c>
      <c r="AC48" s="385">
        <v>0</v>
      </c>
      <c r="AD48" s="61" t="s">
        <v>1345</v>
      </c>
      <c r="AE48" s="61" t="s">
        <v>1341</v>
      </c>
      <c r="AF48" s="14"/>
      <c r="AG48" s="14"/>
      <c r="AH48" s="14"/>
      <c r="AI48" s="330">
        <f t="shared" si="0"/>
        <v>1</v>
      </c>
    </row>
    <row r="49" spans="1:35" s="364" customFormat="1" ht="14.25" customHeight="1">
      <c r="A49" s="387" t="s">
        <v>919</v>
      </c>
      <c r="B49" s="235" t="s">
        <v>1346</v>
      </c>
      <c r="C49" s="45" t="s">
        <v>1347</v>
      </c>
      <c r="D49" s="89" t="s">
        <v>1338</v>
      </c>
      <c r="E49" s="30" t="s">
        <v>1339</v>
      </c>
      <c r="F49" s="72">
        <v>1400</v>
      </c>
      <c r="G49" s="47" t="s">
        <v>294</v>
      </c>
      <c r="H49" s="55">
        <v>258</v>
      </c>
      <c r="I49" s="75">
        <v>215</v>
      </c>
      <c r="J49" s="49">
        <v>42.5</v>
      </c>
      <c r="K49" s="73">
        <v>0.42799999999999999</v>
      </c>
      <c r="L49" s="366">
        <v>0.373</v>
      </c>
      <c r="M49" s="39">
        <v>0.373</v>
      </c>
      <c r="N49" s="39">
        <v>0</v>
      </c>
      <c r="O49" s="36">
        <v>5.4800000000000001E-2</v>
      </c>
      <c r="P49" s="73">
        <v>3.8600000000000002E-2</v>
      </c>
      <c r="Q49" s="366">
        <v>3.6400000000000002E-2</v>
      </c>
      <c r="R49" s="36">
        <v>3.6400000000000002E-2</v>
      </c>
      <c r="S49" s="36">
        <v>0</v>
      </c>
      <c r="T49" s="36">
        <v>2.16E-3</v>
      </c>
      <c r="U49" s="73">
        <v>0.38900000000000001</v>
      </c>
      <c r="V49" s="366">
        <v>0.33700000000000002</v>
      </c>
      <c r="W49" s="36">
        <v>0.33700000000000002</v>
      </c>
      <c r="X49" s="36">
        <v>0</v>
      </c>
      <c r="Y49" s="36">
        <v>5.2600000000000001E-2</v>
      </c>
      <c r="Z49" s="50">
        <v>0.16200000000000001</v>
      </c>
      <c r="AA49" s="79">
        <v>0.14899999999999999</v>
      </c>
      <c r="AB49" s="53">
        <v>1.2699999999999999E-2</v>
      </c>
      <c r="AC49" s="367">
        <v>0</v>
      </c>
      <c r="AD49" s="110" t="s">
        <v>1348</v>
      </c>
      <c r="AE49" s="30" t="s">
        <v>1341</v>
      </c>
      <c r="AF49" s="379">
        <v>0.123</v>
      </c>
      <c r="AG49" s="390">
        <v>0.121</v>
      </c>
      <c r="AH49" s="381">
        <v>2.4099999999999998E-3</v>
      </c>
      <c r="AI49" s="330">
        <f t="shared" si="0"/>
        <v>0.24074074074074078</v>
      </c>
    </row>
    <row r="50" spans="1:35" s="364" customFormat="1" ht="14.25" customHeight="1" outlineLevel="1">
      <c r="A50" s="382" t="s">
        <v>1349</v>
      </c>
      <c r="B50" s="61" t="s">
        <v>1350</v>
      </c>
      <c r="C50" s="95" t="s">
        <v>1351</v>
      </c>
      <c r="D50" s="62" t="s">
        <v>1338</v>
      </c>
      <c r="E50" s="61" t="s">
        <v>1339</v>
      </c>
      <c r="F50" s="63" t="s">
        <v>1352</v>
      </c>
      <c r="G50" s="98" t="s">
        <v>294</v>
      </c>
      <c r="H50" s="65">
        <v>196</v>
      </c>
      <c r="I50" s="100">
        <v>153</v>
      </c>
      <c r="J50" s="66">
        <v>42.5</v>
      </c>
      <c r="K50" s="67">
        <v>0.35</v>
      </c>
      <c r="L50" s="102">
        <v>0.29499999999999998</v>
      </c>
      <c r="M50" s="108">
        <v>0.29499999999999998</v>
      </c>
      <c r="N50" s="108">
        <v>0</v>
      </c>
      <c r="O50" s="68">
        <v>5.4800000000000001E-2</v>
      </c>
      <c r="P50" s="67">
        <v>3.4700000000000002E-2</v>
      </c>
      <c r="Q50" s="383">
        <v>3.2500000000000001E-2</v>
      </c>
      <c r="R50" s="108">
        <v>3.2500000000000001E-2</v>
      </c>
      <c r="S50" s="108">
        <v>0</v>
      </c>
      <c r="T50" s="68">
        <v>2.16E-3</v>
      </c>
      <c r="U50" s="68">
        <v>0.315</v>
      </c>
      <c r="V50" s="102">
        <v>0.26300000000000001</v>
      </c>
      <c r="W50" s="108">
        <v>0.26300000000000001</v>
      </c>
      <c r="X50" s="108">
        <v>0</v>
      </c>
      <c r="Y50" s="68">
        <v>5.2600000000000001E-2</v>
      </c>
      <c r="Z50" s="70">
        <v>0.115</v>
      </c>
      <c r="AA50" s="103">
        <v>0.10199999999999999</v>
      </c>
      <c r="AB50" s="71">
        <v>1.2699999999999999E-2</v>
      </c>
      <c r="AC50" s="385">
        <v>0</v>
      </c>
      <c r="AD50" s="95" t="s">
        <v>1353</v>
      </c>
      <c r="AE50" s="61" t="s">
        <v>1341</v>
      </c>
      <c r="AF50" s="37"/>
      <c r="AG50" s="37"/>
      <c r="AH50" s="37"/>
      <c r="AI50" s="330">
        <f t="shared" si="0"/>
        <v>1</v>
      </c>
    </row>
    <row r="51" spans="1:35" s="389" customFormat="1" ht="14.25" customHeight="1" outlineLevel="1">
      <c r="A51" s="388" t="s">
        <v>1354</v>
      </c>
      <c r="B51" s="61" t="s">
        <v>1355</v>
      </c>
      <c r="C51" s="61" t="s">
        <v>1356</v>
      </c>
      <c r="D51" s="62" t="s">
        <v>1338</v>
      </c>
      <c r="E51" s="61" t="s">
        <v>1339</v>
      </c>
      <c r="F51" s="63" t="s">
        <v>1352</v>
      </c>
      <c r="G51" s="64" t="s">
        <v>294</v>
      </c>
      <c r="H51" s="65">
        <v>190</v>
      </c>
      <c r="I51" s="66">
        <v>148</v>
      </c>
      <c r="J51" s="66">
        <v>42.5</v>
      </c>
      <c r="K51" s="67">
        <v>0.30399999999999999</v>
      </c>
      <c r="L51" s="68">
        <v>0.249</v>
      </c>
      <c r="M51" s="108">
        <v>0.249</v>
      </c>
      <c r="N51" s="108">
        <v>0</v>
      </c>
      <c r="O51" s="68">
        <v>5.4800000000000001E-2</v>
      </c>
      <c r="P51" s="67">
        <v>1.66E-2</v>
      </c>
      <c r="Q51" s="108">
        <v>1.4500000000000001E-2</v>
      </c>
      <c r="R51" s="108">
        <v>1.4500000000000001E-2</v>
      </c>
      <c r="S51" s="108">
        <v>0</v>
      </c>
      <c r="T51" s="68">
        <v>2.16E-3</v>
      </c>
      <c r="U51" s="68">
        <v>0.28699999999999998</v>
      </c>
      <c r="V51" s="68">
        <v>0.23499999999999999</v>
      </c>
      <c r="W51" s="108">
        <v>0.23499999999999999</v>
      </c>
      <c r="X51" s="108">
        <v>0</v>
      </c>
      <c r="Y51" s="68">
        <v>5.2600000000000001E-2</v>
      </c>
      <c r="Z51" s="70">
        <v>0.106</v>
      </c>
      <c r="AA51" s="69">
        <v>9.3799999999999994E-2</v>
      </c>
      <c r="AB51" s="71">
        <v>1.2699999999999999E-2</v>
      </c>
      <c r="AC51" s="385">
        <v>0</v>
      </c>
      <c r="AD51" s="61" t="s">
        <v>1357</v>
      </c>
      <c r="AE51" s="61" t="s">
        <v>1341</v>
      </c>
      <c r="AF51" s="37"/>
      <c r="AG51" s="37"/>
      <c r="AH51" s="37"/>
      <c r="AI51" s="330">
        <f t="shared" si="0"/>
        <v>1</v>
      </c>
    </row>
    <row r="52" spans="1:35" s="364" customFormat="1" ht="14.25" customHeight="1">
      <c r="A52" s="387" t="s">
        <v>1358</v>
      </c>
      <c r="B52" s="235" t="s">
        <v>1359</v>
      </c>
      <c r="C52" s="45" t="s">
        <v>1360</v>
      </c>
      <c r="D52" s="89" t="s">
        <v>1338</v>
      </c>
      <c r="E52" s="30" t="s">
        <v>1339</v>
      </c>
      <c r="F52" s="72">
        <v>700</v>
      </c>
      <c r="G52" s="47" t="s">
        <v>294</v>
      </c>
      <c r="H52" s="55">
        <v>353</v>
      </c>
      <c r="I52" s="75">
        <v>311</v>
      </c>
      <c r="J52" s="49">
        <v>42.5</v>
      </c>
      <c r="K52" s="73">
        <v>1.56</v>
      </c>
      <c r="L52" s="366">
        <v>1.5</v>
      </c>
      <c r="M52" s="39">
        <v>1.5</v>
      </c>
      <c r="N52" s="39">
        <v>0</v>
      </c>
      <c r="O52" s="36">
        <v>5.4800000000000001E-2</v>
      </c>
      <c r="P52" s="73">
        <v>0.79200000000000004</v>
      </c>
      <c r="Q52" s="366">
        <v>0.79</v>
      </c>
      <c r="R52" s="36">
        <v>0.79</v>
      </c>
      <c r="S52" s="36">
        <v>0</v>
      </c>
      <c r="T52" s="36">
        <v>2.16E-3</v>
      </c>
      <c r="U52" s="73">
        <v>0.76400000000000001</v>
      </c>
      <c r="V52" s="366">
        <v>0.71099999999999997</v>
      </c>
      <c r="W52" s="36">
        <v>0.71099999999999997</v>
      </c>
      <c r="X52" s="36">
        <v>0</v>
      </c>
      <c r="Y52" s="36">
        <v>5.2600000000000001E-2</v>
      </c>
      <c r="Z52" s="50">
        <v>0.18</v>
      </c>
      <c r="AA52" s="79">
        <v>0.16700000000000001</v>
      </c>
      <c r="AB52" s="53">
        <v>1.2699999999999999E-2</v>
      </c>
      <c r="AC52" s="367">
        <v>0</v>
      </c>
      <c r="AD52" s="110" t="s">
        <v>1361</v>
      </c>
      <c r="AE52" s="30" t="s">
        <v>1341</v>
      </c>
      <c r="AF52" s="379">
        <v>0.15</v>
      </c>
      <c r="AG52" s="390">
        <v>0.14799999999999999</v>
      </c>
      <c r="AH52" s="381">
        <v>2.5500000000000002E-3</v>
      </c>
      <c r="AI52" s="330">
        <f t="shared" si="0"/>
        <v>0.16666666666666666</v>
      </c>
    </row>
    <row r="53" spans="1:35" s="364" customFormat="1" ht="14.25" customHeight="1">
      <c r="A53" s="387" t="s">
        <v>1362</v>
      </c>
      <c r="B53" s="235" t="s">
        <v>1363</v>
      </c>
      <c r="C53" s="45" t="s">
        <v>1364</v>
      </c>
      <c r="D53" s="89" t="s">
        <v>1338</v>
      </c>
      <c r="E53" s="30" t="s">
        <v>1339</v>
      </c>
      <c r="F53" s="72">
        <v>1200</v>
      </c>
      <c r="G53" s="47" t="s">
        <v>294</v>
      </c>
      <c r="H53" s="55">
        <v>609</v>
      </c>
      <c r="I53" s="75">
        <v>566</v>
      </c>
      <c r="J53" s="49">
        <v>42.5</v>
      </c>
      <c r="K53" s="73">
        <v>1.48</v>
      </c>
      <c r="L53" s="366">
        <v>1.42</v>
      </c>
      <c r="M53" s="39">
        <v>1.42</v>
      </c>
      <c r="N53" s="39">
        <v>0</v>
      </c>
      <c r="O53" s="36">
        <v>5.4800000000000001E-2</v>
      </c>
      <c r="P53" s="73">
        <v>5.5300000000000002E-2</v>
      </c>
      <c r="Q53" s="366">
        <v>5.3100000000000001E-2</v>
      </c>
      <c r="R53" s="36">
        <v>5.3100000000000001E-2</v>
      </c>
      <c r="S53" s="36">
        <v>0</v>
      </c>
      <c r="T53" s="36">
        <v>2.16E-3</v>
      </c>
      <c r="U53" s="73">
        <v>1.42</v>
      </c>
      <c r="V53" s="366">
        <v>1.37</v>
      </c>
      <c r="W53" s="36">
        <v>1.37</v>
      </c>
      <c r="X53" s="36">
        <v>0</v>
      </c>
      <c r="Y53" s="36">
        <v>5.2600000000000001E-2</v>
      </c>
      <c r="Z53" s="50">
        <v>0.42799999999999999</v>
      </c>
      <c r="AA53" s="79">
        <v>0.41499999999999998</v>
      </c>
      <c r="AB53" s="53">
        <v>1.2699999999999999E-2</v>
      </c>
      <c r="AC53" s="367">
        <v>0</v>
      </c>
      <c r="AD53" s="110" t="s">
        <v>1365</v>
      </c>
      <c r="AE53" s="30" t="s">
        <v>1341</v>
      </c>
      <c r="AF53" s="379">
        <v>0.29599999999999999</v>
      </c>
      <c r="AG53" s="390">
        <v>0.29299999999999998</v>
      </c>
      <c r="AH53" s="381">
        <v>2.6199999999999999E-3</v>
      </c>
      <c r="AI53" s="330">
        <f t="shared" si="0"/>
        <v>0.30841121495327106</v>
      </c>
    </row>
    <row r="54" spans="1:35" s="364" customFormat="1" ht="14.25" customHeight="1">
      <c r="A54" s="387" t="s">
        <v>1366</v>
      </c>
      <c r="B54" s="235" t="s">
        <v>1367</v>
      </c>
      <c r="C54" s="45" t="s">
        <v>1368</v>
      </c>
      <c r="D54" s="89" t="s">
        <v>1338</v>
      </c>
      <c r="E54" s="30" t="s">
        <v>1339</v>
      </c>
      <c r="F54" s="72">
        <v>1200</v>
      </c>
      <c r="G54" s="47" t="s">
        <v>294</v>
      </c>
      <c r="H54" s="55">
        <v>322</v>
      </c>
      <c r="I54" s="75">
        <v>280</v>
      </c>
      <c r="J54" s="49">
        <v>42.5</v>
      </c>
      <c r="K54" s="73">
        <v>0.39900000000000002</v>
      </c>
      <c r="L54" s="366">
        <v>0.34399999999999997</v>
      </c>
      <c r="M54" s="39">
        <v>0.34399999999999997</v>
      </c>
      <c r="N54" s="39">
        <v>0</v>
      </c>
      <c r="O54" s="36">
        <v>5.4800000000000001E-2</v>
      </c>
      <c r="P54" s="73">
        <v>3.5999999999999997E-2</v>
      </c>
      <c r="Q54" s="366">
        <v>3.3799999999999997E-2</v>
      </c>
      <c r="R54" s="36">
        <v>3.3799999999999997E-2</v>
      </c>
      <c r="S54" s="36">
        <v>0</v>
      </c>
      <c r="T54" s="36">
        <v>2.16E-3</v>
      </c>
      <c r="U54" s="73">
        <v>0.36299999999999999</v>
      </c>
      <c r="V54" s="366">
        <v>0.31</v>
      </c>
      <c r="W54" s="36">
        <v>0.31</v>
      </c>
      <c r="X54" s="36">
        <v>0</v>
      </c>
      <c r="Y54" s="36">
        <v>5.2600000000000001E-2</v>
      </c>
      <c r="Z54" s="50">
        <v>0.21199999999999999</v>
      </c>
      <c r="AA54" s="79">
        <v>0.2</v>
      </c>
      <c r="AB54" s="53">
        <v>1.2699999999999999E-2</v>
      </c>
      <c r="AC54" s="367">
        <v>0</v>
      </c>
      <c r="AD54" s="110" t="s">
        <v>1369</v>
      </c>
      <c r="AE54" s="30" t="s">
        <v>1341</v>
      </c>
      <c r="AF54" s="379">
        <v>4.5400000000000003E-2</v>
      </c>
      <c r="AG54" s="390">
        <v>4.2799999999999998E-2</v>
      </c>
      <c r="AH54" s="381">
        <v>2.6199999999999999E-3</v>
      </c>
      <c r="AI54" s="330">
        <f t="shared" si="0"/>
        <v>0.78584905660377358</v>
      </c>
    </row>
    <row r="55" spans="1:35" s="364" customFormat="1" ht="14.25" customHeight="1">
      <c r="A55" s="387" t="s">
        <v>979</v>
      </c>
      <c r="B55" s="235" t="s">
        <v>1370</v>
      </c>
      <c r="C55" s="45" t="s">
        <v>1371</v>
      </c>
      <c r="D55" s="89" t="s">
        <v>1338</v>
      </c>
      <c r="E55" s="30" t="s">
        <v>1339</v>
      </c>
      <c r="F55" s="72">
        <v>500</v>
      </c>
      <c r="G55" s="47" t="s">
        <v>294</v>
      </c>
      <c r="H55" s="55">
        <v>573</v>
      </c>
      <c r="I55" s="75">
        <v>531</v>
      </c>
      <c r="J55" s="49">
        <v>42.5</v>
      </c>
      <c r="K55" s="73">
        <v>0.92900000000000005</v>
      </c>
      <c r="L55" s="366">
        <v>0.874</v>
      </c>
      <c r="M55" s="39">
        <v>0.874</v>
      </c>
      <c r="N55" s="39">
        <v>0</v>
      </c>
      <c r="O55" s="36">
        <v>5.4800000000000001E-2</v>
      </c>
      <c r="P55" s="73">
        <v>6.9400000000000003E-2</v>
      </c>
      <c r="Q55" s="366">
        <v>6.7299999999999999E-2</v>
      </c>
      <c r="R55" s="36">
        <v>6.7299999999999999E-2</v>
      </c>
      <c r="S55" s="36">
        <v>0</v>
      </c>
      <c r="T55" s="36">
        <v>2.16E-3</v>
      </c>
      <c r="U55" s="73">
        <v>0.85899999999999999</v>
      </c>
      <c r="V55" s="366">
        <v>0.80700000000000005</v>
      </c>
      <c r="W55" s="36">
        <v>0.80700000000000005</v>
      </c>
      <c r="X55" s="36">
        <v>0</v>
      </c>
      <c r="Y55" s="36">
        <v>5.2600000000000001E-2</v>
      </c>
      <c r="Z55" s="50">
        <v>0.42599999999999999</v>
      </c>
      <c r="AA55" s="79">
        <v>0.41299999999999998</v>
      </c>
      <c r="AB55" s="53">
        <v>1.2699999999999999E-2</v>
      </c>
      <c r="AC55" s="367">
        <v>0</v>
      </c>
      <c r="AD55" s="110" t="s">
        <v>1372</v>
      </c>
      <c r="AE55" s="30" t="s">
        <v>1341</v>
      </c>
      <c r="AF55" s="379">
        <v>0.20100000000000001</v>
      </c>
      <c r="AG55" s="390">
        <v>0.19800000000000001</v>
      </c>
      <c r="AH55" s="381">
        <v>2.5500000000000002E-3</v>
      </c>
      <c r="AI55" s="330">
        <f t="shared" si="0"/>
        <v>0.528169014084507</v>
      </c>
    </row>
    <row r="56" spans="1:35" s="364" customFormat="1" ht="14.25" customHeight="1">
      <c r="A56" s="387" t="s">
        <v>1373</v>
      </c>
      <c r="B56" s="235" t="s">
        <v>1374</v>
      </c>
      <c r="C56" s="45" t="s">
        <v>1375</v>
      </c>
      <c r="D56" s="89" t="s">
        <v>1338</v>
      </c>
      <c r="E56" s="30" t="s">
        <v>1339</v>
      </c>
      <c r="F56" s="72">
        <v>1700</v>
      </c>
      <c r="G56" s="47" t="s">
        <v>294</v>
      </c>
      <c r="H56" s="55">
        <v>214</v>
      </c>
      <c r="I56" s="56">
        <v>172</v>
      </c>
      <c r="J56" s="49">
        <v>42.5</v>
      </c>
      <c r="K56" s="73">
        <v>0.251</v>
      </c>
      <c r="L56" s="36">
        <v>0.19600000000000001</v>
      </c>
      <c r="M56" s="39">
        <v>0.19600000000000001</v>
      </c>
      <c r="N56" s="39">
        <v>0</v>
      </c>
      <c r="O56" s="36">
        <v>5.4800000000000001E-2</v>
      </c>
      <c r="P56" s="73">
        <v>2.5899999999999999E-2</v>
      </c>
      <c r="Q56" s="36">
        <v>2.3699999999999999E-2</v>
      </c>
      <c r="R56" s="36">
        <v>2.3699999999999999E-2</v>
      </c>
      <c r="S56" s="36">
        <v>0</v>
      </c>
      <c r="T56" s="36">
        <v>2.16E-3</v>
      </c>
      <c r="U56" s="50">
        <v>0.22500000000000001</v>
      </c>
      <c r="V56" s="36">
        <v>0.17299999999999999</v>
      </c>
      <c r="W56" s="36">
        <v>0.17299999999999999</v>
      </c>
      <c r="X56" s="36">
        <v>0</v>
      </c>
      <c r="Y56" s="36">
        <v>5.2600000000000001E-2</v>
      </c>
      <c r="Z56" s="50">
        <v>0.126</v>
      </c>
      <c r="AA56" s="31">
        <v>0.114</v>
      </c>
      <c r="AB56" s="53">
        <v>1.2699999999999999E-2</v>
      </c>
      <c r="AC56" s="367">
        <v>0</v>
      </c>
      <c r="AD56" s="110" t="s">
        <v>1376</v>
      </c>
      <c r="AE56" s="30" t="s">
        <v>1341</v>
      </c>
      <c r="AF56" s="379">
        <v>2.8899999999999999E-2</v>
      </c>
      <c r="AG56" s="390">
        <v>2.6599999999999999E-2</v>
      </c>
      <c r="AH56" s="381">
        <v>2.3400000000000001E-3</v>
      </c>
      <c r="AI56" s="330">
        <f t="shared" si="0"/>
        <v>0.77063492063492067</v>
      </c>
    </row>
    <row r="57" spans="1:35" s="389" customFormat="1" ht="14.25" customHeight="1" outlineLevel="1">
      <c r="A57" s="388" t="s">
        <v>1377</v>
      </c>
      <c r="B57" s="61" t="s">
        <v>1378</v>
      </c>
      <c r="C57" s="61" t="s">
        <v>1379</v>
      </c>
      <c r="D57" s="62" t="s">
        <v>1380</v>
      </c>
      <c r="E57" s="61" t="s">
        <v>1381</v>
      </c>
      <c r="F57" s="63">
        <v>1850</v>
      </c>
      <c r="G57" s="64" t="s">
        <v>294</v>
      </c>
      <c r="H57" s="65">
        <v>136</v>
      </c>
      <c r="I57" s="66">
        <v>84</v>
      </c>
      <c r="J57" s="66">
        <v>51.6</v>
      </c>
      <c r="K57" s="67">
        <v>0.152</v>
      </c>
      <c r="L57" s="108">
        <v>0.13900000000000001</v>
      </c>
      <c r="M57" s="108">
        <v>0.13200000000000001</v>
      </c>
      <c r="N57" s="108">
        <v>7.0099999999999997E-3</v>
      </c>
      <c r="O57" s="108">
        <v>1.2999999999999999E-2</v>
      </c>
      <c r="P57" s="67">
        <v>0.01</v>
      </c>
      <c r="Q57" s="108">
        <v>0.01</v>
      </c>
      <c r="R57" s="108">
        <v>5.7299999999999999E-3</v>
      </c>
      <c r="S57" s="108">
        <v>4.2700000000000004E-3</v>
      </c>
      <c r="T57" s="68">
        <v>0</v>
      </c>
      <c r="U57" s="68">
        <v>0.14199999999999999</v>
      </c>
      <c r="V57" s="68">
        <v>0.129</v>
      </c>
      <c r="W57" s="108">
        <v>0.126</v>
      </c>
      <c r="X57" s="108">
        <v>2.7399999999999998E-3</v>
      </c>
      <c r="Y57" s="68">
        <v>1.2999999999999999E-2</v>
      </c>
      <c r="Z57" s="70">
        <v>5.7000000000000002E-2</v>
      </c>
      <c r="AA57" s="69">
        <v>5.3999999999999999E-2</v>
      </c>
      <c r="AB57" s="71">
        <v>3.0000000000000001E-3</v>
      </c>
      <c r="AC57" s="385">
        <v>0</v>
      </c>
      <c r="AD57" s="61" t="s">
        <v>1382</v>
      </c>
      <c r="AE57" s="61" t="s">
        <v>1383</v>
      </c>
      <c r="AI57" s="330">
        <f t="shared" si="0"/>
        <v>1</v>
      </c>
    </row>
    <row r="58" spans="1:35" s="391" customFormat="1" ht="14.25" customHeight="1" outlineLevel="1">
      <c r="A58" s="388" t="s">
        <v>1384</v>
      </c>
      <c r="B58" s="61" t="s">
        <v>1385</v>
      </c>
      <c r="C58" s="61" t="s">
        <v>1386</v>
      </c>
      <c r="D58" s="62" t="s">
        <v>1387</v>
      </c>
      <c r="E58" s="61" t="s">
        <v>1388</v>
      </c>
      <c r="F58" s="63">
        <v>300</v>
      </c>
      <c r="G58" s="64" t="s">
        <v>294</v>
      </c>
      <c r="H58" s="65">
        <v>824</v>
      </c>
      <c r="I58" s="66">
        <v>751</v>
      </c>
      <c r="J58" s="66">
        <v>72.099999999999994</v>
      </c>
      <c r="K58" s="67">
        <v>3.72</v>
      </c>
      <c r="L58" s="108">
        <v>3.57</v>
      </c>
      <c r="M58" s="108">
        <v>1.86</v>
      </c>
      <c r="N58" s="108">
        <v>1.72</v>
      </c>
      <c r="O58" s="108">
        <v>0.14899999999999999</v>
      </c>
      <c r="P58" s="67">
        <v>1.81</v>
      </c>
      <c r="Q58" s="108">
        <v>1.8</v>
      </c>
      <c r="R58" s="108">
        <v>8.7300000000000003E-2</v>
      </c>
      <c r="S58" s="108">
        <v>1.72</v>
      </c>
      <c r="T58" s="68">
        <v>4.3099999999999996E-3</v>
      </c>
      <c r="U58" s="68">
        <v>1.91</v>
      </c>
      <c r="V58" s="68">
        <v>1.77</v>
      </c>
      <c r="W58" s="108">
        <v>1.77</v>
      </c>
      <c r="X58" s="108">
        <v>0</v>
      </c>
      <c r="Y58" s="68">
        <v>0.14499999999999999</v>
      </c>
      <c r="Z58" s="70">
        <v>0.372</v>
      </c>
      <c r="AA58" s="69">
        <v>0.33800000000000002</v>
      </c>
      <c r="AB58" s="71">
        <v>3.3399999999999999E-2</v>
      </c>
      <c r="AC58" s="385">
        <v>0.15</v>
      </c>
      <c r="AD58" s="61" t="s">
        <v>1389</v>
      </c>
      <c r="AE58" s="61" t="s">
        <v>1390</v>
      </c>
      <c r="AI58" s="330">
        <f t="shared" si="0"/>
        <v>1</v>
      </c>
    </row>
    <row r="59" spans="1:35" s="364" customFormat="1" ht="14.25" customHeight="1">
      <c r="A59" s="357" t="s">
        <v>1391</v>
      </c>
      <c r="B59" s="807"/>
      <c r="C59" s="41" t="s">
        <v>1392</v>
      </c>
      <c r="D59" s="40"/>
      <c r="E59" s="41"/>
      <c r="F59" s="42" t="s">
        <v>1295</v>
      </c>
      <c r="G59" s="43"/>
      <c r="H59" s="392"/>
      <c r="I59" s="358"/>
      <c r="J59" s="392"/>
      <c r="K59" s="393"/>
      <c r="L59" s="394"/>
      <c r="M59" s="373"/>
      <c r="N59" s="373"/>
      <c r="O59" s="395"/>
      <c r="P59" s="394"/>
      <c r="Q59" s="394"/>
      <c r="R59" s="373"/>
      <c r="S59" s="373"/>
      <c r="T59" s="394"/>
      <c r="U59" s="394"/>
      <c r="V59" s="394"/>
      <c r="W59" s="373"/>
      <c r="X59" s="373"/>
      <c r="Y59" s="394"/>
      <c r="Z59" s="394"/>
      <c r="AA59" s="386"/>
      <c r="AB59" s="386"/>
      <c r="AC59" s="386"/>
      <c r="AD59" s="386" t="s">
        <v>1393</v>
      </c>
      <c r="AE59" s="41"/>
      <c r="AI59" s="330" t="e">
        <f t="shared" si="0"/>
        <v>#DIV/0!</v>
      </c>
    </row>
    <row r="60" spans="1:35" s="389" customFormat="1" ht="14.25" customHeight="1">
      <c r="A60" s="396" t="s">
        <v>1394</v>
      </c>
      <c r="B60" s="235" t="s">
        <v>1395</v>
      </c>
      <c r="C60" s="30" t="s">
        <v>1396</v>
      </c>
      <c r="D60" s="44" t="s">
        <v>1397</v>
      </c>
      <c r="E60" s="30" t="s">
        <v>1398</v>
      </c>
      <c r="F60" s="46">
        <v>2500</v>
      </c>
      <c r="G60" s="32" t="s">
        <v>294</v>
      </c>
      <c r="H60" s="55">
        <v>43.3</v>
      </c>
      <c r="I60" s="56">
        <v>3.16</v>
      </c>
      <c r="J60" s="49">
        <v>40.200000000000003</v>
      </c>
      <c r="K60" s="73">
        <v>6.5299999999999997E-2</v>
      </c>
      <c r="L60" s="36">
        <v>1.0500000000000001E-2</v>
      </c>
      <c r="M60" s="39">
        <v>1.0500000000000001E-2</v>
      </c>
      <c r="N60" s="39">
        <v>0</v>
      </c>
      <c r="O60" s="36">
        <v>5.4800000000000001E-2</v>
      </c>
      <c r="P60" s="73">
        <v>3.6600000000000001E-3</v>
      </c>
      <c r="Q60" s="36">
        <v>1.4400000000000001E-3</v>
      </c>
      <c r="R60" s="36">
        <v>1.4400000000000001E-3</v>
      </c>
      <c r="S60" s="36">
        <v>0</v>
      </c>
      <c r="T60" s="36">
        <v>2.2100000000000002E-3</v>
      </c>
      <c r="U60" s="73">
        <v>6.1600000000000002E-2</v>
      </c>
      <c r="V60" s="36">
        <v>9.0500000000000008E-3</v>
      </c>
      <c r="W60" s="36">
        <v>9.0500000000000008E-3</v>
      </c>
      <c r="X60" s="36">
        <v>0</v>
      </c>
      <c r="Y60" s="36">
        <v>5.2600000000000001E-2</v>
      </c>
      <c r="Z60" s="50">
        <v>1.4E-2</v>
      </c>
      <c r="AA60" s="31">
        <v>1.32E-3</v>
      </c>
      <c r="AB60" s="53">
        <v>1.26E-2</v>
      </c>
      <c r="AC60" s="367">
        <v>0</v>
      </c>
      <c r="AD60" s="397" t="s">
        <v>1399</v>
      </c>
      <c r="AE60" s="30" t="s">
        <v>1400</v>
      </c>
      <c r="AF60" s="54"/>
      <c r="AI60" s="330">
        <f t="shared" si="0"/>
        <v>1</v>
      </c>
    </row>
    <row r="61" spans="1:35" s="364" customFormat="1" ht="14.25" customHeight="1">
      <c r="A61" s="387" t="s">
        <v>1401</v>
      </c>
      <c r="B61" s="235" t="s">
        <v>1402</v>
      </c>
      <c r="C61" s="45" t="s">
        <v>1403</v>
      </c>
      <c r="D61" s="89" t="s">
        <v>1338</v>
      </c>
      <c r="E61" s="30" t="s">
        <v>1339</v>
      </c>
      <c r="F61" s="72">
        <v>2300</v>
      </c>
      <c r="G61" s="47" t="s">
        <v>294</v>
      </c>
      <c r="H61" s="55">
        <v>326</v>
      </c>
      <c r="I61" s="75">
        <v>284</v>
      </c>
      <c r="J61" s="49">
        <v>42.5</v>
      </c>
      <c r="K61" s="73">
        <v>0.50600000000000001</v>
      </c>
      <c r="L61" s="366">
        <v>0.45100000000000001</v>
      </c>
      <c r="M61" s="39">
        <v>0.45100000000000001</v>
      </c>
      <c r="N61" s="39">
        <v>0</v>
      </c>
      <c r="O61" s="36">
        <v>5.4800000000000001E-2</v>
      </c>
      <c r="P61" s="73">
        <v>3.73E-2</v>
      </c>
      <c r="Q61" s="366">
        <v>3.5200000000000002E-2</v>
      </c>
      <c r="R61" s="36">
        <v>3.5200000000000002E-2</v>
      </c>
      <c r="S61" s="36">
        <v>0</v>
      </c>
      <c r="T61" s="36">
        <v>2.16E-3</v>
      </c>
      <c r="U61" s="73">
        <v>0.46800000000000003</v>
      </c>
      <c r="V61" s="366">
        <v>0.41599999999999998</v>
      </c>
      <c r="W61" s="36">
        <v>0.41599999999999998</v>
      </c>
      <c r="X61" s="36">
        <v>0</v>
      </c>
      <c r="Y61" s="36">
        <v>5.2600000000000001E-2</v>
      </c>
      <c r="Z61" s="50">
        <v>0.20899999999999999</v>
      </c>
      <c r="AA61" s="79">
        <v>0.19600000000000001</v>
      </c>
      <c r="AB61" s="53">
        <v>1.2699999999999999E-2</v>
      </c>
      <c r="AC61" s="367">
        <v>0</v>
      </c>
      <c r="AD61" s="110" t="s">
        <v>1404</v>
      </c>
      <c r="AE61" s="30" t="s">
        <v>1341</v>
      </c>
      <c r="AF61" s="379">
        <v>6.4199999999999993E-2</v>
      </c>
      <c r="AG61" s="390">
        <v>6.1699999999999998E-2</v>
      </c>
      <c r="AH61" s="381">
        <v>2.5500000000000002E-3</v>
      </c>
      <c r="AI61" s="330">
        <f t="shared" si="0"/>
        <v>0.69282296650717701</v>
      </c>
    </row>
    <row r="62" spans="1:35" s="364" customFormat="1" ht="14.25" customHeight="1">
      <c r="A62" s="387" t="s">
        <v>1405</v>
      </c>
      <c r="B62" s="235" t="s">
        <v>1406</v>
      </c>
      <c r="C62" s="45" t="s">
        <v>1407</v>
      </c>
      <c r="D62" s="89" t="s">
        <v>1408</v>
      </c>
      <c r="E62" s="30" t="s">
        <v>1409</v>
      </c>
      <c r="F62" s="72">
        <v>1800</v>
      </c>
      <c r="G62" s="47" t="s">
        <v>294</v>
      </c>
      <c r="H62" s="55">
        <v>1100</v>
      </c>
      <c r="I62" s="75">
        <v>1030</v>
      </c>
      <c r="J62" s="49">
        <v>67.8</v>
      </c>
      <c r="K62" s="87">
        <v>2.65</v>
      </c>
      <c r="L62" s="366">
        <v>2.6</v>
      </c>
      <c r="M62" s="39">
        <v>2.6</v>
      </c>
      <c r="N62" s="39">
        <v>0</v>
      </c>
      <c r="O62" s="36">
        <v>5.4399999999999997E-2</v>
      </c>
      <c r="P62" s="87">
        <v>0.49</v>
      </c>
      <c r="Q62" s="366">
        <v>0.48899999999999999</v>
      </c>
      <c r="R62" s="36">
        <v>0.48899999999999999</v>
      </c>
      <c r="S62" s="36">
        <v>0</v>
      </c>
      <c r="T62" s="36">
        <v>1.58E-3</v>
      </c>
      <c r="U62" s="73">
        <v>2.16</v>
      </c>
      <c r="V62" s="366">
        <v>2.11</v>
      </c>
      <c r="W62" s="36">
        <v>2.11</v>
      </c>
      <c r="X62" s="36">
        <v>0</v>
      </c>
      <c r="Y62" s="36">
        <v>5.28E-2</v>
      </c>
      <c r="Z62" s="50">
        <v>0.69899999999999995</v>
      </c>
      <c r="AA62" s="79">
        <v>0.68600000000000005</v>
      </c>
      <c r="AB62" s="52">
        <v>1.32E-2</v>
      </c>
      <c r="AC62" s="367">
        <v>0</v>
      </c>
      <c r="AD62" s="110" t="s">
        <v>1410</v>
      </c>
      <c r="AE62" s="30" t="s">
        <v>1411</v>
      </c>
      <c r="AF62" s="379">
        <v>0.24399999999999999</v>
      </c>
      <c r="AG62" s="390">
        <v>0.24199999999999999</v>
      </c>
      <c r="AH62" s="380">
        <v>2.6199999999999999E-3</v>
      </c>
      <c r="AI62" s="330">
        <f t="shared" si="0"/>
        <v>0.6509298998569385</v>
      </c>
    </row>
    <row r="63" spans="1:35" s="364" customFormat="1" ht="14.25" customHeight="1">
      <c r="A63" s="387" t="s">
        <v>784</v>
      </c>
      <c r="B63" s="235" t="s">
        <v>1412</v>
      </c>
      <c r="C63" s="45" t="s">
        <v>1413</v>
      </c>
      <c r="D63" s="89" t="s">
        <v>1408</v>
      </c>
      <c r="E63" s="30" t="s">
        <v>1409</v>
      </c>
      <c r="F63" s="72">
        <v>1800</v>
      </c>
      <c r="G63" s="47" t="s">
        <v>294</v>
      </c>
      <c r="H63" s="33">
        <v>1510</v>
      </c>
      <c r="I63" s="86">
        <v>1450</v>
      </c>
      <c r="J63" s="49">
        <v>67.8</v>
      </c>
      <c r="K63" s="87">
        <v>3.54</v>
      </c>
      <c r="L63" s="366">
        <v>3.48</v>
      </c>
      <c r="M63" s="39">
        <v>3.48</v>
      </c>
      <c r="N63" s="39">
        <v>0</v>
      </c>
      <c r="O63" s="36">
        <v>5.4399999999999997E-2</v>
      </c>
      <c r="P63" s="87">
        <v>0.61399999999999999</v>
      </c>
      <c r="Q63" s="366">
        <v>0.61199999999999999</v>
      </c>
      <c r="R63" s="36">
        <v>0.61199999999999999</v>
      </c>
      <c r="S63" s="36">
        <v>0</v>
      </c>
      <c r="T63" s="36">
        <v>1.58E-3</v>
      </c>
      <c r="U63" s="87">
        <v>2.92</v>
      </c>
      <c r="V63" s="366">
        <v>2.87</v>
      </c>
      <c r="W63" s="36">
        <v>2.87</v>
      </c>
      <c r="X63" s="36">
        <v>0</v>
      </c>
      <c r="Y63" s="36">
        <v>5.28E-2</v>
      </c>
      <c r="Z63" s="73">
        <v>1.03</v>
      </c>
      <c r="AA63" s="78">
        <v>1.02</v>
      </c>
      <c r="AB63" s="52">
        <v>1.32E-2</v>
      </c>
      <c r="AC63" s="367">
        <v>0</v>
      </c>
      <c r="AD63" s="110" t="s">
        <v>1414</v>
      </c>
      <c r="AE63" s="30" t="s">
        <v>1411</v>
      </c>
      <c r="AF63" s="398">
        <v>0.377</v>
      </c>
      <c r="AG63" s="399">
        <v>0.374</v>
      </c>
      <c r="AH63" s="380">
        <v>2.6199999999999999E-3</v>
      </c>
      <c r="AI63" s="330">
        <f t="shared" si="0"/>
        <v>0.63398058252427181</v>
      </c>
    </row>
    <row r="64" spans="1:35" s="364" customFormat="1" ht="14.25" customHeight="1">
      <c r="A64" s="387" t="s">
        <v>1415</v>
      </c>
      <c r="B64" s="235" t="s">
        <v>1416</v>
      </c>
      <c r="C64" s="45" t="s">
        <v>1417</v>
      </c>
      <c r="D64" s="89" t="s">
        <v>1408</v>
      </c>
      <c r="E64" s="30" t="s">
        <v>1409</v>
      </c>
      <c r="F64" s="72">
        <v>1800</v>
      </c>
      <c r="G64" s="47" t="s">
        <v>294</v>
      </c>
      <c r="H64" s="55">
        <v>1060</v>
      </c>
      <c r="I64" s="75">
        <v>991</v>
      </c>
      <c r="J64" s="49">
        <v>67.8</v>
      </c>
      <c r="K64" s="73">
        <v>2.33</v>
      </c>
      <c r="L64" s="366">
        <v>2.27</v>
      </c>
      <c r="M64" s="39">
        <v>2.27</v>
      </c>
      <c r="N64" s="39">
        <v>0</v>
      </c>
      <c r="O64" s="36">
        <v>5.4399999999999997E-2</v>
      </c>
      <c r="P64" s="73">
        <v>0.55200000000000005</v>
      </c>
      <c r="Q64" s="366">
        <v>0.55000000000000004</v>
      </c>
      <c r="R64" s="36">
        <v>0.55000000000000004</v>
      </c>
      <c r="S64" s="36">
        <v>0</v>
      </c>
      <c r="T64" s="36">
        <v>1.58E-3</v>
      </c>
      <c r="U64" s="73">
        <v>1.78</v>
      </c>
      <c r="V64" s="366">
        <v>1.72</v>
      </c>
      <c r="W64" s="36">
        <v>1.72</v>
      </c>
      <c r="X64" s="36">
        <v>0</v>
      </c>
      <c r="Y64" s="36">
        <v>5.28E-2</v>
      </c>
      <c r="Z64" s="50">
        <v>0.64900000000000002</v>
      </c>
      <c r="AA64" s="79">
        <v>0.63600000000000001</v>
      </c>
      <c r="AB64" s="52">
        <v>1.32E-2</v>
      </c>
      <c r="AC64" s="367">
        <v>0</v>
      </c>
      <c r="AD64" s="110" t="s">
        <v>1418</v>
      </c>
      <c r="AE64" s="30" t="s">
        <v>1411</v>
      </c>
      <c r="AF64" s="379">
        <v>0.192</v>
      </c>
      <c r="AG64" s="390">
        <v>0.189</v>
      </c>
      <c r="AH64" s="380">
        <v>2.6199999999999999E-3</v>
      </c>
      <c r="AI64" s="330">
        <f t="shared" si="0"/>
        <v>0.70416024653312792</v>
      </c>
    </row>
    <row r="65" spans="1:35" s="364" customFormat="1" ht="14.25" customHeight="1">
      <c r="A65" s="387" t="s">
        <v>803</v>
      </c>
      <c r="B65" s="235" t="s">
        <v>1419</v>
      </c>
      <c r="C65" s="45" t="s">
        <v>1420</v>
      </c>
      <c r="D65" s="44" t="s">
        <v>1421</v>
      </c>
      <c r="E65" s="30" t="s">
        <v>1422</v>
      </c>
      <c r="F65" s="72">
        <v>2500</v>
      </c>
      <c r="G65" s="47" t="s">
        <v>294</v>
      </c>
      <c r="H65" s="33">
        <v>1990</v>
      </c>
      <c r="I65" s="86">
        <v>1920</v>
      </c>
      <c r="J65" s="49">
        <v>68.8</v>
      </c>
      <c r="K65" s="87">
        <v>4.9000000000000004</v>
      </c>
      <c r="L65" s="366">
        <v>4.78</v>
      </c>
      <c r="M65" s="39">
        <v>4.78</v>
      </c>
      <c r="N65" s="39">
        <v>0</v>
      </c>
      <c r="O65" s="36">
        <v>0.121</v>
      </c>
      <c r="P65" s="87">
        <v>0.255</v>
      </c>
      <c r="Q65" s="366">
        <v>0.24299999999999999</v>
      </c>
      <c r="R65" s="36">
        <v>0.24299999999999999</v>
      </c>
      <c r="S65" s="36">
        <v>0</v>
      </c>
      <c r="T65" s="36">
        <v>1.18E-2</v>
      </c>
      <c r="U65" s="87">
        <v>4.6399999999999997</v>
      </c>
      <c r="V65" s="366">
        <v>4.53</v>
      </c>
      <c r="W65" s="36">
        <v>4.53</v>
      </c>
      <c r="X65" s="36">
        <v>0</v>
      </c>
      <c r="Y65" s="36">
        <v>0.109</v>
      </c>
      <c r="Z65" s="73">
        <v>1.2</v>
      </c>
      <c r="AA65" s="78">
        <v>1.18</v>
      </c>
      <c r="AB65" s="52">
        <v>1.9099999999999999E-2</v>
      </c>
      <c r="AC65" s="367">
        <v>0</v>
      </c>
      <c r="AD65" s="110" t="s">
        <v>1423</v>
      </c>
      <c r="AE65" s="30" t="s">
        <v>1424</v>
      </c>
      <c r="AF65" s="398">
        <v>0.246</v>
      </c>
      <c r="AG65" s="399">
        <v>0.24199999999999999</v>
      </c>
      <c r="AH65" s="380">
        <v>3.48E-3</v>
      </c>
      <c r="AI65" s="330">
        <f t="shared" si="0"/>
        <v>0.79500000000000004</v>
      </c>
    </row>
    <row r="66" spans="1:35" s="364" customFormat="1" ht="14.25" customHeight="1">
      <c r="A66" s="387" t="s">
        <v>1425</v>
      </c>
      <c r="B66" s="235" t="s">
        <v>1426</v>
      </c>
      <c r="C66" s="45" t="s">
        <v>1427</v>
      </c>
      <c r="D66" s="44" t="s">
        <v>1421</v>
      </c>
      <c r="E66" s="30" t="s">
        <v>1422</v>
      </c>
      <c r="F66" s="72">
        <v>2500</v>
      </c>
      <c r="G66" s="47" t="s">
        <v>294</v>
      </c>
      <c r="H66" s="33">
        <v>1790</v>
      </c>
      <c r="I66" s="86">
        <v>1720</v>
      </c>
      <c r="J66" s="49">
        <v>68.8</v>
      </c>
      <c r="K66" s="87">
        <v>4.22</v>
      </c>
      <c r="L66" s="366">
        <v>4.09</v>
      </c>
      <c r="M66" s="39">
        <v>4.09</v>
      </c>
      <c r="N66" s="39">
        <v>0</v>
      </c>
      <c r="O66" s="36">
        <v>0.121</v>
      </c>
      <c r="P66" s="87">
        <v>0.13800000000000001</v>
      </c>
      <c r="Q66" s="366">
        <v>0.126</v>
      </c>
      <c r="R66" s="36">
        <v>0.126</v>
      </c>
      <c r="S66" s="36">
        <v>0</v>
      </c>
      <c r="T66" s="36">
        <v>1.18E-2</v>
      </c>
      <c r="U66" s="87">
        <v>4.08</v>
      </c>
      <c r="V66" s="366">
        <v>3.97</v>
      </c>
      <c r="W66" s="36">
        <v>3.97</v>
      </c>
      <c r="X66" s="36">
        <v>0</v>
      </c>
      <c r="Y66" s="36">
        <v>0.109</v>
      </c>
      <c r="Z66" s="50">
        <v>1.1399999999999999</v>
      </c>
      <c r="AA66" s="79">
        <v>1.1200000000000001</v>
      </c>
      <c r="AB66" s="52">
        <v>1.9099999999999999E-2</v>
      </c>
      <c r="AC66" s="367">
        <v>0</v>
      </c>
      <c r="AD66" s="110" t="s">
        <v>1428</v>
      </c>
      <c r="AE66" s="30" t="s">
        <v>1424</v>
      </c>
      <c r="AF66" s="328">
        <v>0.22600000000000001</v>
      </c>
      <c r="AG66" s="329">
        <v>0.222</v>
      </c>
      <c r="AH66" s="326">
        <v>3.48E-3</v>
      </c>
      <c r="AI66" s="330">
        <f t="shared" si="0"/>
        <v>0.80175438596491233</v>
      </c>
    </row>
    <row r="67" spans="1:35" s="364" customFormat="1" ht="14.25" customHeight="1">
      <c r="A67" s="387" t="s">
        <v>923</v>
      </c>
      <c r="B67" s="235" t="s">
        <v>1429</v>
      </c>
      <c r="C67" s="45" t="s">
        <v>1430</v>
      </c>
      <c r="D67" s="44" t="s">
        <v>1431</v>
      </c>
      <c r="E67" s="30" t="s">
        <v>1432</v>
      </c>
      <c r="F67" s="72">
        <v>1200</v>
      </c>
      <c r="G67" s="47" t="s">
        <v>294</v>
      </c>
      <c r="H67" s="55">
        <v>873</v>
      </c>
      <c r="I67" s="75">
        <v>801</v>
      </c>
      <c r="J67" s="49">
        <v>71.400000000000006</v>
      </c>
      <c r="K67" s="73">
        <v>2.57</v>
      </c>
      <c r="L67" s="366">
        <v>2.4900000000000002</v>
      </c>
      <c r="M67" s="39">
        <v>2.4900000000000002</v>
      </c>
      <c r="N67" s="39">
        <v>0</v>
      </c>
      <c r="O67" s="36">
        <v>8.2199999999999995E-2</v>
      </c>
      <c r="P67" s="73">
        <v>9.7799999999999998E-2</v>
      </c>
      <c r="Q67" s="366">
        <v>9.3700000000000006E-2</v>
      </c>
      <c r="R67" s="36">
        <v>9.3700000000000006E-2</v>
      </c>
      <c r="S67" s="36">
        <v>0</v>
      </c>
      <c r="T67" s="36">
        <v>4.1000000000000003E-3</v>
      </c>
      <c r="U67" s="73">
        <v>2.4700000000000002</v>
      </c>
      <c r="V67" s="366">
        <v>2.39</v>
      </c>
      <c r="W67" s="36">
        <v>2.39</v>
      </c>
      <c r="X67" s="36">
        <v>0</v>
      </c>
      <c r="Y67" s="36">
        <v>7.8100000000000003E-2</v>
      </c>
      <c r="Z67" s="50">
        <v>0.55200000000000005</v>
      </c>
      <c r="AA67" s="79">
        <v>0.53300000000000003</v>
      </c>
      <c r="AB67" s="52">
        <v>1.8599999999999998E-2</v>
      </c>
      <c r="AC67" s="367">
        <v>4.4900000000000002E-2</v>
      </c>
      <c r="AD67" s="110" t="s">
        <v>1433</v>
      </c>
      <c r="AE67" s="30" t="s">
        <v>1434</v>
      </c>
      <c r="AF67" s="379">
        <v>0.52500000000000002</v>
      </c>
      <c r="AG67" s="390">
        <v>0.52100000000000002</v>
      </c>
      <c r="AH67" s="380">
        <v>3.32E-3</v>
      </c>
      <c r="AI67" s="330">
        <f t="shared" si="0"/>
        <v>4.8913043478260906E-2</v>
      </c>
    </row>
    <row r="68" spans="1:35" s="364" customFormat="1" ht="14.25" customHeight="1">
      <c r="A68" s="387" t="s">
        <v>1008</v>
      </c>
      <c r="B68" s="235" t="s">
        <v>1435</v>
      </c>
      <c r="C68" s="45" t="s">
        <v>1436</v>
      </c>
      <c r="D68" s="44" t="s">
        <v>1437</v>
      </c>
      <c r="E68" s="30" t="s">
        <v>1438</v>
      </c>
      <c r="F68" s="72">
        <v>850</v>
      </c>
      <c r="G68" s="47" t="s">
        <v>294</v>
      </c>
      <c r="H68" s="55">
        <v>523</v>
      </c>
      <c r="I68" s="75">
        <v>452</v>
      </c>
      <c r="J68" s="49">
        <v>71.7</v>
      </c>
      <c r="K68" s="73">
        <v>1.42</v>
      </c>
      <c r="L68" s="366">
        <v>1.34</v>
      </c>
      <c r="M68" s="39">
        <v>1.34</v>
      </c>
      <c r="N68" s="39">
        <v>0</v>
      </c>
      <c r="O68" s="36">
        <v>8.1900000000000001E-2</v>
      </c>
      <c r="P68" s="73">
        <v>8.8800000000000004E-2</v>
      </c>
      <c r="Q68" s="366">
        <v>8.4699999999999998E-2</v>
      </c>
      <c r="R68" s="400">
        <v>8.4699999999999998E-2</v>
      </c>
      <c r="S68" s="36">
        <v>0</v>
      </c>
      <c r="T68" s="36">
        <v>4.0899999999999999E-3</v>
      </c>
      <c r="U68" s="73">
        <v>1.33</v>
      </c>
      <c r="V68" s="366">
        <v>1.25</v>
      </c>
      <c r="W68" s="36">
        <v>1.25</v>
      </c>
      <c r="X68" s="36">
        <v>0</v>
      </c>
      <c r="Y68" s="36">
        <v>7.7799999999999994E-2</v>
      </c>
      <c r="Z68" s="50">
        <v>0.30099999999999999</v>
      </c>
      <c r="AA68" s="79">
        <v>0.28299999999999997</v>
      </c>
      <c r="AB68" s="52">
        <v>1.8700000000000001E-2</v>
      </c>
      <c r="AC68" s="367">
        <v>1.7999999999999999E-2</v>
      </c>
      <c r="AD68" s="110" t="s">
        <v>1439</v>
      </c>
      <c r="AE68" s="30" t="s">
        <v>1440</v>
      </c>
      <c r="AF68" s="328">
        <v>0.182</v>
      </c>
      <c r="AG68" s="329">
        <v>0.17899999999999999</v>
      </c>
      <c r="AH68" s="326">
        <v>3.29E-3</v>
      </c>
      <c r="AI68" s="330">
        <f t="shared" si="0"/>
        <v>0.39534883720930231</v>
      </c>
    </row>
    <row r="69" spans="1:35" s="364" customFormat="1" ht="14.25" customHeight="1">
      <c r="A69" s="387" t="s">
        <v>1441</v>
      </c>
      <c r="B69" s="235" t="s">
        <v>1442</v>
      </c>
      <c r="C69" s="45" t="s">
        <v>1443</v>
      </c>
      <c r="D69" s="44" t="s">
        <v>1444</v>
      </c>
      <c r="E69" s="30" t="s">
        <v>1445</v>
      </c>
      <c r="F69" s="72">
        <v>1000</v>
      </c>
      <c r="G69" s="47" t="s">
        <v>294</v>
      </c>
      <c r="H69" s="55">
        <v>531</v>
      </c>
      <c r="I69" s="75">
        <v>459</v>
      </c>
      <c r="J69" s="49">
        <v>71.3</v>
      </c>
      <c r="K69" s="73">
        <v>1.48</v>
      </c>
      <c r="L69" s="366">
        <v>1.4</v>
      </c>
      <c r="M69" s="39">
        <v>1.4</v>
      </c>
      <c r="N69" s="39">
        <v>0</v>
      </c>
      <c r="O69" s="36">
        <v>8.2400000000000001E-2</v>
      </c>
      <c r="P69" s="73">
        <v>3.2199999999999999E-2</v>
      </c>
      <c r="Q69" s="366">
        <v>2.81E-2</v>
      </c>
      <c r="R69" s="36">
        <v>2.81E-2</v>
      </c>
      <c r="S69" s="36">
        <v>0</v>
      </c>
      <c r="T69" s="36">
        <v>4.1099999999999999E-3</v>
      </c>
      <c r="U69" s="73">
        <v>1.45</v>
      </c>
      <c r="V69" s="366">
        <v>1.37</v>
      </c>
      <c r="W69" s="36">
        <v>1.37</v>
      </c>
      <c r="X69" s="36">
        <v>0</v>
      </c>
      <c r="Y69" s="36">
        <v>7.8299999999999995E-2</v>
      </c>
      <c r="Z69" s="50">
        <v>0.317</v>
      </c>
      <c r="AA69" s="79">
        <v>0.29799999999999999</v>
      </c>
      <c r="AB69" s="52">
        <v>1.8499999999999999E-2</v>
      </c>
      <c r="AC69" s="367">
        <v>0</v>
      </c>
      <c r="AD69" s="110" t="s">
        <v>1446</v>
      </c>
      <c r="AE69" s="30" t="s">
        <v>1447</v>
      </c>
      <c r="AF69" s="379">
        <v>0.30099999999999999</v>
      </c>
      <c r="AG69" s="390">
        <v>0.29699999999999999</v>
      </c>
      <c r="AH69" s="380">
        <v>3.2699999999999999E-3</v>
      </c>
      <c r="AI69" s="330">
        <f t="shared" si="0"/>
        <v>5.0473186119873864E-2</v>
      </c>
    </row>
    <row r="70" spans="1:35" s="389" customFormat="1" ht="14.25" customHeight="1">
      <c r="A70" s="396" t="s">
        <v>1448</v>
      </c>
      <c r="B70" s="235" t="s">
        <v>1449</v>
      </c>
      <c r="C70" s="30" t="s">
        <v>1450</v>
      </c>
      <c r="D70" s="57" t="s">
        <v>1298</v>
      </c>
      <c r="E70" s="30" t="s">
        <v>1299</v>
      </c>
      <c r="F70" s="46"/>
      <c r="G70" s="32"/>
      <c r="H70" s="401"/>
      <c r="I70" s="402"/>
      <c r="J70" s="403"/>
      <c r="K70" s="404"/>
      <c r="L70" s="367"/>
      <c r="M70" s="405"/>
      <c r="N70" s="405"/>
      <c r="O70" s="367"/>
      <c r="P70" s="404"/>
      <c r="Q70" s="367"/>
      <c r="R70" s="367"/>
      <c r="S70" s="367"/>
      <c r="T70" s="367"/>
      <c r="U70" s="404"/>
      <c r="V70" s="367"/>
      <c r="W70" s="367"/>
      <c r="X70" s="367"/>
      <c r="Y70" s="367"/>
      <c r="Z70" s="406"/>
      <c r="AA70" s="407"/>
      <c r="AB70" s="408"/>
      <c r="AC70" s="367"/>
      <c r="AD70" s="409" t="s">
        <v>1451</v>
      </c>
      <c r="AE70" s="30" t="s">
        <v>1301</v>
      </c>
      <c r="AI70" s="330" t="e">
        <f t="shared" si="0"/>
        <v>#DIV/0!</v>
      </c>
    </row>
    <row r="71" spans="1:35" s="364" customFormat="1" ht="14.25" customHeight="1">
      <c r="A71" s="388" t="s">
        <v>1452</v>
      </c>
      <c r="B71" s="808" t="s">
        <v>1453</v>
      </c>
      <c r="C71" s="61" t="s">
        <v>1454</v>
      </c>
      <c r="D71" s="62" t="s">
        <v>1298</v>
      </c>
      <c r="E71" s="61" t="s">
        <v>1299</v>
      </c>
      <c r="F71" s="63">
        <v>2240</v>
      </c>
      <c r="G71" s="64" t="s">
        <v>294</v>
      </c>
      <c r="H71" s="410">
        <v>1335.9</v>
      </c>
      <c r="I71" s="411">
        <v>1300</v>
      </c>
      <c r="J71" s="412">
        <v>35.9</v>
      </c>
      <c r="K71" s="413">
        <v>2.71312</v>
      </c>
      <c r="L71" s="414">
        <v>2.6589999999999998</v>
      </c>
      <c r="M71" s="414">
        <v>2.6589999999999998</v>
      </c>
      <c r="N71" s="414">
        <v>0</v>
      </c>
      <c r="O71" s="414">
        <v>5.4120000000000001E-2</v>
      </c>
      <c r="P71" s="413">
        <v>0.51092000000000004</v>
      </c>
      <c r="Q71" s="414">
        <v>0.50900000000000001</v>
      </c>
      <c r="R71" s="414">
        <v>0.50900000000000001</v>
      </c>
      <c r="S71" s="414">
        <v>0</v>
      </c>
      <c r="T71" s="414">
        <v>1.92E-3</v>
      </c>
      <c r="U71" s="413">
        <v>2.2021999999999999</v>
      </c>
      <c r="V71" s="414">
        <v>2.15</v>
      </c>
      <c r="W71" s="414">
        <v>2.15</v>
      </c>
      <c r="X71" s="414">
        <v>0</v>
      </c>
      <c r="Y71" s="414">
        <v>5.2200000000000003E-2</v>
      </c>
      <c r="Z71" s="415">
        <v>0.88580000000000003</v>
      </c>
      <c r="AA71" s="416">
        <v>0.873</v>
      </c>
      <c r="AB71" s="417">
        <v>1.2800000000000001E-2</v>
      </c>
      <c r="AC71" s="414">
        <v>0</v>
      </c>
      <c r="AD71" s="418" t="s">
        <v>1455</v>
      </c>
      <c r="AE71" s="61" t="s">
        <v>1456</v>
      </c>
      <c r="AI71" s="330">
        <f t="shared" si="0"/>
        <v>1</v>
      </c>
    </row>
    <row r="72" spans="1:35" s="364" customFormat="1" ht="14.25" customHeight="1">
      <c r="A72" s="387" t="s">
        <v>793</v>
      </c>
      <c r="B72" s="235" t="s">
        <v>1457</v>
      </c>
      <c r="C72" s="45" t="s">
        <v>1458</v>
      </c>
      <c r="D72" s="89" t="s">
        <v>1338</v>
      </c>
      <c r="E72" s="30" t="s">
        <v>1339</v>
      </c>
      <c r="F72" s="72">
        <v>2500</v>
      </c>
      <c r="G72" s="47" t="s">
        <v>294</v>
      </c>
      <c r="H72" s="48">
        <v>112</v>
      </c>
      <c r="I72" s="76">
        <v>69.2</v>
      </c>
      <c r="J72" s="49">
        <v>42.5</v>
      </c>
      <c r="K72" s="73">
        <v>0.32</v>
      </c>
      <c r="L72" s="366">
        <v>0.26500000000000001</v>
      </c>
      <c r="M72" s="39">
        <v>0.26500000000000001</v>
      </c>
      <c r="N72" s="39">
        <v>0</v>
      </c>
      <c r="O72" s="36">
        <v>5.4800000000000001E-2</v>
      </c>
      <c r="P72" s="73">
        <v>4.4999999999999998E-2</v>
      </c>
      <c r="Q72" s="366">
        <v>4.2799999999999998E-2</v>
      </c>
      <c r="R72" s="36">
        <v>4.2799999999999998E-2</v>
      </c>
      <c r="S72" s="36">
        <v>0</v>
      </c>
      <c r="T72" s="36">
        <v>2.16E-3</v>
      </c>
      <c r="U72" s="73">
        <v>0.27500000000000002</v>
      </c>
      <c r="V72" s="366">
        <v>0.223</v>
      </c>
      <c r="W72" s="36">
        <v>0.223</v>
      </c>
      <c r="X72" s="36">
        <v>0</v>
      </c>
      <c r="Y72" s="36">
        <v>5.2600000000000001E-2</v>
      </c>
      <c r="Z72" s="51">
        <v>4.0599999999999997E-2</v>
      </c>
      <c r="AA72" s="84">
        <v>2.7900000000000001E-2</v>
      </c>
      <c r="AB72" s="53">
        <v>1.2699999999999999E-2</v>
      </c>
      <c r="AC72" s="367">
        <v>0</v>
      </c>
      <c r="AD72" s="110" t="s">
        <v>1459</v>
      </c>
      <c r="AE72" s="30" t="s">
        <v>1341</v>
      </c>
      <c r="AF72" s="419">
        <v>1.3100000000000001E-2</v>
      </c>
      <c r="AG72" s="380">
        <v>1.0699999999999999E-2</v>
      </c>
      <c r="AH72" s="381">
        <v>2.4099999999999998E-3</v>
      </c>
      <c r="AI72" s="330">
        <f t="shared" si="0"/>
        <v>0.67733990147783252</v>
      </c>
    </row>
    <row r="73" spans="1:35" s="364" customFormat="1" ht="14.25" customHeight="1">
      <c r="A73" s="387" t="s">
        <v>1460</v>
      </c>
      <c r="B73" s="235" t="s">
        <v>1461</v>
      </c>
      <c r="C73" s="45" t="s">
        <v>1462</v>
      </c>
      <c r="D73" s="89" t="s">
        <v>1338</v>
      </c>
      <c r="E73" s="30" t="s">
        <v>1339</v>
      </c>
      <c r="F73" s="46">
        <v>2500</v>
      </c>
      <c r="G73" s="47" t="s">
        <v>294</v>
      </c>
      <c r="H73" s="48">
        <v>141</v>
      </c>
      <c r="I73" s="76">
        <v>98.3</v>
      </c>
      <c r="J73" s="49">
        <v>42.5</v>
      </c>
      <c r="K73" s="73">
        <v>0.36499999999999999</v>
      </c>
      <c r="L73" s="366">
        <v>0.31</v>
      </c>
      <c r="M73" s="39">
        <v>0.31</v>
      </c>
      <c r="N73" s="39">
        <v>0</v>
      </c>
      <c r="O73" s="36">
        <v>5.4800000000000001E-2</v>
      </c>
      <c r="P73" s="73">
        <v>2.6100000000000002E-2</v>
      </c>
      <c r="Q73" s="366">
        <v>2.3900000000000001E-2</v>
      </c>
      <c r="R73" s="36">
        <v>2.3900000000000001E-2</v>
      </c>
      <c r="S73" s="36">
        <v>0</v>
      </c>
      <c r="T73" s="36">
        <v>2.16E-3</v>
      </c>
      <c r="U73" s="73">
        <v>0.33800000000000002</v>
      </c>
      <c r="V73" s="366">
        <v>0.28599999999999998</v>
      </c>
      <c r="W73" s="36">
        <v>0.28599999999999998</v>
      </c>
      <c r="X73" s="36">
        <v>0</v>
      </c>
      <c r="Y73" s="36">
        <v>5.2600000000000001E-2</v>
      </c>
      <c r="Z73" s="51">
        <v>7.3599999999999999E-2</v>
      </c>
      <c r="AA73" s="84">
        <v>6.0999999999999999E-2</v>
      </c>
      <c r="AB73" s="53">
        <v>1.2699999999999999E-2</v>
      </c>
      <c r="AC73" s="367">
        <v>0</v>
      </c>
      <c r="AD73" s="110" t="s">
        <v>1463</v>
      </c>
      <c r="AE73" s="30" t="s">
        <v>1341</v>
      </c>
      <c r="AF73" s="419">
        <v>5.9499999999999997E-2</v>
      </c>
      <c r="AG73" s="380">
        <v>5.7000000000000002E-2</v>
      </c>
      <c r="AH73" s="381">
        <v>2.4099999999999998E-3</v>
      </c>
      <c r="AI73" s="330">
        <f t="shared" si="0"/>
        <v>0.19157608695652176</v>
      </c>
    </row>
    <row r="74" spans="1:35" s="364" customFormat="1" ht="14.25" customHeight="1">
      <c r="A74" s="387" t="s">
        <v>1464</v>
      </c>
      <c r="B74" s="235" t="s">
        <v>1465</v>
      </c>
      <c r="C74" s="45" t="s">
        <v>1466</v>
      </c>
      <c r="D74" s="89" t="s">
        <v>1338</v>
      </c>
      <c r="E74" s="30" t="s">
        <v>1339</v>
      </c>
      <c r="F74" s="72">
        <v>2600</v>
      </c>
      <c r="G74" s="47" t="s">
        <v>294</v>
      </c>
      <c r="H74" s="33">
        <v>4100</v>
      </c>
      <c r="I74" s="86">
        <v>4060</v>
      </c>
      <c r="J74" s="49">
        <v>42.5</v>
      </c>
      <c r="K74" s="87">
        <v>3.93</v>
      </c>
      <c r="L74" s="366">
        <v>3.87</v>
      </c>
      <c r="M74" s="39">
        <v>3.87</v>
      </c>
      <c r="N74" s="39">
        <v>0</v>
      </c>
      <c r="O74" s="36">
        <v>5.4800000000000001E-2</v>
      </c>
      <c r="P74" s="87">
        <v>0.20699999999999999</v>
      </c>
      <c r="Q74" s="366">
        <v>0.20499999999999999</v>
      </c>
      <c r="R74" s="36">
        <v>0.20499999999999999</v>
      </c>
      <c r="S74" s="36">
        <v>0</v>
      </c>
      <c r="T74" s="36">
        <v>2.16E-3</v>
      </c>
      <c r="U74" s="87">
        <v>3.72</v>
      </c>
      <c r="V74" s="366">
        <v>3.67</v>
      </c>
      <c r="W74" s="36">
        <v>3.67</v>
      </c>
      <c r="X74" s="36">
        <v>0</v>
      </c>
      <c r="Y74" s="36">
        <v>5.2600000000000001E-2</v>
      </c>
      <c r="Z74" s="50">
        <v>0.79300000000000004</v>
      </c>
      <c r="AA74" s="79">
        <v>0.78</v>
      </c>
      <c r="AB74" s="53">
        <v>1.2699999999999999E-2</v>
      </c>
      <c r="AC74" s="367">
        <v>0</v>
      </c>
      <c r="AD74" s="110" t="s">
        <v>1467</v>
      </c>
      <c r="AE74" s="30" t="s">
        <v>1341</v>
      </c>
      <c r="AF74" s="379">
        <v>0.59199999999999997</v>
      </c>
      <c r="AG74" s="390">
        <v>0.58899999999999997</v>
      </c>
      <c r="AH74" s="381">
        <v>2.5500000000000002E-3</v>
      </c>
      <c r="AI74" s="330">
        <f t="shared" si="0"/>
        <v>0.25346784363177816</v>
      </c>
    </row>
    <row r="75" spans="1:35" s="364" customFormat="1" ht="14.25" customHeight="1">
      <c r="A75" s="387" t="s">
        <v>931</v>
      </c>
      <c r="B75" s="235" t="s">
        <v>1468</v>
      </c>
      <c r="C75" s="45" t="s">
        <v>1469</v>
      </c>
      <c r="D75" s="44" t="s">
        <v>1397</v>
      </c>
      <c r="E75" s="30" t="s">
        <v>1398</v>
      </c>
      <c r="F75" s="72">
        <v>2000</v>
      </c>
      <c r="G75" s="47" t="s">
        <v>294</v>
      </c>
      <c r="H75" s="48">
        <v>64.8</v>
      </c>
      <c r="I75" s="76">
        <v>24.6</v>
      </c>
      <c r="J75" s="49">
        <v>40.200000000000003</v>
      </c>
      <c r="K75" s="50">
        <v>9.2299999999999993E-2</v>
      </c>
      <c r="L75" s="366">
        <v>3.7499999999999999E-2</v>
      </c>
      <c r="M75" s="39">
        <v>3.7499999999999999E-2</v>
      </c>
      <c r="N75" s="39">
        <v>0</v>
      </c>
      <c r="O75" s="36">
        <v>5.4800000000000001E-2</v>
      </c>
      <c r="P75" s="50">
        <v>7.5900000000000004E-3</v>
      </c>
      <c r="Q75" s="366">
        <v>5.3800000000000002E-3</v>
      </c>
      <c r="R75" s="36">
        <v>5.3800000000000002E-3</v>
      </c>
      <c r="S75" s="36">
        <v>0</v>
      </c>
      <c r="T75" s="36">
        <v>2.2100000000000002E-3</v>
      </c>
      <c r="U75" s="50">
        <v>8.4699999999999998E-2</v>
      </c>
      <c r="V75" s="366">
        <v>3.2099999999999997E-2</v>
      </c>
      <c r="W75" s="36">
        <v>3.2099999999999997E-2</v>
      </c>
      <c r="X75" s="36">
        <v>0</v>
      </c>
      <c r="Y75" s="36">
        <v>5.2600000000000001E-2</v>
      </c>
      <c r="Z75" s="51">
        <v>1.7600000000000001E-2</v>
      </c>
      <c r="AA75" s="81">
        <v>5.0000000000000001E-3</v>
      </c>
      <c r="AB75" s="53">
        <v>1.26E-2</v>
      </c>
      <c r="AC75" s="367">
        <v>0</v>
      </c>
      <c r="AD75" s="110" t="s">
        <v>1470</v>
      </c>
      <c r="AE75" s="30" t="s">
        <v>1400</v>
      </c>
      <c r="AF75" s="419">
        <v>4.3899999999999998E-3</v>
      </c>
      <c r="AG75" s="381">
        <v>2.0400000000000001E-3</v>
      </c>
      <c r="AH75" s="381">
        <v>2.3600000000000001E-3</v>
      </c>
      <c r="AI75" s="330">
        <f t="shared" ref="AI75:AI138" si="1">(Z75-AF75)/Z75</f>
        <v>0.75056818181818186</v>
      </c>
    </row>
    <row r="76" spans="1:35" s="389" customFormat="1" ht="14.25" customHeight="1">
      <c r="A76" s="420" t="s">
        <v>1471</v>
      </c>
      <c r="B76" s="235" t="s">
        <v>1472</v>
      </c>
      <c r="C76" s="30" t="s">
        <v>1473</v>
      </c>
      <c r="D76" s="44" t="s">
        <v>1397</v>
      </c>
      <c r="E76" s="30" t="s">
        <v>1398</v>
      </c>
      <c r="F76" s="46">
        <v>2400</v>
      </c>
      <c r="G76" s="32" t="s">
        <v>294</v>
      </c>
      <c r="H76" s="48">
        <v>41</v>
      </c>
      <c r="I76" s="49">
        <v>0.82799999999999996</v>
      </c>
      <c r="J76" s="49">
        <v>40.200000000000003</v>
      </c>
      <c r="K76" s="50">
        <v>5.5300000000000002E-2</v>
      </c>
      <c r="L76" s="36">
        <v>5.2099999999999998E-4</v>
      </c>
      <c r="M76" s="39">
        <v>5.2099999999999998E-4</v>
      </c>
      <c r="N76" s="39">
        <v>0</v>
      </c>
      <c r="O76" s="36">
        <v>5.4800000000000001E-2</v>
      </c>
      <c r="P76" s="50">
        <v>2.2799999999999999E-3</v>
      </c>
      <c r="Q76" s="36">
        <v>6.4999999999999994E-5</v>
      </c>
      <c r="R76" s="36">
        <v>6.4999999999999994E-5</v>
      </c>
      <c r="S76" s="36">
        <v>0</v>
      </c>
      <c r="T76" s="36">
        <v>2.2100000000000002E-3</v>
      </c>
      <c r="U76" s="50">
        <v>5.2999999999999999E-2</v>
      </c>
      <c r="V76" s="36">
        <v>4.5600000000000003E-4</v>
      </c>
      <c r="W76" s="36">
        <v>4.5600000000000003E-4</v>
      </c>
      <c r="X76" s="36">
        <v>0</v>
      </c>
      <c r="Y76" s="36">
        <v>5.2600000000000001E-2</v>
      </c>
      <c r="Z76" s="51">
        <v>1.3299999999999999E-2</v>
      </c>
      <c r="AA76" s="53">
        <v>7.1000000000000002E-4</v>
      </c>
      <c r="AB76" s="53">
        <v>1.26E-2</v>
      </c>
      <c r="AC76" s="367">
        <v>0</v>
      </c>
      <c r="AD76" s="397" t="s">
        <v>1474</v>
      </c>
      <c r="AE76" s="30" t="s">
        <v>1400</v>
      </c>
      <c r="AF76" s="14"/>
      <c r="AG76" s="14"/>
      <c r="AH76" s="14"/>
      <c r="AI76" s="330">
        <f t="shared" si="1"/>
        <v>1</v>
      </c>
    </row>
    <row r="77" spans="1:35" s="364" customFormat="1" ht="14.25" customHeight="1">
      <c r="A77" s="387" t="s">
        <v>717</v>
      </c>
      <c r="B77" s="235" t="s">
        <v>1475</v>
      </c>
      <c r="C77" s="45" t="s">
        <v>1476</v>
      </c>
      <c r="D77" s="44" t="s">
        <v>1397</v>
      </c>
      <c r="E77" s="30" t="s">
        <v>1398</v>
      </c>
      <c r="F77" s="72">
        <v>2000</v>
      </c>
      <c r="G77" s="47" t="s">
        <v>294</v>
      </c>
      <c r="H77" s="48">
        <v>59.4</v>
      </c>
      <c r="I77" s="76">
        <v>19.2</v>
      </c>
      <c r="J77" s="49">
        <v>40.200000000000003</v>
      </c>
      <c r="K77" s="50">
        <v>7.22E-2</v>
      </c>
      <c r="L77" s="366">
        <v>1.7399999999999999E-2</v>
      </c>
      <c r="M77" s="39">
        <v>1.7399999999999999E-2</v>
      </c>
      <c r="N77" s="39">
        <v>0</v>
      </c>
      <c r="O77" s="36">
        <v>5.4800000000000001E-2</v>
      </c>
      <c r="P77" s="50">
        <v>3.96E-3</v>
      </c>
      <c r="Q77" s="366">
        <v>1.75E-3</v>
      </c>
      <c r="R77" s="36">
        <v>1.75E-3</v>
      </c>
      <c r="S77" s="36">
        <v>0</v>
      </c>
      <c r="T77" s="36">
        <v>2.2100000000000002E-3</v>
      </c>
      <c r="U77" s="50">
        <v>6.8199999999999997E-2</v>
      </c>
      <c r="V77" s="366">
        <v>1.5599999999999999E-2</v>
      </c>
      <c r="W77" s="36">
        <v>1.5599999999999999E-2</v>
      </c>
      <c r="X77" s="36">
        <v>0</v>
      </c>
      <c r="Y77" s="36">
        <v>5.2600000000000001E-2</v>
      </c>
      <c r="Z77" s="51">
        <v>1.5699999999999999E-2</v>
      </c>
      <c r="AA77" s="81">
        <v>3.0500000000000002E-3</v>
      </c>
      <c r="AB77" s="53">
        <v>1.26E-2</v>
      </c>
      <c r="AC77" s="367">
        <v>0</v>
      </c>
      <c r="AD77" s="110" t="s">
        <v>1477</v>
      </c>
      <c r="AE77" s="30" t="s">
        <v>1400</v>
      </c>
      <c r="AF77" s="419">
        <v>3.3899999999999998E-3</v>
      </c>
      <c r="AG77" s="381">
        <v>1.0300000000000001E-3</v>
      </c>
      <c r="AH77" s="381">
        <v>2.3600000000000001E-3</v>
      </c>
      <c r="AI77" s="330">
        <f t="shared" si="1"/>
        <v>0.78407643312101905</v>
      </c>
    </row>
    <row r="78" spans="1:35" s="364" customFormat="1" ht="14.25" customHeight="1">
      <c r="A78" s="387" t="s">
        <v>873</v>
      </c>
      <c r="B78" s="235" t="s">
        <v>1478</v>
      </c>
      <c r="C78" s="45" t="s">
        <v>1479</v>
      </c>
      <c r="D78" s="89" t="s">
        <v>1397</v>
      </c>
      <c r="E78" s="30" t="s">
        <v>1398</v>
      </c>
      <c r="F78" s="72">
        <v>2000</v>
      </c>
      <c r="G78" s="47" t="s">
        <v>294</v>
      </c>
      <c r="H78" s="48">
        <v>59.4</v>
      </c>
      <c r="I78" s="76">
        <v>19.2</v>
      </c>
      <c r="J78" s="49">
        <v>40.200000000000003</v>
      </c>
      <c r="K78" s="50">
        <v>7.22E-2</v>
      </c>
      <c r="L78" s="366">
        <v>1.7399999999999999E-2</v>
      </c>
      <c r="M78" s="39">
        <v>1.7399999999999999E-2</v>
      </c>
      <c r="N78" s="39">
        <v>0</v>
      </c>
      <c r="O78" s="36">
        <v>5.4800000000000001E-2</v>
      </c>
      <c r="P78" s="50">
        <v>3.96E-3</v>
      </c>
      <c r="Q78" s="366">
        <v>1.75E-3</v>
      </c>
      <c r="R78" s="36">
        <v>1.75E-3</v>
      </c>
      <c r="S78" s="36">
        <v>0</v>
      </c>
      <c r="T78" s="36">
        <v>2.2100000000000002E-3</v>
      </c>
      <c r="U78" s="50">
        <v>6.8199999999999997E-2</v>
      </c>
      <c r="V78" s="366">
        <v>1.5599999999999999E-2</v>
      </c>
      <c r="W78" s="36">
        <v>1.5599999999999999E-2</v>
      </c>
      <c r="X78" s="36">
        <v>0</v>
      </c>
      <c r="Y78" s="36">
        <v>5.2600000000000001E-2</v>
      </c>
      <c r="Z78" s="51">
        <v>1.5699999999999999E-2</v>
      </c>
      <c r="AA78" s="81">
        <v>3.0500000000000002E-3</v>
      </c>
      <c r="AB78" s="52">
        <v>1.26E-2</v>
      </c>
      <c r="AC78" s="367">
        <v>0</v>
      </c>
      <c r="AD78" s="110" t="s">
        <v>1480</v>
      </c>
      <c r="AE78" s="30" t="s">
        <v>1400</v>
      </c>
      <c r="AF78" s="419">
        <v>1.56E-3</v>
      </c>
      <c r="AG78" s="381">
        <v>1.0300000000000001E-3</v>
      </c>
      <c r="AH78" s="380">
        <v>5.2800000000000004E-4</v>
      </c>
      <c r="AI78" s="330">
        <f t="shared" si="1"/>
        <v>0.90063694267515915</v>
      </c>
    </row>
    <row r="79" spans="1:35" s="364" customFormat="1" ht="14.25" customHeight="1">
      <c r="A79" s="387" t="s">
        <v>1481</v>
      </c>
      <c r="B79" s="235" t="s">
        <v>1482</v>
      </c>
      <c r="C79" s="45" t="s">
        <v>1483</v>
      </c>
      <c r="D79" s="89" t="s">
        <v>1338</v>
      </c>
      <c r="E79" s="30" t="s">
        <v>1339</v>
      </c>
      <c r="F79" s="72">
        <v>2000</v>
      </c>
      <c r="G79" s="47" t="s">
        <v>294</v>
      </c>
      <c r="H79" s="33">
        <v>4680</v>
      </c>
      <c r="I79" s="86">
        <v>4640</v>
      </c>
      <c r="J79" s="49">
        <v>42.5</v>
      </c>
      <c r="K79" s="87">
        <v>11.5</v>
      </c>
      <c r="L79" s="366">
        <v>11.4</v>
      </c>
      <c r="M79" s="39">
        <v>11.4</v>
      </c>
      <c r="N79" s="39">
        <v>0</v>
      </c>
      <c r="O79" s="36">
        <v>5.4800000000000001E-2</v>
      </c>
      <c r="P79" s="87">
        <v>0.35499999999999998</v>
      </c>
      <c r="Q79" s="366">
        <v>0.35199999999999998</v>
      </c>
      <c r="R79" s="36">
        <v>0.35199999999999998</v>
      </c>
      <c r="S79" s="36">
        <v>0</v>
      </c>
      <c r="T79" s="36">
        <v>2.16E-3</v>
      </c>
      <c r="U79" s="87">
        <v>11.1</v>
      </c>
      <c r="V79" s="366">
        <v>11.1</v>
      </c>
      <c r="W79" s="36">
        <v>11.1</v>
      </c>
      <c r="X79" s="36">
        <v>0</v>
      </c>
      <c r="Y79" s="36">
        <v>5.2600000000000001E-2</v>
      </c>
      <c r="Z79" s="73">
        <v>2.38</v>
      </c>
      <c r="AA79" s="78">
        <v>2.37</v>
      </c>
      <c r="AB79" s="53">
        <v>1.2699999999999999E-2</v>
      </c>
      <c r="AC79" s="367">
        <v>0</v>
      </c>
      <c r="AD79" s="110" t="s">
        <v>1484</v>
      </c>
      <c r="AE79" s="30" t="s">
        <v>1341</v>
      </c>
      <c r="AF79" s="398">
        <v>1.9</v>
      </c>
      <c r="AG79" s="399">
        <v>1.89</v>
      </c>
      <c r="AH79" s="381">
        <v>2.5500000000000002E-3</v>
      </c>
      <c r="AI79" s="330">
        <f t="shared" si="1"/>
        <v>0.20168067226890757</v>
      </c>
    </row>
    <row r="80" spans="1:35" s="364" customFormat="1" ht="14.25" customHeight="1">
      <c r="A80" s="776" t="s">
        <v>1485</v>
      </c>
      <c r="B80" s="235" t="s">
        <v>1486</v>
      </c>
      <c r="C80" s="45" t="s">
        <v>1487</v>
      </c>
      <c r="D80" s="421" t="s">
        <v>1338</v>
      </c>
      <c r="E80" s="422" t="s">
        <v>1339</v>
      </c>
      <c r="F80" s="72">
        <v>2000</v>
      </c>
      <c r="G80" s="47" t="s">
        <v>294</v>
      </c>
      <c r="H80" s="33">
        <v>80.099999999999994</v>
      </c>
      <c r="I80" s="86">
        <v>32</v>
      </c>
      <c r="J80" s="49">
        <v>48.2</v>
      </c>
      <c r="K80" s="87">
        <v>8.4599999999999995E-2</v>
      </c>
      <c r="L80" s="366">
        <v>7.9399999999999998E-2</v>
      </c>
      <c r="M80" s="39">
        <v>7.9399999999999998E-2</v>
      </c>
      <c r="N80" s="39">
        <v>0</v>
      </c>
      <c r="O80" s="36">
        <v>5.2300000000000003E-3</v>
      </c>
      <c r="P80" s="87">
        <v>5.1399999999999996E-3</v>
      </c>
      <c r="Q80" s="366">
        <v>4.8700000000000002E-3</v>
      </c>
      <c r="R80" s="36">
        <v>4.8700000000000002E-3</v>
      </c>
      <c r="S80" s="36">
        <v>0</v>
      </c>
      <c r="T80" s="36">
        <v>2.7E-4</v>
      </c>
      <c r="U80" s="87">
        <v>7.9500000000000001E-2</v>
      </c>
      <c r="V80" s="366">
        <v>7.4499999999999997E-2</v>
      </c>
      <c r="W80" s="36">
        <v>7.4499999999999997E-2</v>
      </c>
      <c r="X80" s="36">
        <v>0</v>
      </c>
      <c r="Y80" s="36">
        <v>4.96E-3</v>
      </c>
      <c r="Z80" s="73">
        <v>1.9400000000000001E-2</v>
      </c>
      <c r="AA80" s="78">
        <v>1.83E-2</v>
      </c>
      <c r="AB80" s="53">
        <v>1.15E-3</v>
      </c>
      <c r="AC80" s="367">
        <v>0</v>
      </c>
      <c r="AD80" s="397" t="s">
        <v>1488</v>
      </c>
      <c r="AE80" s="422" t="s">
        <v>1341</v>
      </c>
      <c r="AF80" s="398">
        <v>1.9099999999999999E-2</v>
      </c>
      <c r="AG80" s="399">
        <v>1.6299999999999999E-2</v>
      </c>
      <c r="AH80" s="381">
        <v>2.8400000000000001E-3</v>
      </c>
      <c r="AI80" s="330">
        <f t="shared" si="1"/>
        <v>1.5463917525773281E-2</v>
      </c>
    </row>
    <row r="81" spans="1:35" s="364" customFormat="1" ht="14.25" customHeight="1">
      <c r="A81" s="387" t="s">
        <v>778</v>
      </c>
      <c r="B81" s="235" t="s">
        <v>1489</v>
      </c>
      <c r="C81" s="45" t="s">
        <v>1490</v>
      </c>
      <c r="D81" s="89" t="s">
        <v>1491</v>
      </c>
      <c r="E81" s="30" t="s">
        <v>1492</v>
      </c>
      <c r="F81" s="72">
        <v>1700</v>
      </c>
      <c r="G81" s="47" t="s">
        <v>294</v>
      </c>
      <c r="H81" s="55">
        <v>514</v>
      </c>
      <c r="I81" s="75">
        <v>479</v>
      </c>
      <c r="J81" s="49">
        <v>35.6</v>
      </c>
      <c r="K81" s="73">
        <v>1.1499999999999999</v>
      </c>
      <c r="L81" s="366">
        <v>1.1000000000000001</v>
      </c>
      <c r="M81" s="39">
        <v>1.1000000000000001</v>
      </c>
      <c r="N81" s="39">
        <v>0</v>
      </c>
      <c r="O81" s="36">
        <v>5.3900000000000003E-2</v>
      </c>
      <c r="P81" s="73">
        <v>3.4500000000000003E-2</v>
      </c>
      <c r="Q81" s="366">
        <v>3.27E-2</v>
      </c>
      <c r="R81" s="36">
        <v>3.27E-2</v>
      </c>
      <c r="S81" s="36">
        <v>0</v>
      </c>
      <c r="T81" s="36">
        <v>1.89E-3</v>
      </c>
      <c r="U81" s="73">
        <v>1.1100000000000001</v>
      </c>
      <c r="V81" s="366">
        <v>1.06</v>
      </c>
      <c r="W81" s="36">
        <v>1.06</v>
      </c>
      <c r="X81" s="36">
        <v>0</v>
      </c>
      <c r="Y81" s="36">
        <v>5.1999999999999998E-2</v>
      </c>
      <c r="Z81" s="50">
        <v>0.38500000000000001</v>
      </c>
      <c r="AA81" s="79">
        <v>0.373</v>
      </c>
      <c r="AB81" s="53">
        <v>1.2699999999999999E-2</v>
      </c>
      <c r="AC81" s="367">
        <v>0</v>
      </c>
      <c r="AD81" s="110" t="s">
        <v>1493</v>
      </c>
      <c r="AE81" s="30" t="s">
        <v>1494</v>
      </c>
      <c r="AF81" s="379">
        <v>0.31900000000000001</v>
      </c>
      <c r="AG81" s="390">
        <v>0.316</v>
      </c>
      <c r="AH81" s="381">
        <v>2.5500000000000002E-3</v>
      </c>
      <c r="AI81" s="330">
        <f t="shared" si="1"/>
        <v>0.17142857142857143</v>
      </c>
    </row>
    <row r="82" spans="1:35" s="364" customFormat="1" ht="14.25" customHeight="1">
      <c r="A82" s="357" t="s">
        <v>1495</v>
      </c>
      <c r="B82" s="807"/>
      <c r="C82" s="41" t="s">
        <v>1496</v>
      </c>
      <c r="D82" s="40"/>
      <c r="E82" s="41"/>
      <c r="F82" s="42" t="s">
        <v>1295</v>
      </c>
      <c r="G82" s="43"/>
      <c r="H82" s="392"/>
      <c r="I82" s="358"/>
      <c r="J82" s="392"/>
      <c r="K82" s="393"/>
      <c r="L82" s="423"/>
      <c r="M82" s="373"/>
      <c r="N82" s="373"/>
      <c r="O82" s="424"/>
      <c r="P82" s="423"/>
      <c r="Q82" s="423"/>
      <c r="R82" s="373"/>
      <c r="S82" s="373"/>
      <c r="T82" s="423"/>
      <c r="U82" s="423"/>
      <c r="V82" s="423"/>
      <c r="W82" s="373"/>
      <c r="X82" s="373"/>
      <c r="Y82" s="423"/>
      <c r="Z82" s="358"/>
      <c r="AA82" s="358"/>
      <c r="AB82" s="358"/>
      <c r="AC82" s="358"/>
      <c r="AD82" s="363" t="s">
        <v>1497</v>
      </c>
      <c r="AE82" s="41"/>
      <c r="AI82" s="330" t="e">
        <f t="shared" si="1"/>
        <v>#DIV/0!</v>
      </c>
    </row>
    <row r="83" spans="1:35" s="364" customFormat="1" ht="14.25" customHeight="1">
      <c r="A83" s="387" t="s">
        <v>748</v>
      </c>
      <c r="B83" s="235" t="s">
        <v>1498</v>
      </c>
      <c r="C83" s="45" t="s">
        <v>1499</v>
      </c>
      <c r="D83" s="89" t="s">
        <v>1500</v>
      </c>
      <c r="E83" s="30" t="s">
        <v>1501</v>
      </c>
      <c r="F83" s="72">
        <v>1400</v>
      </c>
      <c r="G83" s="47" t="s">
        <v>294</v>
      </c>
      <c r="H83" s="55">
        <v>632</v>
      </c>
      <c r="I83" s="75">
        <v>590</v>
      </c>
      <c r="J83" s="49">
        <v>42.5</v>
      </c>
      <c r="K83" s="73">
        <v>1.7</v>
      </c>
      <c r="L83" s="366">
        <v>1.64</v>
      </c>
      <c r="M83" s="39">
        <v>1.64</v>
      </c>
      <c r="N83" s="39">
        <v>0</v>
      </c>
      <c r="O83" s="36">
        <v>5.45E-2</v>
      </c>
      <c r="P83" s="73">
        <v>0.17299999999999999</v>
      </c>
      <c r="Q83" s="366">
        <v>0.17100000000000001</v>
      </c>
      <c r="R83" s="36">
        <v>0.17100000000000001</v>
      </c>
      <c r="S83" s="36">
        <v>0</v>
      </c>
      <c r="T83" s="36">
        <v>2.0400000000000001E-3</v>
      </c>
      <c r="U83" s="73">
        <v>1.53</v>
      </c>
      <c r="V83" s="366">
        <v>1.47</v>
      </c>
      <c r="W83" s="36">
        <v>1.47</v>
      </c>
      <c r="X83" s="36">
        <v>0</v>
      </c>
      <c r="Y83" s="36">
        <v>5.2400000000000002E-2</v>
      </c>
      <c r="Z83" s="50">
        <v>0.40600000000000003</v>
      </c>
      <c r="AA83" s="79">
        <v>0.39300000000000002</v>
      </c>
      <c r="AB83" s="53">
        <v>1.2699999999999999E-2</v>
      </c>
      <c r="AC83" s="367">
        <v>0</v>
      </c>
      <c r="AD83" s="110" t="s">
        <v>1502</v>
      </c>
      <c r="AE83" s="30" t="s">
        <v>1503</v>
      </c>
      <c r="AF83" s="379">
        <v>0.216</v>
      </c>
      <c r="AG83" s="390">
        <v>0.21299999999999999</v>
      </c>
      <c r="AH83" s="381">
        <v>3.2699999999999999E-3</v>
      </c>
      <c r="AI83" s="330">
        <f t="shared" si="1"/>
        <v>0.4679802955665025</v>
      </c>
    </row>
    <row r="84" spans="1:35" s="364" customFormat="1" ht="14.25" customHeight="1">
      <c r="A84" s="776" t="s">
        <v>757</v>
      </c>
      <c r="B84" s="235" t="s">
        <v>1504</v>
      </c>
      <c r="C84" s="45" t="s">
        <v>1505</v>
      </c>
      <c r="D84" s="89" t="s">
        <v>1500</v>
      </c>
      <c r="E84" s="30" t="s">
        <v>1501</v>
      </c>
      <c r="F84" s="72">
        <v>1100</v>
      </c>
      <c r="G84" s="47" t="s">
        <v>294</v>
      </c>
      <c r="H84" s="55">
        <v>637</v>
      </c>
      <c r="I84" s="75">
        <v>595</v>
      </c>
      <c r="J84" s="49">
        <v>42.5</v>
      </c>
      <c r="K84" s="73">
        <v>1.76</v>
      </c>
      <c r="L84" s="366">
        <v>1.71</v>
      </c>
      <c r="M84" s="39">
        <v>1.71</v>
      </c>
      <c r="N84" s="39">
        <v>0</v>
      </c>
      <c r="O84" s="36">
        <v>5.45E-2</v>
      </c>
      <c r="P84" s="73">
        <v>0.152</v>
      </c>
      <c r="Q84" s="366">
        <v>0.15</v>
      </c>
      <c r="R84" s="36">
        <v>0.15</v>
      </c>
      <c r="S84" s="36">
        <v>0</v>
      </c>
      <c r="T84" s="36">
        <v>2.0400000000000001E-3</v>
      </c>
      <c r="U84" s="73">
        <v>1.61</v>
      </c>
      <c r="V84" s="366">
        <v>1.56</v>
      </c>
      <c r="W84" s="36">
        <v>1.56</v>
      </c>
      <c r="X84" s="36">
        <v>0</v>
      </c>
      <c r="Y84" s="36">
        <v>5.2400000000000002E-2</v>
      </c>
      <c r="Z84" s="50">
        <v>0.42599999999999999</v>
      </c>
      <c r="AA84" s="79">
        <v>0.41399999999999998</v>
      </c>
      <c r="AB84" s="53">
        <v>1.2699999999999999E-2</v>
      </c>
      <c r="AC84" s="367">
        <v>0</v>
      </c>
      <c r="AD84" s="110" t="s">
        <v>1506</v>
      </c>
      <c r="AE84" s="30" t="s">
        <v>1503</v>
      </c>
      <c r="AF84" s="379">
        <v>0.216</v>
      </c>
      <c r="AG84" s="390">
        <v>0.21199999999999999</v>
      </c>
      <c r="AH84" s="381">
        <v>3.2699999999999999E-3</v>
      </c>
      <c r="AI84" s="330">
        <f t="shared" si="1"/>
        <v>0.49295774647887325</v>
      </c>
    </row>
    <row r="85" spans="1:35" s="364" customFormat="1" ht="14.25" customHeight="1">
      <c r="A85" s="387" t="s">
        <v>1507</v>
      </c>
      <c r="B85" s="235" t="s">
        <v>1508</v>
      </c>
      <c r="C85" s="45" t="s">
        <v>1509</v>
      </c>
      <c r="D85" s="89" t="s">
        <v>1500</v>
      </c>
      <c r="E85" s="30" t="s">
        <v>1501</v>
      </c>
      <c r="F85" s="72">
        <v>1670</v>
      </c>
      <c r="G85" s="47" t="s">
        <v>294</v>
      </c>
      <c r="H85" s="33">
        <v>1390</v>
      </c>
      <c r="I85" s="86">
        <v>1350</v>
      </c>
      <c r="J85" s="49">
        <v>42.5</v>
      </c>
      <c r="K85" s="87">
        <v>4.3099999999999996</v>
      </c>
      <c r="L85" s="366">
        <v>4.25</v>
      </c>
      <c r="M85" s="39">
        <v>4.25</v>
      </c>
      <c r="N85" s="39">
        <v>0</v>
      </c>
      <c r="O85" s="36">
        <v>5.45E-2</v>
      </c>
      <c r="P85" s="87">
        <v>0.16</v>
      </c>
      <c r="Q85" s="366">
        <v>0.158</v>
      </c>
      <c r="R85" s="36">
        <v>0.158</v>
      </c>
      <c r="S85" s="36">
        <v>0</v>
      </c>
      <c r="T85" s="36">
        <v>2.0400000000000001E-3</v>
      </c>
      <c r="U85" s="87">
        <v>4.1500000000000004</v>
      </c>
      <c r="V85" s="366">
        <v>4.09</v>
      </c>
      <c r="W85" s="36">
        <v>4.09</v>
      </c>
      <c r="X85" s="36">
        <v>0</v>
      </c>
      <c r="Y85" s="36">
        <v>5.2400000000000002E-2</v>
      </c>
      <c r="Z85" s="73">
        <v>0.77700000000000002</v>
      </c>
      <c r="AA85" s="78">
        <v>0.76400000000000001</v>
      </c>
      <c r="AB85" s="53">
        <v>1.2699999999999999E-2</v>
      </c>
      <c r="AC85" s="367">
        <v>0</v>
      </c>
      <c r="AD85" s="110" t="s">
        <v>1510</v>
      </c>
      <c r="AE85" s="30" t="s">
        <v>1503</v>
      </c>
      <c r="AF85" s="398">
        <v>0.64200000000000002</v>
      </c>
      <c r="AG85" s="399">
        <v>0.63900000000000001</v>
      </c>
      <c r="AH85" s="381">
        <v>3.2699999999999999E-3</v>
      </c>
      <c r="AI85" s="330">
        <f t="shared" si="1"/>
        <v>0.17374517374517376</v>
      </c>
    </row>
    <row r="86" spans="1:35" s="364" customFormat="1" ht="14.25" customHeight="1">
      <c r="A86" s="776" t="s">
        <v>1002</v>
      </c>
      <c r="B86" s="235" t="s">
        <v>1511</v>
      </c>
      <c r="C86" s="45" t="s">
        <v>1512</v>
      </c>
      <c r="D86" s="89" t="s">
        <v>1500</v>
      </c>
      <c r="E86" s="30" t="s">
        <v>1501</v>
      </c>
      <c r="F86" s="72">
        <v>925</v>
      </c>
      <c r="G86" s="47" t="s">
        <v>294</v>
      </c>
      <c r="H86" s="55">
        <v>251</v>
      </c>
      <c r="I86" s="75">
        <v>209</v>
      </c>
      <c r="J86" s="49">
        <v>42.5</v>
      </c>
      <c r="K86" s="73">
        <v>0.73899999999999999</v>
      </c>
      <c r="L86" s="366">
        <v>0.68500000000000005</v>
      </c>
      <c r="M86" s="39">
        <v>0.68500000000000005</v>
      </c>
      <c r="N86" s="39">
        <v>0</v>
      </c>
      <c r="O86" s="36">
        <v>5.45E-2</v>
      </c>
      <c r="P86" s="73">
        <v>6.4899999999999999E-2</v>
      </c>
      <c r="Q86" s="366">
        <v>6.2899999999999998E-2</v>
      </c>
      <c r="R86" s="36">
        <v>6.2899999999999998E-2</v>
      </c>
      <c r="S86" s="36">
        <v>0</v>
      </c>
      <c r="T86" s="36">
        <v>2.0400000000000001E-3</v>
      </c>
      <c r="U86" s="73">
        <v>0.67400000000000004</v>
      </c>
      <c r="V86" s="366">
        <v>0.622</v>
      </c>
      <c r="W86" s="36">
        <v>0.622</v>
      </c>
      <c r="X86" s="36">
        <v>0</v>
      </c>
      <c r="Y86" s="36">
        <v>5.2400000000000002E-2</v>
      </c>
      <c r="Z86" s="50">
        <v>0.158</v>
      </c>
      <c r="AA86" s="79">
        <v>0.14499999999999999</v>
      </c>
      <c r="AB86" s="53">
        <v>1.2699999999999999E-2</v>
      </c>
      <c r="AC86" s="367">
        <v>0</v>
      </c>
      <c r="AD86" s="110" t="s">
        <v>999</v>
      </c>
      <c r="AE86" s="30" t="s">
        <v>1503</v>
      </c>
      <c r="AF86" s="379">
        <v>0.14899999999999999</v>
      </c>
      <c r="AG86" s="390">
        <v>0.14499999999999999</v>
      </c>
      <c r="AH86" s="381">
        <v>3.2699999999999999E-3</v>
      </c>
      <c r="AI86" s="330">
        <f t="shared" si="1"/>
        <v>5.6962025316455743E-2</v>
      </c>
    </row>
    <row r="87" spans="1:35" s="364" customFormat="1" ht="14.25" customHeight="1">
      <c r="A87" s="776" t="s">
        <v>997</v>
      </c>
      <c r="B87" s="235" t="s">
        <v>1513</v>
      </c>
      <c r="C87" s="45" t="s">
        <v>1514</v>
      </c>
      <c r="D87" s="89" t="s">
        <v>1500</v>
      </c>
      <c r="E87" s="30" t="s">
        <v>1501</v>
      </c>
      <c r="F87" s="72">
        <v>1100</v>
      </c>
      <c r="G87" s="47" t="s">
        <v>294</v>
      </c>
      <c r="H87" s="33">
        <v>241</v>
      </c>
      <c r="I87" s="86">
        <v>199</v>
      </c>
      <c r="J87" s="49">
        <v>42.5</v>
      </c>
      <c r="K87" s="87">
        <v>0.74399999999999999</v>
      </c>
      <c r="L87" s="366">
        <v>0.68899999999999995</v>
      </c>
      <c r="M87" s="39">
        <v>0.68899999999999995</v>
      </c>
      <c r="N87" s="39">
        <v>0</v>
      </c>
      <c r="O87" s="36">
        <v>5.45E-2</v>
      </c>
      <c r="P87" s="87">
        <v>6.3299999999999995E-2</v>
      </c>
      <c r="Q87" s="366">
        <v>6.1199999999999997E-2</v>
      </c>
      <c r="R87" s="36">
        <v>6.1199999999999997E-2</v>
      </c>
      <c r="S87" s="36">
        <v>0</v>
      </c>
      <c r="T87" s="36">
        <v>2.0400000000000001E-3</v>
      </c>
      <c r="U87" s="87">
        <v>0.68</v>
      </c>
      <c r="V87" s="366">
        <v>0.628</v>
      </c>
      <c r="W87" s="36">
        <v>0.628</v>
      </c>
      <c r="X87" s="36">
        <v>0</v>
      </c>
      <c r="Y87" s="36">
        <v>5.2400000000000002E-2</v>
      </c>
      <c r="Z87" s="73">
        <v>0.151</v>
      </c>
      <c r="AA87" s="78">
        <v>0.13800000000000001</v>
      </c>
      <c r="AB87" s="53">
        <v>1.2699999999999999E-2</v>
      </c>
      <c r="AC87" s="367">
        <v>0</v>
      </c>
      <c r="AD87" s="110" t="s">
        <v>1515</v>
      </c>
      <c r="AE87" s="30" t="s">
        <v>1503</v>
      </c>
      <c r="AF87" s="398">
        <v>0.14199999999999999</v>
      </c>
      <c r="AG87" s="399">
        <v>0.13800000000000001</v>
      </c>
      <c r="AH87" s="381">
        <v>3.2699999999999999E-3</v>
      </c>
      <c r="AI87" s="330">
        <f t="shared" si="1"/>
        <v>5.9602649006622571E-2</v>
      </c>
    </row>
    <row r="88" spans="1:35" s="364" customFormat="1" ht="14.25" customHeight="1">
      <c r="A88" s="776" t="s">
        <v>1516</v>
      </c>
      <c r="B88" s="235" t="s">
        <v>1517</v>
      </c>
      <c r="C88" s="45" t="s">
        <v>1518</v>
      </c>
      <c r="D88" s="89" t="s">
        <v>1500</v>
      </c>
      <c r="E88" s="30" t="s">
        <v>1501</v>
      </c>
      <c r="F88" s="72">
        <v>1540</v>
      </c>
      <c r="G88" s="47" t="s">
        <v>294</v>
      </c>
      <c r="H88" s="55">
        <v>1740</v>
      </c>
      <c r="I88" s="75">
        <v>1700</v>
      </c>
      <c r="J88" s="49">
        <v>42.5</v>
      </c>
      <c r="K88" s="73">
        <v>5.44</v>
      </c>
      <c r="L88" s="366">
        <v>5.38</v>
      </c>
      <c r="M88" s="39">
        <v>4.5999999999999996</v>
      </c>
      <c r="N88" s="39">
        <v>0.77900000000000003</v>
      </c>
      <c r="O88" s="36">
        <v>5.45E-2</v>
      </c>
      <c r="P88" s="73">
        <v>0.23499999999999999</v>
      </c>
      <c r="Q88" s="366">
        <v>0.23300000000000001</v>
      </c>
      <c r="R88" s="36">
        <v>0.23300000000000001</v>
      </c>
      <c r="S88" s="36">
        <v>0</v>
      </c>
      <c r="T88" s="36">
        <v>2.0400000000000001E-3</v>
      </c>
      <c r="U88" s="73">
        <v>5.2</v>
      </c>
      <c r="V88" s="366">
        <v>5.15</v>
      </c>
      <c r="W88" s="36">
        <v>4.37</v>
      </c>
      <c r="X88" s="36">
        <v>0.77900000000000003</v>
      </c>
      <c r="Y88" s="36">
        <v>5.2400000000000002E-2</v>
      </c>
      <c r="Z88" s="50">
        <v>0.97</v>
      </c>
      <c r="AA88" s="79">
        <v>0.95699999999999996</v>
      </c>
      <c r="AB88" s="53">
        <v>1.2699999999999999E-2</v>
      </c>
      <c r="AC88" s="367">
        <v>0</v>
      </c>
      <c r="AD88" s="110" t="s">
        <v>1519</v>
      </c>
      <c r="AE88" s="30" t="s">
        <v>1503</v>
      </c>
      <c r="AF88" s="379">
        <v>0.84599999999999997</v>
      </c>
      <c r="AG88" s="390">
        <v>0.84299999999999997</v>
      </c>
      <c r="AH88" s="381">
        <v>3.2699999999999999E-3</v>
      </c>
      <c r="AI88" s="330">
        <f t="shared" si="1"/>
        <v>0.12783505154639174</v>
      </c>
    </row>
    <row r="89" spans="1:35" s="364" customFormat="1" ht="14.25" customHeight="1">
      <c r="A89" s="776" t="s">
        <v>760</v>
      </c>
      <c r="B89" s="235" t="s">
        <v>1520</v>
      </c>
      <c r="C89" s="45" t="s">
        <v>1521</v>
      </c>
      <c r="D89" s="89" t="s">
        <v>1500</v>
      </c>
      <c r="E89" s="30" t="s">
        <v>1501</v>
      </c>
      <c r="F89" s="72">
        <v>1550</v>
      </c>
      <c r="G89" s="47" t="s">
        <v>294</v>
      </c>
      <c r="H89" s="55">
        <v>395</v>
      </c>
      <c r="I89" s="75">
        <v>353</v>
      </c>
      <c r="J89" s="49">
        <v>42.5</v>
      </c>
      <c r="K89" s="73">
        <v>0.85</v>
      </c>
      <c r="L89" s="366">
        <v>0.79500000000000004</v>
      </c>
      <c r="M89" s="39">
        <v>0.79500000000000004</v>
      </c>
      <c r="N89" s="39">
        <v>0</v>
      </c>
      <c r="O89" s="36">
        <v>5.45E-2</v>
      </c>
      <c r="P89" s="73">
        <v>0.13500000000000001</v>
      </c>
      <c r="Q89" s="366">
        <v>0.13300000000000001</v>
      </c>
      <c r="R89" s="36">
        <v>0.13300000000000001</v>
      </c>
      <c r="S89" s="36">
        <v>0</v>
      </c>
      <c r="T89" s="36">
        <v>2.0400000000000001E-3</v>
      </c>
      <c r="U89" s="73">
        <v>0.71499999999999997</v>
      </c>
      <c r="V89" s="366">
        <v>0.66200000000000003</v>
      </c>
      <c r="W89" s="36">
        <v>0.66200000000000003</v>
      </c>
      <c r="X89" s="36">
        <v>0</v>
      </c>
      <c r="Y89" s="36">
        <v>5.2400000000000002E-2</v>
      </c>
      <c r="Z89" s="50">
        <v>0.26300000000000001</v>
      </c>
      <c r="AA89" s="79">
        <v>0.251</v>
      </c>
      <c r="AB89" s="53">
        <v>1.2699999999999999E-2</v>
      </c>
      <c r="AC89" s="367">
        <v>0</v>
      </c>
      <c r="AD89" s="110" t="s">
        <v>993</v>
      </c>
      <c r="AE89" s="30" t="s">
        <v>1503</v>
      </c>
      <c r="AF89" s="379">
        <v>0.16</v>
      </c>
      <c r="AG89" s="390">
        <v>0.156</v>
      </c>
      <c r="AH89" s="381">
        <v>3.2699999999999999E-3</v>
      </c>
      <c r="AI89" s="330">
        <f t="shared" si="1"/>
        <v>0.39163498098859317</v>
      </c>
    </row>
    <row r="90" spans="1:35" s="364" customFormat="1" ht="14.25" customHeight="1">
      <c r="A90" s="387" t="s">
        <v>1522</v>
      </c>
      <c r="B90" s="235" t="s">
        <v>1523</v>
      </c>
      <c r="C90" s="45" t="s">
        <v>1524</v>
      </c>
      <c r="D90" s="89" t="s">
        <v>1500</v>
      </c>
      <c r="E90" s="30" t="s">
        <v>1501</v>
      </c>
      <c r="F90" s="72">
        <v>1800</v>
      </c>
      <c r="G90" s="47" t="s">
        <v>294</v>
      </c>
      <c r="H90" s="48">
        <v>96.1</v>
      </c>
      <c r="I90" s="76">
        <v>53.7</v>
      </c>
      <c r="J90" s="49">
        <v>42.5</v>
      </c>
      <c r="K90" s="50">
        <v>0.191</v>
      </c>
      <c r="L90" s="366">
        <v>0.13600000000000001</v>
      </c>
      <c r="M90" s="39">
        <v>0.13600000000000001</v>
      </c>
      <c r="N90" s="39">
        <v>0</v>
      </c>
      <c r="O90" s="36">
        <v>5.45E-2</v>
      </c>
      <c r="P90" s="50">
        <v>1.8599999999999998E-2</v>
      </c>
      <c r="Q90" s="366">
        <v>1.6500000000000001E-2</v>
      </c>
      <c r="R90" s="36">
        <v>1.6500000000000001E-2</v>
      </c>
      <c r="S90" s="36">
        <v>0</v>
      </c>
      <c r="T90" s="36">
        <v>2.0400000000000001E-3</v>
      </c>
      <c r="U90" s="50">
        <v>0.17199999999999999</v>
      </c>
      <c r="V90" s="366">
        <v>0.12</v>
      </c>
      <c r="W90" s="36">
        <v>0.12</v>
      </c>
      <c r="X90" s="36">
        <v>0</v>
      </c>
      <c r="Y90" s="36">
        <v>5.2400000000000002E-2</v>
      </c>
      <c r="Z90" s="50">
        <v>3.2199999999999999E-2</v>
      </c>
      <c r="AA90" s="79">
        <v>1.95E-2</v>
      </c>
      <c r="AB90" s="53">
        <v>1.2699999999999999E-2</v>
      </c>
      <c r="AC90" s="367">
        <v>0</v>
      </c>
      <c r="AD90" s="110" t="s">
        <v>1525</v>
      </c>
      <c r="AE90" s="30" t="s">
        <v>1503</v>
      </c>
      <c r="AF90" s="379">
        <v>1.4E-2</v>
      </c>
      <c r="AG90" s="390">
        <v>1.26E-2</v>
      </c>
      <c r="AH90" s="381">
        <v>1.4E-3</v>
      </c>
      <c r="AI90" s="330">
        <f t="shared" si="1"/>
        <v>0.56521739130434789</v>
      </c>
    </row>
    <row r="91" spans="1:35" s="364" customFormat="1" ht="14.25" customHeight="1">
      <c r="A91" s="776" t="s">
        <v>1526</v>
      </c>
      <c r="B91" s="235" t="s">
        <v>1527</v>
      </c>
      <c r="C91" s="45" t="s">
        <v>1528</v>
      </c>
      <c r="D91" s="89" t="s">
        <v>1500</v>
      </c>
      <c r="E91" s="30" t="s">
        <v>1501</v>
      </c>
      <c r="F91" s="72">
        <v>1000</v>
      </c>
      <c r="G91" s="47" t="s">
        <v>294</v>
      </c>
      <c r="H91" s="55">
        <v>574</v>
      </c>
      <c r="I91" s="75">
        <v>531</v>
      </c>
      <c r="J91" s="49">
        <v>42.5</v>
      </c>
      <c r="K91" s="73">
        <v>1.39</v>
      </c>
      <c r="L91" s="366">
        <v>1.34</v>
      </c>
      <c r="M91" s="39">
        <v>1.34</v>
      </c>
      <c r="N91" s="39">
        <v>0</v>
      </c>
      <c r="O91" s="36">
        <v>5.45E-2</v>
      </c>
      <c r="P91" s="73">
        <v>0.16300000000000001</v>
      </c>
      <c r="Q91" s="366">
        <v>0.161</v>
      </c>
      <c r="R91" s="36">
        <v>0.161</v>
      </c>
      <c r="S91" s="36">
        <v>0</v>
      </c>
      <c r="T91" s="36">
        <v>2.0400000000000001E-3</v>
      </c>
      <c r="U91" s="73">
        <v>1.23</v>
      </c>
      <c r="V91" s="366">
        <v>1.18</v>
      </c>
      <c r="W91" s="36">
        <v>1.18</v>
      </c>
      <c r="X91" s="36">
        <v>0</v>
      </c>
      <c r="Y91" s="36">
        <v>5.2400000000000002E-2</v>
      </c>
      <c r="Z91" s="50">
        <v>0.372</v>
      </c>
      <c r="AA91" s="79">
        <v>0.36</v>
      </c>
      <c r="AB91" s="53">
        <v>1.2699999999999999E-2</v>
      </c>
      <c r="AC91" s="367">
        <v>0</v>
      </c>
      <c r="AD91" s="110" t="s">
        <v>1529</v>
      </c>
      <c r="AE91" s="30" t="s">
        <v>1503</v>
      </c>
      <c r="AF91" s="379">
        <v>0.19700000000000001</v>
      </c>
      <c r="AG91" s="390">
        <v>0.19400000000000001</v>
      </c>
      <c r="AH91" s="381">
        <v>3.2699999999999999E-3</v>
      </c>
      <c r="AI91" s="330">
        <f t="shared" si="1"/>
        <v>0.47043010752688169</v>
      </c>
    </row>
    <row r="92" spans="1:35" s="364" customFormat="1" ht="14.25" customHeight="1">
      <c r="A92" s="425" t="s">
        <v>1530</v>
      </c>
      <c r="B92" s="235" t="s">
        <v>1531</v>
      </c>
      <c r="C92" s="45" t="s">
        <v>1532</v>
      </c>
      <c r="D92" s="89" t="s">
        <v>1500</v>
      </c>
      <c r="E92" s="30" t="s">
        <v>1501</v>
      </c>
      <c r="F92" s="72">
        <v>1880</v>
      </c>
      <c r="G92" s="47" t="s">
        <v>294</v>
      </c>
      <c r="H92" s="55">
        <v>1880</v>
      </c>
      <c r="I92" s="75">
        <v>1840</v>
      </c>
      <c r="J92" s="49">
        <v>42.5</v>
      </c>
      <c r="K92" s="73">
        <v>5.76</v>
      </c>
      <c r="L92" s="366">
        <v>5.71</v>
      </c>
      <c r="M92" s="39">
        <v>5.71</v>
      </c>
      <c r="N92" s="39">
        <v>0</v>
      </c>
      <c r="O92" s="36">
        <v>5.45E-2</v>
      </c>
      <c r="P92" s="73">
        <v>0.27500000000000002</v>
      </c>
      <c r="Q92" s="366">
        <v>0.27300000000000002</v>
      </c>
      <c r="R92" s="36">
        <v>0.27300000000000002</v>
      </c>
      <c r="S92" s="36">
        <v>0</v>
      </c>
      <c r="T92" s="36">
        <v>2.0400000000000001E-3</v>
      </c>
      <c r="U92" s="73">
        <v>5.49</v>
      </c>
      <c r="V92" s="366">
        <v>5.43</v>
      </c>
      <c r="W92" s="36">
        <v>5.43</v>
      </c>
      <c r="X92" s="36">
        <v>0</v>
      </c>
      <c r="Y92" s="36">
        <v>5.2400000000000002E-2</v>
      </c>
      <c r="Z92" s="51">
        <v>1.08</v>
      </c>
      <c r="AA92" s="84">
        <v>1.07</v>
      </c>
      <c r="AB92" s="53">
        <v>1.2699999999999999E-2</v>
      </c>
      <c r="AC92" s="367">
        <v>0</v>
      </c>
      <c r="AD92" s="397" t="s">
        <v>1533</v>
      </c>
      <c r="AE92" s="30" t="s">
        <v>1503</v>
      </c>
      <c r="AF92" s="419">
        <v>0.94</v>
      </c>
      <c r="AG92" s="380">
        <v>0.93700000000000006</v>
      </c>
      <c r="AH92" s="381">
        <v>3.2699999999999999E-3</v>
      </c>
      <c r="AI92" s="330">
        <f t="shared" si="1"/>
        <v>0.12962962962962973</v>
      </c>
    </row>
    <row r="93" spans="1:35" s="364" customFormat="1" ht="14.25" customHeight="1">
      <c r="A93" s="776" t="s">
        <v>1534</v>
      </c>
      <c r="B93" s="235" t="s">
        <v>1535</v>
      </c>
      <c r="C93" s="45" t="s">
        <v>1536</v>
      </c>
      <c r="D93" s="89" t="s">
        <v>1500</v>
      </c>
      <c r="E93" s="30" t="s">
        <v>1501</v>
      </c>
      <c r="F93" s="72">
        <v>1670</v>
      </c>
      <c r="G93" s="47" t="s">
        <v>294</v>
      </c>
      <c r="H93" s="55">
        <v>2010</v>
      </c>
      <c r="I93" s="75">
        <v>1970</v>
      </c>
      <c r="J93" s="49">
        <v>42.5</v>
      </c>
      <c r="K93" s="73">
        <v>6.45</v>
      </c>
      <c r="L93" s="366">
        <v>6.39</v>
      </c>
      <c r="M93" s="39">
        <v>6.39</v>
      </c>
      <c r="N93" s="39">
        <v>0</v>
      </c>
      <c r="O93" s="36">
        <v>5.45E-2</v>
      </c>
      <c r="P93" s="73">
        <v>0.35699999999999998</v>
      </c>
      <c r="Q93" s="366">
        <v>0.35499999999999998</v>
      </c>
      <c r="R93" s="36">
        <v>0.35499999999999998</v>
      </c>
      <c r="S93" s="36">
        <v>0</v>
      </c>
      <c r="T93" s="36">
        <v>2.0400000000000001E-3</v>
      </c>
      <c r="U93" s="73">
        <v>6.09</v>
      </c>
      <c r="V93" s="366">
        <v>6.04</v>
      </c>
      <c r="W93" s="36">
        <v>6.04</v>
      </c>
      <c r="X93" s="36">
        <v>0</v>
      </c>
      <c r="Y93" s="36">
        <v>5.2400000000000002E-2</v>
      </c>
      <c r="Z93" s="51">
        <v>1.1399999999999999</v>
      </c>
      <c r="AA93" s="84">
        <v>1.1299999999999999</v>
      </c>
      <c r="AB93" s="53">
        <v>1.2699999999999999E-2</v>
      </c>
      <c r="AC93" s="367">
        <v>0</v>
      </c>
      <c r="AD93" s="110" t="s">
        <v>1537</v>
      </c>
      <c r="AE93" s="30" t="s">
        <v>1503</v>
      </c>
      <c r="AF93" s="419">
        <v>0.99099999999999999</v>
      </c>
      <c r="AG93" s="380">
        <v>0.98699999999999999</v>
      </c>
      <c r="AH93" s="381">
        <v>3.2699999999999999E-3</v>
      </c>
      <c r="AI93" s="330">
        <f t="shared" si="1"/>
        <v>0.13070175438596485</v>
      </c>
    </row>
    <row r="94" spans="1:35" s="364" customFormat="1" ht="14.25" customHeight="1">
      <c r="A94" s="776" t="s">
        <v>1538</v>
      </c>
      <c r="B94" s="235" t="s">
        <v>1539</v>
      </c>
      <c r="C94" s="45" t="s">
        <v>1540</v>
      </c>
      <c r="D94" s="89" t="s">
        <v>1500</v>
      </c>
      <c r="E94" s="30" t="s">
        <v>1501</v>
      </c>
      <c r="F94" s="72">
        <v>1350</v>
      </c>
      <c r="G94" s="47" t="s">
        <v>294</v>
      </c>
      <c r="H94" s="55">
        <v>745</v>
      </c>
      <c r="I94" s="75">
        <v>702</v>
      </c>
      <c r="J94" s="49">
        <v>42.5</v>
      </c>
      <c r="K94" s="73">
        <v>1.9</v>
      </c>
      <c r="L94" s="366">
        <v>1.84</v>
      </c>
      <c r="M94" s="39">
        <v>1.84</v>
      </c>
      <c r="N94" s="39">
        <v>0</v>
      </c>
      <c r="O94" s="36">
        <v>5.45E-2</v>
      </c>
      <c r="P94" s="73">
        <v>0.128</v>
      </c>
      <c r="Q94" s="366">
        <v>0.126</v>
      </c>
      <c r="R94" s="36">
        <v>0.126</v>
      </c>
      <c r="S94" s="36">
        <v>0</v>
      </c>
      <c r="T94" s="36">
        <v>2.0400000000000001E-3</v>
      </c>
      <c r="U94" s="73">
        <v>1.77</v>
      </c>
      <c r="V94" s="366">
        <v>1.72</v>
      </c>
      <c r="W94" s="36">
        <v>1.72</v>
      </c>
      <c r="X94" s="36">
        <v>0</v>
      </c>
      <c r="Y94" s="36">
        <v>5.2400000000000002E-2</v>
      </c>
      <c r="Z94" s="51">
        <v>0.51</v>
      </c>
      <c r="AA94" s="84">
        <v>0.497</v>
      </c>
      <c r="AB94" s="53">
        <v>1.2699999999999999E-2</v>
      </c>
      <c r="AC94" s="367">
        <v>0</v>
      </c>
      <c r="AD94" s="110" t="s">
        <v>1541</v>
      </c>
      <c r="AE94" s="30" t="s">
        <v>1503</v>
      </c>
      <c r="AF94" s="419">
        <v>0.442</v>
      </c>
      <c r="AG94" s="380">
        <v>0.438</v>
      </c>
      <c r="AH94" s="381">
        <v>3.2699999999999999E-3</v>
      </c>
      <c r="AI94" s="330">
        <f t="shared" si="1"/>
        <v>0.13333333333333333</v>
      </c>
    </row>
    <row r="95" spans="1:35" s="364" customFormat="1" ht="14.25" customHeight="1">
      <c r="A95" s="387" t="s">
        <v>976</v>
      </c>
      <c r="B95" s="235" t="s">
        <v>1542</v>
      </c>
      <c r="C95" s="45" t="s">
        <v>1543</v>
      </c>
      <c r="D95" s="89" t="s">
        <v>1338</v>
      </c>
      <c r="E95" s="30" t="s">
        <v>1339</v>
      </c>
      <c r="F95" s="72">
        <v>2000</v>
      </c>
      <c r="G95" s="47" t="s">
        <v>294</v>
      </c>
      <c r="H95" s="55">
        <v>215</v>
      </c>
      <c r="I95" s="76">
        <v>172</v>
      </c>
      <c r="J95" s="49">
        <v>42.5</v>
      </c>
      <c r="K95" s="73">
        <v>0.46100000000000002</v>
      </c>
      <c r="L95" s="366">
        <v>0.40600000000000003</v>
      </c>
      <c r="M95" s="39">
        <v>0.40600000000000003</v>
      </c>
      <c r="N95" s="39">
        <v>0</v>
      </c>
      <c r="O95" s="36">
        <v>5.4800000000000001E-2</v>
      </c>
      <c r="P95" s="73">
        <v>3.1600000000000003E-2</v>
      </c>
      <c r="Q95" s="366">
        <v>2.9499999999999998E-2</v>
      </c>
      <c r="R95" s="36">
        <v>2.9499999999999998E-2</v>
      </c>
      <c r="S95" s="36">
        <v>0</v>
      </c>
      <c r="T95" s="36">
        <v>2.16E-3</v>
      </c>
      <c r="U95" s="73">
        <v>0.42899999999999999</v>
      </c>
      <c r="V95" s="366">
        <v>0.376</v>
      </c>
      <c r="W95" s="36">
        <v>0.376</v>
      </c>
      <c r="X95" s="36">
        <v>0</v>
      </c>
      <c r="Y95" s="36">
        <v>5.2600000000000001E-2</v>
      </c>
      <c r="Z95" s="51">
        <v>9.11E-2</v>
      </c>
      <c r="AA95" s="84">
        <v>7.8399999999999997E-2</v>
      </c>
      <c r="AB95" s="52">
        <v>1.2699999999999999E-2</v>
      </c>
      <c r="AC95" s="367">
        <v>0</v>
      </c>
      <c r="AD95" s="110" t="s">
        <v>1544</v>
      </c>
      <c r="AE95" s="30" t="s">
        <v>1341</v>
      </c>
      <c r="AF95" s="419">
        <v>6.1699999999999998E-2</v>
      </c>
      <c r="AG95" s="380">
        <v>5.8200000000000002E-2</v>
      </c>
      <c r="AH95" s="380">
        <v>3.5300000000000002E-3</v>
      </c>
      <c r="AI95" s="330">
        <f t="shared" si="1"/>
        <v>0.32272228320526897</v>
      </c>
    </row>
    <row r="96" spans="1:35" s="364" customFormat="1" ht="14.25" customHeight="1">
      <c r="A96" s="387" t="s">
        <v>974</v>
      </c>
      <c r="B96" s="235" t="s">
        <v>1545</v>
      </c>
      <c r="C96" s="45" t="s">
        <v>1546</v>
      </c>
      <c r="D96" s="89" t="s">
        <v>1338</v>
      </c>
      <c r="E96" s="30" t="s">
        <v>1339</v>
      </c>
      <c r="F96" s="72">
        <v>1850</v>
      </c>
      <c r="G96" s="47" t="s">
        <v>294</v>
      </c>
      <c r="H96" s="55">
        <v>206</v>
      </c>
      <c r="I96" s="75">
        <v>163</v>
      </c>
      <c r="J96" s="49">
        <v>42.5</v>
      </c>
      <c r="K96" s="73">
        <v>0.26700000000000002</v>
      </c>
      <c r="L96" s="366">
        <v>0.21299999999999999</v>
      </c>
      <c r="M96" s="39">
        <v>0.21299999999999999</v>
      </c>
      <c r="N96" s="39">
        <v>0</v>
      </c>
      <c r="O96" s="36">
        <v>5.4800000000000001E-2</v>
      </c>
      <c r="P96" s="73">
        <v>3.61E-2</v>
      </c>
      <c r="Q96" s="366">
        <v>3.4000000000000002E-2</v>
      </c>
      <c r="R96" s="36">
        <v>3.4000000000000002E-2</v>
      </c>
      <c r="S96" s="36">
        <v>0</v>
      </c>
      <c r="T96" s="36">
        <v>2.16E-3</v>
      </c>
      <c r="U96" s="73">
        <v>0.23100000000000001</v>
      </c>
      <c r="V96" s="366">
        <v>0.17899999999999999</v>
      </c>
      <c r="W96" s="36">
        <v>0.17899999999999999</v>
      </c>
      <c r="X96" s="36">
        <v>0</v>
      </c>
      <c r="Y96" s="36">
        <v>5.2600000000000001E-2</v>
      </c>
      <c r="Z96" s="50">
        <v>0.12</v>
      </c>
      <c r="AA96" s="79">
        <v>0.107</v>
      </c>
      <c r="AB96" s="53">
        <v>1.2699999999999999E-2</v>
      </c>
      <c r="AC96" s="367">
        <v>0</v>
      </c>
      <c r="AD96" s="110" t="s">
        <v>1547</v>
      </c>
      <c r="AE96" s="30" t="s">
        <v>1341</v>
      </c>
      <c r="AF96" s="379">
        <v>2.7799999999999998E-2</v>
      </c>
      <c r="AG96" s="390">
        <v>2.46E-2</v>
      </c>
      <c r="AH96" s="381">
        <v>3.2699999999999999E-3</v>
      </c>
      <c r="AI96" s="330">
        <f t="shared" si="1"/>
        <v>0.76833333333333342</v>
      </c>
    </row>
    <row r="97" spans="1:35" s="364" customFormat="1" ht="14.25" customHeight="1">
      <c r="A97" s="387" t="s">
        <v>1548</v>
      </c>
      <c r="B97" s="235" t="s">
        <v>1549</v>
      </c>
      <c r="C97" s="45" t="s">
        <v>1550</v>
      </c>
      <c r="D97" s="89" t="s">
        <v>1500</v>
      </c>
      <c r="E97" s="30" t="s">
        <v>1501</v>
      </c>
      <c r="F97" s="72">
        <v>250</v>
      </c>
      <c r="G97" s="47" t="s">
        <v>294</v>
      </c>
      <c r="H97" s="55">
        <v>964</v>
      </c>
      <c r="I97" s="75">
        <v>921</v>
      </c>
      <c r="J97" s="49">
        <v>42.5</v>
      </c>
      <c r="K97" s="73">
        <v>1.94</v>
      </c>
      <c r="L97" s="366">
        <v>1.88</v>
      </c>
      <c r="M97" s="39">
        <v>1.46</v>
      </c>
      <c r="N97" s="39">
        <v>0.42399999999999999</v>
      </c>
      <c r="O97" s="36">
        <v>5.45E-2</v>
      </c>
      <c r="P97" s="73">
        <v>0.14899999999999999</v>
      </c>
      <c r="Q97" s="366">
        <v>0.14599999999999999</v>
      </c>
      <c r="R97" s="36">
        <v>0.14599999999999999</v>
      </c>
      <c r="S97" s="36">
        <v>0</v>
      </c>
      <c r="T97" s="36">
        <v>2.0400000000000001E-3</v>
      </c>
      <c r="U97" s="73">
        <v>1.79</v>
      </c>
      <c r="V97" s="366">
        <v>1.74</v>
      </c>
      <c r="W97" s="36">
        <v>1.31</v>
      </c>
      <c r="X97" s="36">
        <v>0.42399999999999999</v>
      </c>
      <c r="Y97" s="36">
        <v>5.2400000000000002E-2</v>
      </c>
      <c r="Z97" s="50">
        <v>0.72699999999999998</v>
      </c>
      <c r="AA97" s="79">
        <v>0.71399999999999997</v>
      </c>
      <c r="AB97" s="53">
        <v>1.2699999999999999E-2</v>
      </c>
      <c r="AC97" s="367">
        <v>0</v>
      </c>
      <c r="AD97" s="110" t="s">
        <v>1551</v>
      </c>
      <c r="AE97" s="30" t="s">
        <v>1503</v>
      </c>
      <c r="AF97" s="379">
        <v>0.20699999999999999</v>
      </c>
      <c r="AG97" s="390">
        <v>0.20399999999999999</v>
      </c>
      <c r="AH97" s="381">
        <v>3.2699999999999999E-3</v>
      </c>
      <c r="AI97" s="330">
        <f t="shared" si="1"/>
        <v>0.71526822558459424</v>
      </c>
    </row>
    <row r="98" spans="1:35" s="364" customFormat="1" ht="14.25" customHeight="1">
      <c r="A98" s="776" t="s">
        <v>1552</v>
      </c>
      <c r="B98" s="235" t="s">
        <v>1553</v>
      </c>
      <c r="C98" s="45" t="s">
        <v>1554</v>
      </c>
      <c r="D98" s="89" t="s">
        <v>1500</v>
      </c>
      <c r="E98" s="30" t="s">
        <v>1501</v>
      </c>
      <c r="F98" s="72">
        <v>1550</v>
      </c>
      <c r="G98" s="47" t="s">
        <v>294</v>
      </c>
      <c r="H98" s="55">
        <v>507</v>
      </c>
      <c r="I98" s="75">
        <v>464</v>
      </c>
      <c r="J98" s="49">
        <v>42.5</v>
      </c>
      <c r="K98" s="73">
        <v>1.04</v>
      </c>
      <c r="L98" s="366">
        <v>0.98599999999999999</v>
      </c>
      <c r="M98" s="39">
        <v>0.98599999999999999</v>
      </c>
      <c r="N98" s="39">
        <v>0</v>
      </c>
      <c r="O98" s="36">
        <v>5.45E-2</v>
      </c>
      <c r="P98" s="73">
        <v>0.13900000000000001</v>
      </c>
      <c r="Q98" s="366">
        <v>0.13700000000000001</v>
      </c>
      <c r="R98" s="36">
        <v>0.13700000000000001</v>
      </c>
      <c r="S98" s="36">
        <v>0</v>
      </c>
      <c r="T98" s="36">
        <v>2.0400000000000001E-3</v>
      </c>
      <c r="U98" s="73">
        <v>0.90100000000000002</v>
      </c>
      <c r="V98" s="366">
        <v>0.84799999999999998</v>
      </c>
      <c r="W98" s="36">
        <v>0.84799999999999998</v>
      </c>
      <c r="X98" s="36">
        <v>0</v>
      </c>
      <c r="Y98" s="36">
        <v>5.2400000000000002E-2</v>
      </c>
      <c r="Z98" s="50">
        <v>0.35299999999999998</v>
      </c>
      <c r="AA98" s="79">
        <v>0.34100000000000003</v>
      </c>
      <c r="AB98" s="53">
        <v>1.2699999999999999E-2</v>
      </c>
      <c r="AC98" s="367">
        <v>0</v>
      </c>
      <c r="AD98" s="110" t="s">
        <v>1555</v>
      </c>
      <c r="AE98" s="30" t="s">
        <v>1503</v>
      </c>
      <c r="AF98" s="379">
        <v>0.30299999999999999</v>
      </c>
      <c r="AG98" s="390">
        <v>0.3</v>
      </c>
      <c r="AH98" s="381">
        <v>3.2699999999999999E-3</v>
      </c>
      <c r="AI98" s="330">
        <f t="shared" si="1"/>
        <v>0.14164305949008496</v>
      </c>
    </row>
    <row r="99" spans="1:35" s="364" customFormat="1" ht="14.25" customHeight="1">
      <c r="A99" s="776" t="s">
        <v>740</v>
      </c>
      <c r="B99" s="235" t="s">
        <v>1556</v>
      </c>
      <c r="C99" s="45" t="s">
        <v>1557</v>
      </c>
      <c r="D99" s="89" t="s">
        <v>1500</v>
      </c>
      <c r="E99" s="30" t="s">
        <v>1501</v>
      </c>
      <c r="F99" s="72">
        <v>1550</v>
      </c>
      <c r="G99" s="47" t="s">
        <v>294</v>
      </c>
      <c r="H99" s="55">
        <v>391</v>
      </c>
      <c r="I99" s="75">
        <v>348</v>
      </c>
      <c r="J99" s="49">
        <v>42.5</v>
      </c>
      <c r="K99" s="73">
        <v>0.78100000000000003</v>
      </c>
      <c r="L99" s="366">
        <v>0.72699999999999998</v>
      </c>
      <c r="M99" s="39">
        <v>0.72699999999999998</v>
      </c>
      <c r="N99" s="39">
        <v>0</v>
      </c>
      <c r="O99" s="36">
        <v>5.45E-2</v>
      </c>
      <c r="P99" s="73">
        <v>0.127</v>
      </c>
      <c r="Q99" s="366">
        <v>0.125</v>
      </c>
      <c r="R99" s="36">
        <v>0.125</v>
      </c>
      <c r="S99" s="36">
        <v>0</v>
      </c>
      <c r="T99" s="36">
        <v>2.0400000000000001E-3</v>
      </c>
      <c r="U99" s="73">
        <v>0.65400000000000003</v>
      </c>
      <c r="V99" s="366">
        <v>0.60099999999999998</v>
      </c>
      <c r="W99" s="36">
        <v>0.60099999999999998</v>
      </c>
      <c r="X99" s="36">
        <v>0</v>
      </c>
      <c r="Y99" s="36">
        <v>5.2400000000000002E-2</v>
      </c>
      <c r="Z99" s="50">
        <v>0.26100000000000001</v>
      </c>
      <c r="AA99" s="79">
        <v>0.248</v>
      </c>
      <c r="AB99" s="53">
        <v>1.2699999999999999E-2</v>
      </c>
      <c r="AC99" s="367">
        <v>0</v>
      </c>
      <c r="AD99" s="110" t="s">
        <v>1558</v>
      </c>
      <c r="AE99" s="30" t="s">
        <v>1503</v>
      </c>
      <c r="AF99" s="379">
        <v>9.6699999999999994E-2</v>
      </c>
      <c r="AG99" s="390">
        <v>9.35E-2</v>
      </c>
      <c r="AH99" s="381">
        <v>3.2699999999999999E-3</v>
      </c>
      <c r="AI99" s="330">
        <f t="shared" si="1"/>
        <v>0.6295019157088122</v>
      </c>
    </row>
    <row r="100" spans="1:35" s="364" customFormat="1" ht="14.25" customHeight="1">
      <c r="A100" s="357" t="s">
        <v>1559</v>
      </c>
      <c r="B100" s="807"/>
      <c r="C100" s="357" t="s">
        <v>1560</v>
      </c>
      <c r="D100" s="40"/>
      <c r="E100" s="41"/>
      <c r="F100" s="42" t="s">
        <v>1561</v>
      </c>
      <c r="G100" s="43"/>
      <c r="H100" s="358"/>
      <c r="I100" s="358"/>
      <c r="J100" s="392"/>
      <c r="K100" s="393"/>
      <c r="L100" s="423"/>
      <c r="M100" s="373"/>
      <c r="N100" s="373"/>
      <c r="O100" s="424"/>
      <c r="P100" s="423"/>
      <c r="Q100" s="423"/>
      <c r="R100" s="373"/>
      <c r="S100" s="373"/>
      <c r="T100" s="423"/>
      <c r="U100" s="426"/>
      <c r="V100" s="423"/>
      <c r="W100" s="373"/>
      <c r="X100" s="373"/>
      <c r="Y100" s="423"/>
      <c r="Z100" s="362"/>
      <c r="AA100" s="360"/>
      <c r="AB100" s="360"/>
      <c r="AC100" s="360"/>
      <c r="AD100" s="363" t="s">
        <v>1562</v>
      </c>
      <c r="AE100" s="41"/>
      <c r="AI100" s="330" t="e">
        <f t="shared" si="1"/>
        <v>#DIV/0!</v>
      </c>
    </row>
    <row r="101" spans="1:35" s="364" customFormat="1" ht="14.25" customHeight="1">
      <c r="A101" s="387" t="s">
        <v>830</v>
      </c>
      <c r="B101" s="235" t="s">
        <v>1563</v>
      </c>
      <c r="C101" s="45" t="s">
        <v>1564</v>
      </c>
      <c r="D101" s="376" t="s">
        <v>1565</v>
      </c>
      <c r="E101" s="30" t="s">
        <v>1566</v>
      </c>
      <c r="F101" s="47" t="s">
        <v>1134</v>
      </c>
      <c r="G101" s="47" t="s">
        <v>1141</v>
      </c>
      <c r="H101" s="33">
        <v>328000</v>
      </c>
      <c r="I101" s="86">
        <v>313000</v>
      </c>
      <c r="J101" s="34">
        <v>15500</v>
      </c>
      <c r="K101" s="92">
        <v>775</v>
      </c>
      <c r="L101" s="366">
        <v>769</v>
      </c>
      <c r="M101" s="39">
        <v>769</v>
      </c>
      <c r="N101" s="39">
        <v>0</v>
      </c>
      <c r="O101" s="36">
        <v>5.7</v>
      </c>
      <c r="P101" s="92">
        <v>72.099999999999994</v>
      </c>
      <c r="Q101" s="366">
        <v>71.599999999999994</v>
      </c>
      <c r="R101" s="36">
        <v>71.599999999999994</v>
      </c>
      <c r="S101" s="36">
        <v>0</v>
      </c>
      <c r="T101" s="36">
        <v>0.47899999999999998</v>
      </c>
      <c r="U101" s="92">
        <v>703</v>
      </c>
      <c r="V101" s="366">
        <v>698</v>
      </c>
      <c r="W101" s="36">
        <v>698</v>
      </c>
      <c r="X101" s="36">
        <v>0</v>
      </c>
      <c r="Y101" s="36">
        <v>5.22</v>
      </c>
      <c r="Z101" s="38">
        <v>182</v>
      </c>
      <c r="AA101" s="90">
        <v>169</v>
      </c>
      <c r="AB101" s="39">
        <v>13.1</v>
      </c>
      <c r="AC101" s="367">
        <v>0</v>
      </c>
      <c r="AD101" s="110" t="s">
        <v>1567</v>
      </c>
      <c r="AE101" s="30" t="s">
        <v>1568</v>
      </c>
      <c r="AF101" s="369">
        <v>108</v>
      </c>
      <c r="AG101" s="370">
        <v>96.1</v>
      </c>
      <c r="AH101" s="370">
        <v>11.7</v>
      </c>
      <c r="AI101" s="330">
        <f t="shared" si="1"/>
        <v>0.40659340659340659</v>
      </c>
    </row>
    <row r="102" spans="1:35" s="364" customFormat="1" ht="14.25" customHeight="1">
      <c r="A102" s="776" t="s">
        <v>798</v>
      </c>
      <c r="B102" s="235" t="s">
        <v>1569</v>
      </c>
      <c r="C102" s="45" t="s">
        <v>797</v>
      </c>
      <c r="D102" s="44" t="s">
        <v>1570</v>
      </c>
      <c r="E102" s="30" t="s">
        <v>1571</v>
      </c>
      <c r="F102" s="47">
        <v>7.1</v>
      </c>
      <c r="G102" s="47" t="s">
        <v>1141</v>
      </c>
      <c r="H102" s="33">
        <v>74800</v>
      </c>
      <c r="I102" s="86">
        <v>66600</v>
      </c>
      <c r="J102" s="34">
        <v>8270</v>
      </c>
      <c r="K102" s="92">
        <v>216</v>
      </c>
      <c r="L102" s="366">
        <v>215</v>
      </c>
      <c r="M102" s="39">
        <v>215</v>
      </c>
      <c r="N102" s="39">
        <v>0</v>
      </c>
      <c r="O102" s="36">
        <v>0.92</v>
      </c>
      <c r="P102" s="92">
        <v>23.9</v>
      </c>
      <c r="Q102" s="366">
        <v>23.8</v>
      </c>
      <c r="R102" s="36">
        <v>23.8</v>
      </c>
      <c r="S102" s="36">
        <v>0</v>
      </c>
      <c r="T102" s="36">
        <v>0.05</v>
      </c>
      <c r="U102" s="92">
        <v>192</v>
      </c>
      <c r="V102" s="366">
        <v>191</v>
      </c>
      <c r="W102" s="36">
        <v>191</v>
      </c>
      <c r="X102" s="36">
        <v>0</v>
      </c>
      <c r="Y102" s="36">
        <v>0.87</v>
      </c>
      <c r="Z102" s="38">
        <v>43.3</v>
      </c>
      <c r="AA102" s="90">
        <v>35.700000000000003</v>
      </c>
      <c r="AB102" s="39">
        <v>7.65</v>
      </c>
      <c r="AC102" s="367">
        <v>0</v>
      </c>
      <c r="AD102" s="110" t="s">
        <v>1572</v>
      </c>
      <c r="AE102" s="30" t="s">
        <v>1573</v>
      </c>
      <c r="AF102" s="369">
        <v>29.7</v>
      </c>
      <c r="AG102" s="370">
        <v>21.2</v>
      </c>
      <c r="AH102" s="370">
        <v>8.5299999999999994</v>
      </c>
      <c r="AI102" s="330">
        <f t="shared" si="1"/>
        <v>0.31408775981524245</v>
      </c>
    </row>
    <row r="103" spans="1:35" s="389" customFormat="1" ht="14.25" customHeight="1">
      <c r="A103" s="396" t="s">
        <v>1574</v>
      </c>
      <c r="B103" s="235" t="s">
        <v>1575</v>
      </c>
      <c r="C103" s="30" t="s">
        <v>1576</v>
      </c>
      <c r="D103" s="89" t="s">
        <v>1298</v>
      </c>
      <c r="E103" s="30" t="s">
        <v>1299</v>
      </c>
      <c r="F103" s="32"/>
      <c r="G103" s="32"/>
      <c r="H103" s="150"/>
      <c r="I103" s="151"/>
      <c r="J103" s="151"/>
      <c r="K103" s="427"/>
      <c r="L103" s="367"/>
      <c r="M103" s="405"/>
      <c r="N103" s="405"/>
      <c r="O103" s="367"/>
      <c r="P103" s="427"/>
      <c r="Q103" s="367"/>
      <c r="R103" s="367"/>
      <c r="S103" s="367"/>
      <c r="T103" s="367"/>
      <c r="U103" s="427"/>
      <c r="V103" s="367"/>
      <c r="W103" s="367"/>
      <c r="X103" s="367"/>
      <c r="Y103" s="367"/>
      <c r="Z103" s="428"/>
      <c r="AA103" s="405"/>
      <c r="AB103" s="405"/>
      <c r="AC103" s="367"/>
      <c r="AD103" s="397" t="s">
        <v>1577</v>
      </c>
      <c r="AE103" s="30" t="s">
        <v>1456</v>
      </c>
      <c r="AI103" s="330" t="e">
        <f t="shared" si="1"/>
        <v>#DIV/0!</v>
      </c>
    </row>
    <row r="104" spans="1:35" s="389" customFormat="1" ht="14.25" customHeight="1">
      <c r="A104" s="388" t="s">
        <v>1578</v>
      </c>
      <c r="B104" s="808" t="s">
        <v>1579</v>
      </c>
      <c r="C104" s="61" t="s">
        <v>1580</v>
      </c>
      <c r="D104" s="62" t="s">
        <v>1298</v>
      </c>
      <c r="E104" s="61" t="s">
        <v>1299</v>
      </c>
      <c r="F104" s="64">
        <v>33.6</v>
      </c>
      <c r="G104" s="64" t="s">
        <v>1581</v>
      </c>
      <c r="H104" s="429">
        <v>44886.240000000005</v>
      </c>
      <c r="I104" s="430">
        <v>43680</v>
      </c>
      <c r="J104" s="430">
        <v>1206.24</v>
      </c>
      <c r="K104" s="431">
        <v>91.160831999999999</v>
      </c>
      <c r="L104" s="414">
        <v>89.342399999999998</v>
      </c>
      <c r="M104" s="414">
        <v>89.342399999999998</v>
      </c>
      <c r="N104" s="414">
        <v>0</v>
      </c>
      <c r="O104" s="414">
        <v>1.818432</v>
      </c>
      <c r="P104" s="431">
        <v>17.166912000000004</v>
      </c>
      <c r="Q104" s="414">
        <v>17.102399999999999</v>
      </c>
      <c r="R104" s="414">
        <v>17.102399999999999</v>
      </c>
      <c r="S104" s="414">
        <v>0</v>
      </c>
      <c r="T104" s="414">
        <v>6.4512E-2</v>
      </c>
      <c r="U104" s="431">
        <v>73.993920000000003</v>
      </c>
      <c r="V104" s="414">
        <v>72.239999999999995</v>
      </c>
      <c r="W104" s="414">
        <v>72.239999999999995</v>
      </c>
      <c r="X104" s="414">
        <v>0</v>
      </c>
      <c r="Y104" s="414">
        <v>1.7539200000000001</v>
      </c>
      <c r="Z104" s="432">
        <v>29.762880000000003</v>
      </c>
      <c r="AA104" s="414">
        <v>29.332800000000002</v>
      </c>
      <c r="AB104" s="414">
        <v>0.43008000000000002</v>
      </c>
      <c r="AC104" s="414">
        <v>0</v>
      </c>
      <c r="AD104" s="418" t="s">
        <v>1582</v>
      </c>
      <c r="AE104" s="61" t="s">
        <v>1456</v>
      </c>
      <c r="AI104" s="330">
        <f t="shared" si="1"/>
        <v>1</v>
      </c>
    </row>
    <row r="105" spans="1:35" s="389" customFormat="1" ht="14.25" customHeight="1">
      <c r="A105" s="388" t="s">
        <v>1583</v>
      </c>
      <c r="B105" s="808" t="s">
        <v>1584</v>
      </c>
      <c r="C105" s="61" t="s">
        <v>1585</v>
      </c>
      <c r="D105" s="62" t="s">
        <v>1298</v>
      </c>
      <c r="E105" s="61" t="s">
        <v>1299</v>
      </c>
      <c r="F105" s="64">
        <v>40.299999999999997</v>
      </c>
      <c r="G105" s="64" t="s">
        <v>1581</v>
      </c>
      <c r="H105" s="429">
        <v>53836.77</v>
      </c>
      <c r="I105" s="430">
        <v>52389.999999999993</v>
      </c>
      <c r="J105" s="430">
        <v>1446.7699999999998</v>
      </c>
      <c r="K105" s="431">
        <v>109.338736</v>
      </c>
      <c r="L105" s="414">
        <v>107.15769999999999</v>
      </c>
      <c r="M105" s="414">
        <v>107.15769999999999</v>
      </c>
      <c r="N105" s="414">
        <v>0</v>
      </c>
      <c r="O105" s="414">
        <v>2.1810359999999998</v>
      </c>
      <c r="P105" s="431">
        <v>20.590076</v>
      </c>
      <c r="Q105" s="414">
        <v>20.512699999999999</v>
      </c>
      <c r="R105" s="414">
        <v>20.512699999999999</v>
      </c>
      <c r="S105" s="414">
        <v>0</v>
      </c>
      <c r="T105" s="414">
        <v>7.7376E-2</v>
      </c>
      <c r="U105" s="431">
        <v>88.748659999999987</v>
      </c>
      <c r="V105" s="414">
        <v>86.644999999999996</v>
      </c>
      <c r="W105" s="414">
        <v>86.644999999999996</v>
      </c>
      <c r="X105" s="414">
        <v>0</v>
      </c>
      <c r="Y105" s="414">
        <v>2.1036600000000001</v>
      </c>
      <c r="Z105" s="432">
        <v>35.697739999999996</v>
      </c>
      <c r="AA105" s="414">
        <v>35.181899999999999</v>
      </c>
      <c r="AB105" s="414">
        <v>0.51583999999999997</v>
      </c>
      <c r="AC105" s="414">
        <v>0</v>
      </c>
      <c r="AD105" s="418" t="s">
        <v>1586</v>
      </c>
      <c r="AE105" s="61" t="s">
        <v>1456</v>
      </c>
      <c r="AI105" s="330">
        <f t="shared" si="1"/>
        <v>1</v>
      </c>
    </row>
    <row r="106" spans="1:35" s="364" customFormat="1" ht="14.25" customHeight="1">
      <c r="A106" s="776" t="s">
        <v>1587</v>
      </c>
      <c r="B106" s="235" t="s">
        <v>1588</v>
      </c>
      <c r="C106" s="45" t="s">
        <v>1589</v>
      </c>
      <c r="D106" s="44" t="s">
        <v>1590</v>
      </c>
      <c r="E106" s="30" t="s">
        <v>1591</v>
      </c>
      <c r="F106" s="47">
        <v>11.6</v>
      </c>
      <c r="G106" s="47" t="s">
        <v>1141</v>
      </c>
      <c r="H106" s="33">
        <v>73300</v>
      </c>
      <c r="I106" s="86">
        <v>58300</v>
      </c>
      <c r="J106" s="34">
        <v>15000</v>
      </c>
      <c r="K106" s="92">
        <v>281</v>
      </c>
      <c r="L106" s="366">
        <v>278</v>
      </c>
      <c r="M106" s="39">
        <v>215</v>
      </c>
      <c r="N106" s="36">
        <v>63.2</v>
      </c>
      <c r="O106" s="36">
        <v>3.25</v>
      </c>
      <c r="P106" s="92">
        <v>83.7</v>
      </c>
      <c r="Q106" s="366">
        <v>83.5</v>
      </c>
      <c r="R106" s="36">
        <v>46.7</v>
      </c>
      <c r="S106" s="36">
        <v>36.700000000000003</v>
      </c>
      <c r="T106" s="36">
        <v>0.2</v>
      </c>
      <c r="U106" s="92">
        <v>198</v>
      </c>
      <c r="V106" s="366">
        <v>195</v>
      </c>
      <c r="W106" s="36">
        <v>168</v>
      </c>
      <c r="X106" s="36">
        <v>26.5</v>
      </c>
      <c r="Y106" s="36">
        <v>3.05</v>
      </c>
      <c r="Z106" s="38">
        <v>45.9</v>
      </c>
      <c r="AA106" s="90">
        <v>33.299999999999997</v>
      </c>
      <c r="AB106" s="39">
        <v>12.6</v>
      </c>
      <c r="AC106" s="367">
        <v>3.28</v>
      </c>
      <c r="AD106" s="110" t="s">
        <v>1592</v>
      </c>
      <c r="AE106" s="30" t="s">
        <v>1593</v>
      </c>
      <c r="AF106" s="369">
        <v>30.6</v>
      </c>
      <c r="AG106" s="370">
        <v>27.8</v>
      </c>
      <c r="AH106" s="370">
        <v>2.81</v>
      </c>
      <c r="AI106" s="330">
        <f t="shared" si="1"/>
        <v>0.33333333333333326</v>
      </c>
    </row>
    <row r="107" spans="1:35" s="364" customFormat="1" ht="14.25" customHeight="1">
      <c r="A107" s="776" t="s">
        <v>1594</v>
      </c>
      <c r="B107" s="235" t="s">
        <v>1595</v>
      </c>
      <c r="C107" s="45" t="s">
        <v>1596</v>
      </c>
      <c r="D107" s="44" t="s">
        <v>1597</v>
      </c>
      <c r="E107" s="30" t="s">
        <v>1598</v>
      </c>
      <c r="F107" s="47">
        <v>78</v>
      </c>
      <c r="G107" s="47" t="s">
        <v>1141</v>
      </c>
      <c r="H107" s="33">
        <v>11000</v>
      </c>
      <c r="I107" s="86">
        <v>7670</v>
      </c>
      <c r="J107" s="34">
        <v>3310</v>
      </c>
      <c r="K107" s="92">
        <v>28.4</v>
      </c>
      <c r="L107" s="366">
        <v>24.2</v>
      </c>
      <c r="M107" s="39">
        <v>24.2</v>
      </c>
      <c r="N107" s="39">
        <v>0</v>
      </c>
      <c r="O107" s="36">
        <v>4.2699999999999996</v>
      </c>
      <c r="P107" s="92">
        <v>2.0299999999999998</v>
      </c>
      <c r="Q107" s="366">
        <v>1.87</v>
      </c>
      <c r="R107" s="36">
        <v>1.87</v>
      </c>
      <c r="S107" s="36">
        <v>0</v>
      </c>
      <c r="T107" s="36">
        <v>0.16900000000000001</v>
      </c>
      <c r="U107" s="92">
        <v>26.4</v>
      </c>
      <c r="V107" s="366">
        <v>22.3</v>
      </c>
      <c r="W107" s="36">
        <v>22.3</v>
      </c>
      <c r="X107" s="36">
        <v>0</v>
      </c>
      <c r="Y107" s="36">
        <v>4.0999999999999996</v>
      </c>
      <c r="Z107" s="38">
        <v>5.74</v>
      </c>
      <c r="AA107" s="90">
        <v>4.75</v>
      </c>
      <c r="AB107" s="39">
        <v>0.98899999999999999</v>
      </c>
      <c r="AC107" s="367">
        <v>0</v>
      </c>
      <c r="AD107" s="110" t="s">
        <v>1599</v>
      </c>
      <c r="AE107" s="30" t="s">
        <v>1600</v>
      </c>
      <c r="AF107" s="419">
        <v>4.6399999999999997</v>
      </c>
      <c r="AG107" s="380">
        <v>4.45</v>
      </c>
      <c r="AH107" s="381">
        <v>0.188</v>
      </c>
      <c r="AI107" s="330">
        <f t="shared" si="1"/>
        <v>0.191637630662021</v>
      </c>
    </row>
    <row r="108" spans="1:35" s="364" customFormat="1" ht="14.25" customHeight="1">
      <c r="A108" s="776" t="s">
        <v>1601</v>
      </c>
      <c r="B108" s="235" t="s">
        <v>1602</v>
      </c>
      <c r="C108" s="45" t="s">
        <v>1603</v>
      </c>
      <c r="D108" s="45" t="s">
        <v>1604</v>
      </c>
      <c r="E108" s="30" t="s">
        <v>1605</v>
      </c>
      <c r="F108" s="47">
        <v>2.4</v>
      </c>
      <c r="G108" s="47" t="s">
        <v>1141</v>
      </c>
      <c r="H108" s="33">
        <v>31700</v>
      </c>
      <c r="I108" s="86">
        <v>25700</v>
      </c>
      <c r="J108" s="34">
        <v>6000</v>
      </c>
      <c r="K108" s="92">
        <v>78.900000000000006</v>
      </c>
      <c r="L108" s="366">
        <v>78.2</v>
      </c>
      <c r="M108" s="39">
        <v>69.2</v>
      </c>
      <c r="N108" s="36">
        <v>9.02</v>
      </c>
      <c r="O108" s="36">
        <v>0.68200000000000005</v>
      </c>
      <c r="P108" s="92">
        <v>3.54</v>
      </c>
      <c r="Q108" s="366">
        <v>3.51</v>
      </c>
      <c r="R108" s="36">
        <v>3.51</v>
      </c>
      <c r="S108" s="36">
        <v>0</v>
      </c>
      <c r="T108" s="36">
        <v>2.8500000000000001E-2</v>
      </c>
      <c r="U108" s="92">
        <v>75.400000000000006</v>
      </c>
      <c r="V108" s="366">
        <v>74.7</v>
      </c>
      <c r="W108" s="36">
        <v>65.7</v>
      </c>
      <c r="X108" s="36">
        <v>9.02</v>
      </c>
      <c r="Y108" s="36">
        <v>0.65400000000000003</v>
      </c>
      <c r="Z108" s="38">
        <v>22.1</v>
      </c>
      <c r="AA108" s="90">
        <v>16.600000000000001</v>
      </c>
      <c r="AB108" s="39">
        <v>5.51</v>
      </c>
      <c r="AC108" s="367">
        <v>0</v>
      </c>
      <c r="AD108" s="110" t="s">
        <v>1606</v>
      </c>
      <c r="AE108" s="30" t="s">
        <v>1607</v>
      </c>
      <c r="AF108" s="369">
        <v>14.8</v>
      </c>
      <c r="AG108" s="370">
        <v>13.6</v>
      </c>
      <c r="AH108" s="370">
        <v>1.1100000000000001</v>
      </c>
      <c r="AI108" s="330">
        <f t="shared" si="1"/>
        <v>0.33031674208144796</v>
      </c>
    </row>
    <row r="109" spans="1:35" s="364" customFormat="1" ht="14.25" customHeight="1">
      <c r="A109" s="387" t="s">
        <v>1608</v>
      </c>
      <c r="B109" s="235" t="s">
        <v>1609</v>
      </c>
      <c r="C109" s="45" t="s">
        <v>1610</v>
      </c>
      <c r="D109" s="44" t="s">
        <v>1611</v>
      </c>
      <c r="E109" s="30" t="s">
        <v>1612</v>
      </c>
      <c r="F109" s="32" t="s">
        <v>1134</v>
      </c>
      <c r="G109" s="32" t="s">
        <v>1581</v>
      </c>
      <c r="H109" s="33">
        <v>246000</v>
      </c>
      <c r="I109" s="86">
        <v>230000</v>
      </c>
      <c r="J109" s="34">
        <v>16200</v>
      </c>
      <c r="K109" s="92">
        <v>630</v>
      </c>
      <c r="L109" s="366">
        <v>628</v>
      </c>
      <c r="M109" s="39">
        <v>628</v>
      </c>
      <c r="N109" s="39">
        <v>0</v>
      </c>
      <c r="O109" s="36">
        <v>2.08</v>
      </c>
      <c r="P109" s="92">
        <v>77</v>
      </c>
      <c r="Q109" s="366">
        <v>76.900000000000006</v>
      </c>
      <c r="R109" s="36">
        <v>76.900000000000006</v>
      </c>
      <c r="S109" s="36">
        <v>0</v>
      </c>
      <c r="T109" s="36">
        <v>0.104</v>
      </c>
      <c r="U109" s="92">
        <v>553</v>
      </c>
      <c r="V109" s="366">
        <v>551</v>
      </c>
      <c r="W109" s="36">
        <v>551</v>
      </c>
      <c r="X109" s="36">
        <v>0</v>
      </c>
      <c r="Y109" s="36">
        <v>1.98</v>
      </c>
      <c r="Z109" s="38">
        <v>132</v>
      </c>
      <c r="AA109" s="90">
        <v>117</v>
      </c>
      <c r="AB109" s="39">
        <v>14.9</v>
      </c>
      <c r="AC109" s="367">
        <v>0</v>
      </c>
      <c r="AD109" s="397" t="s">
        <v>1613</v>
      </c>
      <c r="AE109" s="30" t="s">
        <v>1614</v>
      </c>
      <c r="AF109" s="369">
        <v>200</v>
      </c>
      <c r="AG109" s="370">
        <v>192</v>
      </c>
      <c r="AH109" s="370">
        <v>8.44</v>
      </c>
      <c r="AI109" s="330">
        <f t="shared" si="1"/>
        <v>-0.51515151515151514</v>
      </c>
    </row>
    <row r="110" spans="1:35" s="364" customFormat="1" ht="14.25" customHeight="1" outlineLevel="1">
      <c r="A110" s="382" t="s">
        <v>1615</v>
      </c>
      <c r="B110" s="61" t="s">
        <v>1616</v>
      </c>
      <c r="C110" s="61" t="s">
        <v>1617</v>
      </c>
      <c r="D110" s="95" t="s">
        <v>1618</v>
      </c>
      <c r="E110" s="61" t="s">
        <v>1619</v>
      </c>
      <c r="F110" s="63" t="s">
        <v>1134</v>
      </c>
      <c r="G110" s="64" t="s">
        <v>1581</v>
      </c>
      <c r="H110" s="65">
        <v>177000</v>
      </c>
      <c r="I110" s="66">
        <v>171000</v>
      </c>
      <c r="J110" s="66">
        <v>6240</v>
      </c>
      <c r="K110" s="67">
        <v>247</v>
      </c>
      <c r="L110" s="108">
        <v>247</v>
      </c>
      <c r="M110" s="108">
        <v>247</v>
      </c>
      <c r="N110" s="108">
        <v>0</v>
      </c>
      <c r="O110" s="108">
        <v>0.495</v>
      </c>
      <c r="P110" s="67">
        <v>53.9</v>
      </c>
      <c r="Q110" s="108">
        <v>53.9</v>
      </c>
      <c r="R110" s="108">
        <v>53.9</v>
      </c>
      <c r="S110" s="108">
        <v>0</v>
      </c>
      <c r="T110" s="68">
        <v>1.5599999999999999E-2</v>
      </c>
      <c r="U110" s="68">
        <v>193</v>
      </c>
      <c r="V110" s="68">
        <v>193</v>
      </c>
      <c r="W110" s="108">
        <v>193</v>
      </c>
      <c r="X110" s="108">
        <v>0</v>
      </c>
      <c r="Y110" s="68">
        <v>0.48</v>
      </c>
      <c r="Z110" s="70">
        <v>55.6</v>
      </c>
      <c r="AA110" s="69">
        <v>49.6</v>
      </c>
      <c r="AB110" s="71">
        <v>5.98</v>
      </c>
      <c r="AC110" s="385">
        <v>0</v>
      </c>
      <c r="AD110" s="61" t="s">
        <v>1620</v>
      </c>
      <c r="AE110" s="61" t="s">
        <v>1621</v>
      </c>
      <c r="AI110" s="330">
        <f t="shared" si="1"/>
        <v>1</v>
      </c>
    </row>
    <row r="111" spans="1:35" s="389" customFormat="1" ht="14.25" customHeight="1">
      <c r="A111" s="387" t="s">
        <v>1622</v>
      </c>
      <c r="B111" s="235" t="s">
        <v>1623</v>
      </c>
      <c r="C111" s="45" t="s">
        <v>1624</v>
      </c>
      <c r="D111" s="89" t="s">
        <v>1625</v>
      </c>
      <c r="E111" s="30" t="s">
        <v>1626</v>
      </c>
      <c r="F111" s="32" t="s">
        <v>1134</v>
      </c>
      <c r="G111" s="32" t="s">
        <v>1581</v>
      </c>
      <c r="H111" s="33">
        <v>77700</v>
      </c>
      <c r="I111" s="34">
        <v>70600</v>
      </c>
      <c r="J111" s="34">
        <v>7120</v>
      </c>
      <c r="K111" s="92">
        <v>362</v>
      </c>
      <c r="L111" s="36">
        <v>360</v>
      </c>
      <c r="M111" s="39">
        <v>264</v>
      </c>
      <c r="N111" s="39">
        <v>95.5</v>
      </c>
      <c r="O111" s="36">
        <v>2.0299999999999998</v>
      </c>
      <c r="P111" s="92">
        <v>190</v>
      </c>
      <c r="Q111" s="36">
        <v>190</v>
      </c>
      <c r="R111" s="36">
        <v>104</v>
      </c>
      <c r="S111" s="36">
        <v>85.7</v>
      </c>
      <c r="T111" s="36">
        <v>3.49E-2</v>
      </c>
      <c r="U111" s="92">
        <v>172</v>
      </c>
      <c r="V111" s="36">
        <v>170</v>
      </c>
      <c r="W111" s="36">
        <v>160</v>
      </c>
      <c r="X111" s="36">
        <v>9.8000000000000007</v>
      </c>
      <c r="Y111" s="36">
        <v>1.99</v>
      </c>
      <c r="Z111" s="38">
        <v>36.200000000000003</v>
      </c>
      <c r="AA111" s="39">
        <v>30.3</v>
      </c>
      <c r="AB111" s="88">
        <v>5.89</v>
      </c>
      <c r="AC111" s="367">
        <v>7.5</v>
      </c>
      <c r="AD111" s="397" t="s">
        <v>1627</v>
      </c>
      <c r="AE111" s="30" t="s">
        <v>1628</v>
      </c>
      <c r="AF111" s="369">
        <v>69.8</v>
      </c>
      <c r="AG111" s="370">
        <v>51.7</v>
      </c>
      <c r="AH111" s="433">
        <v>18</v>
      </c>
      <c r="AI111" s="330">
        <f t="shared" si="1"/>
        <v>-0.92817679558011024</v>
      </c>
    </row>
    <row r="112" spans="1:35" s="389" customFormat="1" ht="14.25" customHeight="1" outlineLevel="1">
      <c r="A112" s="434" t="s">
        <v>1629</v>
      </c>
      <c r="B112" s="808" t="s">
        <v>1630</v>
      </c>
      <c r="C112" s="61" t="s">
        <v>1631</v>
      </c>
      <c r="D112" s="62" t="s">
        <v>1632</v>
      </c>
      <c r="E112" s="61" t="s">
        <v>1633</v>
      </c>
      <c r="F112" s="64" t="s">
        <v>1134</v>
      </c>
      <c r="G112" s="64" t="s">
        <v>1581</v>
      </c>
      <c r="H112" s="65">
        <v>59300</v>
      </c>
      <c r="I112" s="66">
        <v>55400</v>
      </c>
      <c r="J112" s="66">
        <v>3960</v>
      </c>
      <c r="K112" s="435">
        <v>253</v>
      </c>
      <c r="L112" s="383">
        <v>252</v>
      </c>
      <c r="M112" s="108">
        <v>198</v>
      </c>
      <c r="N112" s="108">
        <v>54</v>
      </c>
      <c r="O112" s="108">
        <v>1.25</v>
      </c>
      <c r="P112" s="435">
        <v>114</v>
      </c>
      <c r="Q112" s="383">
        <v>114</v>
      </c>
      <c r="R112" s="108">
        <v>67.3</v>
      </c>
      <c r="S112" s="108">
        <v>47</v>
      </c>
      <c r="T112" s="108">
        <v>2.2100000000000002E-2</v>
      </c>
      <c r="U112" s="435">
        <v>139</v>
      </c>
      <c r="V112" s="383">
        <v>138</v>
      </c>
      <c r="W112" s="108">
        <v>131</v>
      </c>
      <c r="X112" s="108">
        <v>7.03</v>
      </c>
      <c r="Y112" s="108">
        <v>1.23</v>
      </c>
      <c r="Z112" s="436">
        <v>25.4</v>
      </c>
      <c r="AA112" s="108">
        <v>22</v>
      </c>
      <c r="AB112" s="68">
        <v>3.36</v>
      </c>
      <c r="AC112" s="414">
        <v>4.1100000000000003</v>
      </c>
      <c r="AD112" s="61" t="s">
        <v>1634</v>
      </c>
      <c r="AE112" s="61" t="s">
        <v>1635</v>
      </c>
      <c r="AF112" s="14"/>
      <c r="AG112" s="14"/>
      <c r="AH112" s="14"/>
      <c r="AI112" s="330">
        <f t="shared" si="1"/>
        <v>1</v>
      </c>
    </row>
    <row r="113" spans="1:35" s="389" customFormat="1" ht="14.25" customHeight="1">
      <c r="A113" s="387" t="s">
        <v>822</v>
      </c>
      <c r="B113" s="235" t="s">
        <v>1636</v>
      </c>
      <c r="C113" s="422" t="s">
        <v>1637</v>
      </c>
      <c r="D113" s="89" t="s">
        <v>1638</v>
      </c>
      <c r="E113" s="30" t="s">
        <v>1639</v>
      </c>
      <c r="F113" s="32" t="s">
        <v>1134</v>
      </c>
      <c r="G113" s="32" t="s">
        <v>1581</v>
      </c>
      <c r="H113" s="33">
        <v>134000</v>
      </c>
      <c r="I113" s="34">
        <v>125000</v>
      </c>
      <c r="J113" s="34">
        <v>8230</v>
      </c>
      <c r="K113" s="92">
        <v>479</v>
      </c>
      <c r="L113" s="36">
        <v>477</v>
      </c>
      <c r="M113" s="39">
        <v>393</v>
      </c>
      <c r="N113" s="39">
        <v>83.6</v>
      </c>
      <c r="O113" s="36">
        <v>1.93</v>
      </c>
      <c r="P113" s="92">
        <v>179</v>
      </c>
      <c r="Q113" s="36">
        <v>179</v>
      </c>
      <c r="R113" s="36">
        <v>107</v>
      </c>
      <c r="S113" s="36">
        <v>71.400000000000006</v>
      </c>
      <c r="T113" s="36">
        <v>3.61E-2</v>
      </c>
      <c r="U113" s="92">
        <v>300</v>
      </c>
      <c r="V113" s="36">
        <v>298</v>
      </c>
      <c r="W113" s="36">
        <v>286</v>
      </c>
      <c r="X113" s="36">
        <v>12.2</v>
      </c>
      <c r="Y113" s="36">
        <v>1.89</v>
      </c>
      <c r="Z113" s="38">
        <v>65.7</v>
      </c>
      <c r="AA113" s="39">
        <v>58.6</v>
      </c>
      <c r="AB113" s="88">
        <v>7.11</v>
      </c>
      <c r="AC113" s="367">
        <v>6.25</v>
      </c>
      <c r="AD113" s="437" t="s">
        <v>304</v>
      </c>
      <c r="AE113" s="30" t="s">
        <v>1640</v>
      </c>
      <c r="AF113" s="369">
        <v>118</v>
      </c>
      <c r="AG113" s="370">
        <v>95.4</v>
      </c>
      <c r="AH113" s="433">
        <v>22.8</v>
      </c>
      <c r="AI113" s="330">
        <f t="shared" si="1"/>
        <v>-0.79604261796042608</v>
      </c>
    </row>
    <row r="114" spans="1:35" s="389" customFormat="1" ht="14.25" customHeight="1" outlineLevel="1">
      <c r="A114" s="434" t="s">
        <v>1641</v>
      </c>
      <c r="B114" s="808" t="s">
        <v>1642</v>
      </c>
      <c r="C114" s="61" t="s">
        <v>1643</v>
      </c>
      <c r="D114" s="62" t="s">
        <v>1644</v>
      </c>
      <c r="E114" s="61" t="s">
        <v>1645</v>
      </c>
      <c r="F114" s="64" t="s">
        <v>1134</v>
      </c>
      <c r="G114" s="64" t="s">
        <v>1581</v>
      </c>
      <c r="H114" s="65">
        <v>79600</v>
      </c>
      <c r="I114" s="66">
        <v>71900</v>
      </c>
      <c r="J114" s="66">
        <v>7640</v>
      </c>
      <c r="K114" s="435">
        <v>306</v>
      </c>
      <c r="L114" s="383">
        <v>304</v>
      </c>
      <c r="M114" s="108">
        <v>245</v>
      </c>
      <c r="N114" s="108">
        <v>58.8</v>
      </c>
      <c r="O114" s="108">
        <v>1.49</v>
      </c>
      <c r="P114" s="435">
        <v>113</v>
      </c>
      <c r="Q114" s="383">
        <v>113</v>
      </c>
      <c r="R114" s="108">
        <v>69.599999999999994</v>
      </c>
      <c r="S114" s="108">
        <v>43.5</v>
      </c>
      <c r="T114" s="108">
        <v>3.09E-2</v>
      </c>
      <c r="U114" s="435">
        <v>193</v>
      </c>
      <c r="V114" s="383">
        <v>191</v>
      </c>
      <c r="W114" s="108">
        <v>176</v>
      </c>
      <c r="X114" s="108">
        <v>15.3</v>
      </c>
      <c r="Y114" s="108">
        <v>1.46</v>
      </c>
      <c r="Z114" s="436">
        <v>38</v>
      </c>
      <c r="AA114" s="108">
        <v>31.1</v>
      </c>
      <c r="AB114" s="68">
        <v>6.9</v>
      </c>
      <c r="AC114" s="414">
        <v>3.81</v>
      </c>
      <c r="AD114" s="61" t="s">
        <v>1646</v>
      </c>
      <c r="AE114" s="61" t="s">
        <v>1647</v>
      </c>
      <c r="AI114" s="330">
        <f t="shared" si="1"/>
        <v>1</v>
      </c>
    </row>
    <row r="115" spans="1:35" s="364" customFormat="1" ht="14.25" customHeight="1">
      <c r="A115" s="387" t="s">
        <v>1648</v>
      </c>
      <c r="B115" s="235" t="s">
        <v>1649</v>
      </c>
      <c r="C115" s="45" t="s">
        <v>1650</v>
      </c>
      <c r="D115" s="44" t="s">
        <v>1651</v>
      </c>
      <c r="E115" s="30" t="s">
        <v>1652</v>
      </c>
      <c r="F115" s="47" t="s">
        <v>1134</v>
      </c>
      <c r="G115" s="32" t="s">
        <v>1581</v>
      </c>
      <c r="H115" s="33">
        <v>115000</v>
      </c>
      <c r="I115" s="86">
        <v>103000</v>
      </c>
      <c r="J115" s="34">
        <v>11800</v>
      </c>
      <c r="K115" s="92">
        <v>343</v>
      </c>
      <c r="L115" s="366">
        <v>338</v>
      </c>
      <c r="M115" s="39">
        <v>256</v>
      </c>
      <c r="N115" s="39">
        <v>81.099999999999994</v>
      </c>
      <c r="O115" s="36">
        <v>5.79</v>
      </c>
      <c r="P115" s="92">
        <v>15.4</v>
      </c>
      <c r="Q115" s="366">
        <v>14.9</v>
      </c>
      <c r="R115" s="36">
        <v>14.9</v>
      </c>
      <c r="S115" s="36">
        <v>0</v>
      </c>
      <c r="T115" s="36">
        <v>0.48299999999999998</v>
      </c>
      <c r="U115" s="92">
        <v>328</v>
      </c>
      <c r="V115" s="366">
        <v>323</v>
      </c>
      <c r="W115" s="36">
        <v>242</v>
      </c>
      <c r="X115" s="36">
        <v>81.099999999999994</v>
      </c>
      <c r="Y115" s="36">
        <v>5.31</v>
      </c>
      <c r="Z115" s="38">
        <v>63.4</v>
      </c>
      <c r="AA115" s="90">
        <v>53.2</v>
      </c>
      <c r="AB115" s="39">
        <v>10.199999999999999</v>
      </c>
      <c r="AC115" s="367">
        <v>0</v>
      </c>
      <c r="AD115" s="397" t="s">
        <v>1653</v>
      </c>
      <c r="AE115" s="30" t="s">
        <v>1654</v>
      </c>
      <c r="AF115" s="369">
        <v>104</v>
      </c>
      <c r="AG115" s="370">
        <v>85.4</v>
      </c>
      <c r="AH115" s="370">
        <v>18.399999999999999</v>
      </c>
      <c r="AI115" s="330">
        <f t="shared" si="1"/>
        <v>-0.64037854889589907</v>
      </c>
    </row>
    <row r="116" spans="1:35" s="364" customFormat="1" ht="14.25" customHeight="1">
      <c r="A116" s="387" t="s">
        <v>1655</v>
      </c>
      <c r="B116" s="235" t="s">
        <v>1656</v>
      </c>
      <c r="C116" s="45" t="s">
        <v>1657</v>
      </c>
      <c r="D116" s="44" t="s">
        <v>1658</v>
      </c>
      <c r="E116" s="30" t="s">
        <v>1659</v>
      </c>
      <c r="F116" s="47" t="s">
        <v>1134</v>
      </c>
      <c r="G116" s="47" t="s">
        <v>1141</v>
      </c>
      <c r="H116" s="33">
        <v>70700</v>
      </c>
      <c r="I116" s="86">
        <v>65800</v>
      </c>
      <c r="J116" s="34">
        <v>4900</v>
      </c>
      <c r="K116" s="92">
        <v>177</v>
      </c>
      <c r="L116" s="366">
        <v>174</v>
      </c>
      <c r="M116" s="39">
        <v>174</v>
      </c>
      <c r="N116" s="39">
        <v>0</v>
      </c>
      <c r="O116" s="36">
        <v>2.93</v>
      </c>
      <c r="P116" s="92">
        <v>10.199999999999999</v>
      </c>
      <c r="Q116" s="366">
        <v>9.9700000000000006</v>
      </c>
      <c r="R116" s="36">
        <v>9.9700000000000006</v>
      </c>
      <c r="S116" s="36">
        <v>0</v>
      </c>
      <c r="T116" s="36">
        <v>0.27100000000000002</v>
      </c>
      <c r="U116" s="92">
        <v>167</v>
      </c>
      <c r="V116" s="366">
        <v>164</v>
      </c>
      <c r="W116" s="36">
        <v>164</v>
      </c>
      <c r="X116" s="36">
        <v>0</v>
      </c>
      <c r="Y116" s="36">
        <v>2.66</v>
      </c>
      <c r="Z116" s="87">
        <v>44.3</v>
      </c>
      <c r="AA116" s="83">
        <v>40.700000000000003</v>
      </c>
      <c r="AB116" s="74">
        <v>3.6</v>
      </c>
      <c r="AC116" s="367">
        <v>0</v>
      </c>
      <c r="AD116" s="110" t="s">
        <v>1660</v>
      </c>
      <c r="AE116" s="30" t="s">
        <v>1661</v>
      </c>
      <c r="AF116" s="438">
        <v>14.4</v>
      </c>
      <c r="AG116" s="433">
        <v>10.6</v>
      </c>
      <c r="AH116" s="399">
        <v>3.77</v>
      </c>
      <c r="AI116" s="330">
        <f t="shared" si="1"/>
        <v>0.67494356659142218</v>
      </c>
    </row>
    <row r="117" spans="1:35" s="364" customFormat="1" ht="14.25" customHeight="1">
      <c r="A117" s="776" t="s">
        <v>1662</v>
      </c>
      <c r="B117" s="235" t="s">
        <v>1663</v>
      </c>
      <c r="C117" s="45" t="s">
        <v>1664</v>
      </c>
      <c r="D117" s="44" t="s">
        <v>1665</v>
      </c>
      <c r="E117" s="30" t="s">
        <v>1666</v>
      </c>
      <c r="F117" s="47" t="s">
        <v>1134</v>
      </c>
      <c r="G117" s="47" t="s">
        <v>1141</v>
      </c>
      <c r="H117" s="33">
        <v>78900</v>
      </c>
      <c r="I117" s="86">
        <v>74800</v>
      </c>
      <c r="J117" s="34">
        <v>4090</v>
      </c>
      <c r="K117" s="92">
        <v>208</v>
      </c>
      <c r="L117" s="366">
        <v>205</v>
      </c>
      <c r="M117" s="39">
        <v>205</v>
      </c>
      <c r="N117" s="39">
        <v>0</v>
      </c>
      <c r="O117" s="36">
        <v>2.84</v>
      </c>
      <c r="P117" s="92">
        <v>12.8</v>
      </c>
      <c r="Q117" s="366">
        <v>12.5</v>
      </c>
      <c r="R117" s="36">
        <v>12.5</v>
      </c>
      <c r="S117" s="36">
        <v>0</v>
      </c>
      <c r="T117" s="36">
        <v>0.26600000000000001</v>
      </c>
      <c r="U117" s="92">
        <v>195</v>
      </c>
      <c r="V117" s="366">
        <v>192</v>
      </c>
      <c r="W117" s="36">
        <v>192</v>
      </c>
      <c r="X117" s="36">
        <v>0</v>
      </c>
      <c r="Y117" s="36">
        <v>2.58</v>
      </c>
      <c r="Z117" s="87">
        <v>48.6</v>
      </c>
      <c r="AA117" s="83">
        <v>45.7</v>
      </c>
      <c r="AB117" s="74">
        <v>2.84</v>
      </c>
      <c r="AC117" s="367">
        <v>0</v>
      </c>
      <c r="AD117" s="110" t="s">
        <v>1667</v>
      </c>
      <c r="AE117" s="30" t="s">
        <v>1668</v>
      </c>
      <c r="AF117" s="438">
        <v>14.2</v>
      </c>
      <c r="AG117" s="433">
        <v>11.4</v>
      </c>
      <c r="AH117" s="399">
        <v>2.88</v>
      </c>
      <c r="AI117" s="330">
        <f t="shared" si="1"/>
        <v>0.70781893004115237</v>
      </c>
    </row>
    <row r="118" spans="1:35" s="364" customFormat="1" ht="14.25" customHeight="1">
      <c r="A118" s="776" t="s">
        <v>1669</v>
      </c>
      <c r="B118" s="235" t="s">
        <v>1670</v>
      </c>
      <c r="C118" s="45" t="s">
        <v>1671</v>
      </c>
      <c r="D118" s="89" t="s">
        <v>1658</v>
      </c>
      <c r="E118" s="30" t="s">
        <v>1659</v>
      </c>
      <c r="F118" s="47" t="s">
        <v>1134</v>
      </c>
      <c r="G118" s="47" t="s">
        <v>1141</v>
      </c>
      <c r="H118" s="33">
        <v>86900</v>
      </c>
      <c r="I118" s="86">
        <v>82000</v>
      </c>
      <c r="J118" s="34">
        <v>4900</v>
      </c>
      <c r="K118" s="92">
        <v>235</v>
      </c>
      <c r="L118" s="366">
        <v>232</v>
      </c>
      <c r="M118" s="39">
        <v>232</v>
      </c>
      <c r="N118" s="39">
        <v>0</v>
      </c>
      <c r="O118" s="36">
        <v>2.93</v>
      </c>
      <c r="P118" s="92">
        <v>18.5</v>
      </c>
      <c r="Q118" s="366">
        <v>18.2</v>
      </c>
      <c r="R118" s="36">
        <v>18.2</v>
      </c>
      <c r="S118" s="36">
        <v>0</v>
      </c>
      <c r="T118" s="36">
        <v>0.27100000000000002</v>
      </c>
      <c r="U118" s="92">
        <v>216</v>
      </c>
      <c r="V118" s="366">
        <v>214</v>
      </c>
      <c r="W118" s="36">
        <v>214</v>
      </c>
      <c r="X118" s="36">
        <v>0</v>
      </c>
      <c r="Y118" s="36">
        <v>2.66</v>
      </c>
      <c r="Z118" s="87">
        <v>52.1</v>
      </c>
      <c r="AA118" s="83">
        <v>48.5</v>
      </c>
      <c r="AB118" s="74">
        <v>3.6</v>
      </c>
      <c r="AC118" s="367">
        <v>0</v>
      </c>
      <c r="AD118" s="110" t="s">
        <v>1672</v>
      </c>
      <c r="AE118" s="30" t="s">
        <v>1661</v>
      </c>
      <c r="AF118" s="438">
        <v>16.2</v>
      </c>
      <c r="AG118" s="433">
        <v>12.5</v>
      </c>
      <c r="AH118" s="399">
        <v>3.77</v>
      </c>
      <c r="AI118" s="330">
        <f t="shared" si="1"/>
        <v>0.68905950095969304</v>
      </c>
    </row>
    <row r="119" spans="1:35" s="364" customFormat="1" ht="14.25" customHeight="1">
      <c r="A119" s="387" t="s">
        <v>1673</v>
      </c>
      <c r="B119" s="235" t="s">
        <v>1674</v>
      </c>
      <c r="C119" s="45" t="s">
        <v>1675</v>
      </c>
      <c r="D119" s="44" t="s">
        <v>1676</v>
      </c>
      <c r="E119" s="30" t="s">
        <v>1677</v>
      </c>
      <c r="F119" s="47" t="s">
        <v>1134</v>
      </c>
      <c r="G119" s="47" t="s">
        <v>1141</v>
      </c>
      <c r="H119" s="33">
        <v>128000</v>
      </c>
      <c r="I119" s="86">
        <v>119000</v>
      </c>
      <c r="J119" s="34">
        <v>8730</v>
      </c>
      <c r="K119" s="92">
        <v>345</v>
      </c>
      <c r="L119" s="366">
        <v>341</v>
      </c>
      <c r="M119" s="39">
        <v>341</v>
      </c>
      <c r="N119" s="39">
        <v>0</v>
      </c>
      <c r="O119" s="36">
        <v>4.54</v>
      </c>
      <c r="P119" s="92">
        <v>21.1</v>
      </c>
      <c r="Q119" s="366">
        <v>20.7</v>
      </c>
      <c r="R119" s="36">
        <v>20.7</v>
      </c>
      <c r="S119" s="36">
        <v>0</v>
      </c>
      <c r="T119" s="36">
        <v>0.41399999999999998</v>
      </c>
      <c r="U119" s="92">
        <v>324</v>
      </c>
      <c r="V119" s="366">
        <v>320</v>
      </c>
      <c r="W119" s="36">
        <v>320</v>
      </c>
      <c r="X119" s="36">
        <v>0</v>
      </c>
      <c r="Y119" s="36">
        <v>4.12</v>
      </c>
      <c r="Z119" s="87">
        <v>79.3</v>
      </c>
      <c r="AA119" s="83">
        <v>72.599999999999994</v>
      </c>
      <c r="AB119" s="74">
        <v>6.68</v>
      </c>
      <c r="AC119" s="367">
        <v>0</v>
      </c>
      <c r="AD119" s="110" t="s">
        <v>1678</v>
      </c>
      <c r="AE119" s="30" t="s">
        <v>1679</v>
      </c>
      <c r="AF119" s="438">
        <v>27.4</v>
      </c>
      <c r="AG119" s="433">
        <v>20.399999999999999</v>
      </c>
      <c r="AH119" s="399">
        <v>7</v>
      </c>
      <c r="AI119" s="330">
        <f t="shared" si="1"/>
        <v>0.65447667087011352</v>
      </c>
    </row>
    <row r="120" spans="1:35" s="364" customFormat="1" ht="14.25" customHeight="1">
      <c r="A120" s="776" t="s">
        <v>1680</v>
      </c>
      <c r="B120" s="235" t="s">
        <v>1681</v>
      </c>
      <c r="C120" s="45" t="s">
        <v>1682</v>
      </c>
      <c r="D120" s="89" t="s">
        <v>1676</v>
      </c>
      <c r="E120" s="30" t="s">
        <v>1677</v>
      </c>
      <c r="F120" s="47" t="s">
        <v>1134</v>
      </c>
      <c r="G120" s="47" t="s">
        <v>1141</v>
      </c>
      <c r="H120" s="33">
        <v>144000</v>
      </c>
      <c r="I120" s="86">
        <v>136000</v>
      </c>
      <c r="J120" s="34">
        <v>8730</v>
      </c>
      <c r="K120" s="92">
        <v>402</v>
      </c>
      <c r="L120" s="366">
        <v>398</v>
      </c>
      <c r="M120" s="39">
        <v>398</v>
      </c>
      <c r="N120" s="39">
        <v>0</v>
      </c>
      <c r="O120" s="36">
        <v>4.54</v>
      </c>
      <c r="P120" s="92">
        <v>29.4</v>
      </c>
      <c r="Q120" s="366">
        <v>29</v>
      </c>
      <c r="R120" s="36">
        <v>29</v>
      </c>
      <c r="S120" s="36">
        <v>0</v>
      </c>
      <c r="T120" s="36">
        <v>0.41399999999999998</v>
      </c>
      <c r="U120" s="92">
        <v>373</v>
      </c>
      <c r="V120" s="366">
        <v>369</v>
      </c>
      <c r="W120" s="36">
        <v>369</v>
      </c>
      <c r="X120" s="36">
        <v>0</v>
      </c>
      <c r="Y120" s="36">
        <v>4.12</v>
      </c>
      <c r="Z120" s="87">
        <v>87</v>
      </c>
      <c r="AA120" s="83">
        <v>80.400000000000006</v>
      </c>
      <c r="AB120" s="74">
        <v>6.68</v>
      </c>
      <c r="AC120" s="367">
        <v>0</v>
      </c>
      <c r="AD120" s="110" t="s">
        <v>1683</v>
      </c>
      <c r="AE120" s="30" t="s">
        <v>1679</v>
      </c>
      <c r="AF120" s="438">
        <v>29.2</v>
      </c>
      <c r="AG120" s="433">
        <v>22.2</v>
      </c>
      <c r="AH120" s="399">
        <v>7</v>
      </c>
      <c r="AI120" s="330">
        <f t="shared" si="1"/>
        <v>0.66436781609195394</v>
      </c>
    </row>
    <row r="121" spans="1:35" s="364" customFormat="1" ht="14.25" customHeight="1">
      <c r="A121" s="387" t="s">
        <v>1684</v>
      </c>
      <c r="B121" s="235" t="s">
        <v>1685</v>
      </c>
      <c r="C121" s="45" t="s">
        <v>1686</v>
      </c>
      <c r="D121" s="44" t="s">
        <v>1687</v>
      </c>
      <c r="E121" s="30" t="s">
        <v>1688</v>
      </c>
      <c r="F121" s="47" t="s">
        <v>1134</v>
      </c>
      <c r="G121" s="47" t="s">
        <v>1141</v>
      </c>
      <c r="H121" s="33">
        <v>128000</v>
      </c>
      <c r="I121" s="86">
        <v>121000</v>
      </c>
      <c r="J121" s="34">
        <v>6830</v>
      </c>
      <c r="K121" s="92">
        <v>343</v>
      </c>
      <c r="L121" s="366">
        <v>338</v>
      </c>
      <c r="M121" s="39">
        <v>338</v>
      </c>
      <c r="N121" s="39">
        <v>0</v>
      </c>
      <c r="O121" s="36">
        <v>4.34</v>
      </c>
      <c r="P121" s="92">
        <v>22.5</v>
      </c>
      <c r="Q121" s="366">
        <v>22.1</v>
      </c>
      <c r="R121" s="36">
        <v>22.1</v>
      </c>
      <c r="S121" s="36">
        <v>0</v>
      </c>
      <c r="T121" s="36">
        <v>0.40300000000000002</v>
      </c>
      <c r="U121" s="92">
        <v>320</v>
      </c>
      <c r="V121" s="366">
        <v>316</v>
      </c>
      <c r="W121" s="36">
        <v>316</v>
      </c>
      <c r="X121" s="36">
        <v>0</v>
      </c>
      <c r="Y121" s="36">
        <v>3.93</v>
      </c>
      <c r="Z121" s="87">
        <v>78.3</v>
      </c>
      <c r="AA121" s="83">
        <v>73.3</v>
      </c>
      <c r="AB121" s="74">
        <v>4.92</v>
      </c>
      <c r="AC121" s="367">
        <v>0</v>
      </c>
      <c r="AD121" s="110" t="s">
        <v>1689</v>
      </c>
      <c r="AE121" s="30" t="s">
        <v>1690</v>
      </c>
      <c r="AF121" s="438">
        <v>23.3</v>
      </c>
      <c r="AG121" s="433">
        <v>18.2</v>
      </c>
      <c r="AH121" s="399">
        <v>5.09</v>
      </c>
      <c r="AI121" s="330">
        <f t="shared" si="1"/>
        <v>0.70242656449553009</v>
      </c>
    </row>
    <row r="122" spans="1:35" s="364" customFormat="1" ht="14.25" customHeight="1">
      <c r="A122" s="776" t="s">
        <v>824</v>
      </c>
      <c r="B122" s="235" t="s">
        <v>1691</v>
      </c>
      <c r="C122" s="45" t="s">
        <v>1692</v>
      </c>
      <c r="D122" s="44" t="s">
        <v>1693</v>
      </c>
      <c r="E122" s="30" t="s">
        <v>1694</v>
      </c>
      <c r="F122" s="47" t="s">
        <v>1134</v>
      </c>
      <c r="G122" s="47" t="s">
        <v>1141</v>
      </c>
      <c r="H122" s="33">
        <v>110000</v>
      </c>
      <c r="I122" s="86">
        <v>102000</v>
      </c>
      <c r="J122" s="34">
        <v>7680</v>
      </c>
      <c r="K122" s="92">
        <v>271</v>
      </c>
      <c r="L122" s="366">
        <v>267</v>
      </c>
      <c r="M122" s="39">
        <v>267</v>
      </c>
      <c r="N122" s="39">
        <v>0</v>
      </c>
      <c r="O122" s="36">
        <v>4.42</v>
      </c>
      <c r="P122" s="92">
        <v>16.100000000000001</v>
      </c>
      <c r="Q122" s="366">
        <v>15.7</v>
      </c>
      <c r="R122" s="36">
        <v>15.7</v>
      </c>
      <c r="S122" s="36">
        <v>0</v>
      </c>
      <c r="T122" s="36">
        <v>0.40799999999999997</v>
      </c>
      <c r="U122" s="92">
        <v>255</v>
      </c>
      <c r="V122" s="366">
        <v>251</v>
      </c>
      <c r="W122" s="36">
        <v>251</v>
      </c>
      <c r="X122" s="36">
        <v>0</v>
      </c>
      <c r="Y122" s="36">
        <v>4.0199999999999996</v>
      </c>
      <c r="Z122" s="87">
        <v>67.8</v>
      </c>
      <c r="AA122" s="83">
        <v>62.1</v>
      </c>
      <c r="AB122" s="74">
        <v>5.7</v>
      </c>
      <c r="AC122" s="367">
        <v>0</v>
      </c>
      <c r="AD122" s="110" t="s">
        <v>1695</v>
      </c>
      <c r="AE122" s="30" t="s">
        <v>1696</v>
      </c>
      <c r="AF122" s="438">
        <v>22.3</v>
      </c>
      <c r="AG122" s="433">
        <v>16.3</v>
      </c>
      <c r="AH122" s="399">
        <v>6</v>
      </c>
      <c r="AI122" s="330">
        <f t="shared" si="1"/>
        <v>0.67109144542772869</v>
      </c>
    </row>
    <row r="123" spans="1:35" s="364" customFormat="1" ht="14.25" customHeight="1">
      <c r="A123" s="776" t="s">
        <v>1697</v>
      </c>
      <c r="B123" s="235" t="s">
        <v>1698</v>
      </c>
      <c r="C123" s="45" t="s">
        <v>1699</v>
      </c>
      <c r="D123" s="89" t="s">
        <v>1693</v>
      </c>
      <c r="E123" s="30" t="s">
        <v>1694</v>
      </c>
      <c r="F123" s="47" t="s">
        <v>1134</v>
      </c>
      <c r="G123" s="47" t="s">
        <v>1141</v>
      </c>
      <c r="H123" s="33">
        <v>143000</v>
      </c>
      <c r="I123" s="86">
        <v>135000</v>
      </c>
      <c r="J123" s="34">
        <v>7680</v>
      </c>
      <c r="K123" s="92">
        <v>386</v>
      </c>
      <c r="L123" s="366">
        <v>381</v>
      </c>
      <c r="M123" s="39">
        <v>381</v>
      </c>
      <c r="N123" s="39">
        <v>0</v>
      </c>
      <c r="O123" s="36">
        <v>4.42</v>
      </c>
      <c r="P123" s="92">
        <v>32.700000000000003</v>
      </c>
      <c r="Q123" s="366">
        <v>32.299999999999997</v>
      </c>
      <c r="R123" s="36">
        <v>32.299999999999997</v>
      </c>
      <c r="S123" s="36">
        <v>0</v>
      </c>
      <c r="T123" s="36">
        <v>0.40799999999999997</v>
      </c>
      <c r="U123" s="92">
        <v>353</v>
      </c>
      <c r="V123" s="366">
        <v>349</v>
      </c>
      <c r="W123" s="36">
        <v>349</v>
      </c>
      <c r="X123" s="36">
        <v>0</v>
      </c>
      <c r="Y123" s="36">
        <v>4.0199999999999996</v>
      </c>
      <c r="Z123" s="87">
        <v>83.3</v>
      </c>
      <c r="AA123" s="83">
        <v>77.599999999999994</v>
      </c>
      <c r="AB123" s="74">
        <v>5.7</v>
      </c>
      <c r="AC123" s="367">
        <v>0</v>
      </c>
      <c r="AD123" s="110" t="s">
        <v>1700</v>
      </c>
      <c r="AE123" s="30" t="s">
        <v>1696</v>
      </c>
      <c r="AF123" s="438">
        <v>26</v>
      </c>
      <c r="AG123" s="433">
        <v>20</v>
      </c>
      <c r="AH123" s="399">
        <v>6</v>
      </c>
      <c r="AI123" s="330">
        <f t="shared" si="1"/>
        <v>0.68787515006002398</v>
      </c>
    </row>
    <row r="124" spans="1:35" s="364" customFormat="1" ht="14.25" customHeight="1">
      <c r="A124" s="776" t="s">
        <v>1701</v>
      </c>
      <c r="B124" s="235" t="s">
        <v>1702</v>
      </c>
      <c r="C124" s="45" t="s">
        <v>1703</v>
      </c>
      <c r="D124" s="89" t="s">
        <v>1693</v>
      </c>
      <c r="E124" s="30" t="s">
        <v>1694</v>
      </c>
      <c r="F124" s="47" t="s">
        <v>1134</v>
      </c>
      <c r="G124" s="47" t="s">
        <v>1141</v>
      </c>
      <c r="H124" s="33">
        <v>159000</v>
      </c>
      <c r="I124" s="86">
        <v>151000</v>
      </c>
      <c r="J124" s="34">
        <v>7680</v>
      </c>
      <c r="K124" s="92">
        <v>443</v>
      </c>
      <c r="L124" s="366">
        <v>439</v>
      </c>
      <c r="M124" s="39">
        <v>439</v>
      </c>
      <c r="N124" s="39">
        <v>0</v>
      </c>
      <c r="O124" s="36">
        <v>4.42</v>
      </c>
      <c r="P124" s="92">
        <v>40.9</v>
      </c>
      <c r="Q124" s="366">
        <v>40.5</v>
      </c>
      <c r="R124" s="36">
        <v>40.5</v>
      </c>
      <c r="S124" s="36">
        <v>0</v>
      </c>
      <c r="T124" s="36">
        <v>0.40799999999999997</v>
      </c>
      <c r="U124" s="92">
        <v>402</v>
      </c>
      <c r="V124" s="366">
        <v>398</v>
      </c>
      <c r="W124" s="36">
        <v>398</v>
      </c>
      <c r="X124" s="36">
        <v>0</v>
      </c>
      <c r="Y124" s="36">
        <v>4.0199999999999996</v>
      </c>
      <c r="Z124" s="87">
        <v>91.1</v>
      </c>
      <c r="AA124" s="83">
        <v>85.4</v>
      </c>
      <c r="AB124" s="74">
        <v>5.7</v>
      </c>
      <c r="AC124" s="367">
        <v>0</v>
      </c>
      <c r="AD124" s="110" t="s">
        <v>1704</v>
      </c>
      <c r="AE124" s="30" t="s">
        <v>1696</v>
      </c>
      <c r="AF124" s="438">
        <v>27.8</v>
      </c>
      <c r="AG124" s="433">
        <v>21.8</v>
      </c>
      <c r="AH124" s="399">
        <v>6</v>
      </c>
      <c r="AI124" s="330">
        <f t="shared" si="1"/>
        <v>0.69484083424807908</v>
      </c>
    </row>
    <row r="125" spans="1:35" s="364" customFormat="1" ht="14.25" customHeight="1">
      <c r="A125" s="776" t="s">
        <v>1705</v>
      </c>
      <c r="B125" s="235" t="s">
        <v>1706</v>
      </c>
      <c r="C125" s="45" t="s">
        <v>1707</v>
      </c>
      <c r="D125" s="44" t="s">
        <v>1708</v>
      </c>
      <c r="E125" s="30" t="s">
        <v>1709</v>
      </c>
      <c r="F125" s="47" t="s">
        <v>1134</v>
      </c>
      <c r="G125" s="47" t="s">
        <v>1141</v>
      </c>
      <c r="H125" s="33">
        <v>167000</v>
      </c>
      <c r="I125" s="86">
        <v>156000</v>
      </c>
      <c r="J125" s="34">
        <v>11500</v>
      </c>
      <c r="K125" s="92">
        <v>438</v>
      </c>
      <c r="L125" s="366">
        <v>432</v>
      </c>
      <c r="M125" s="39">
        <v>432</v>
      </c>
      <c r="N125" s="39">
        <v>0</v>
      </c>
      <c r="O125" s="36">
        <v>6.03</v>
      </c>
      <c r="P125" s="92">
        <v>26.9</v>
      </c>
      <c r="Q125" s="366">
        <v>26.3</v>
      </c>
      <c r="R125" s="36">
        <v>26.3</v>
      </c>
      <c r="S125" s="36">
        <v>0</v>
      </c>
      <c r="T125" s="36">
        <v>0.55200000000000005</v>
      </c>
      <c r="U125" s="92">
        <v>411</v>
      </c>
      <c r="V125" s="366">
        <v>406</v>
      </c>
      <c r="W125" s="36">
        <v>406</v>
      </c>
      <c r="X125" s="36">
        <v>0</v>
      </c>
      <c r="Y125" s="36">
        <v>5.48</v>
      </c>
      <c r="Z125" s="87">
        <v>103</v>
      </c>
      <c r="AA125" s="83">
        <v>94</v>
      </c>
      <c r="AB125" s="74">
        <v>8.7799999999999994</v>
      </c>
      <c r="AC125" s="367">
        <v>0</v>
      </c>
      <c r="AD125" s="110" t="s">
        <v>1710</v>
      </c>
      <c r="AE125" s="30" t="s">
        <v>1711</v>
      </c>
      <c r="AF125" s="438">
        <v>35.299999999999997</v>
      </c>
      <c r="AG125" s="433">
        <v>26.1</v>
      </c>
      <c r="AH125" s="399">
        <v>9.23</v>
      </c>
      <c r="AI125" s="330">
        <f t="shared" si="1"/>
        <v>0.65728155339805827</v>
      </c>
    </row>
    <row r="126" spans="1:35" s="364" customFormat="1" ht="14.25" customHeight="1">
      <c r="A126" s="776" t="s">
        <v>1712</v>
      </c>
      <c r="B126" s="235" t="s">
        <v>1713</v>
      </c>
      <c r="C126" s="45" t="s">
        <v>1714</v>
      </c>
      <c r="D126" s="89" t="s">
        <v>1708</v>
      </c>
      <c r="E126" s="30" t="s">
        <v>1709</v>
      </c>
      <c r="F126" s="47" t="s">
        <v>1134</v>
      </c>
      <c r="G126" s="47" t="s">
        <v>1141</v>
      </c>
      <c r="H126" s="33">
        <v>185000</v>
      </c>
      <c r="I126" s="86">
        <v>174000</v>
      </c>
      <c r="J126" s="34">
        <v>11500</v>
      </c>
      <c r="K126" s="92">
        <v>500</v>
      </c>
      <c r="L126" s="366">
        <v>494</v>
      </c>
      <c r="M126" s="39">
        <v>494</v>
      </c>
      <c r="N126" s="39">
        <v>0</v>
      </c>
      <c r="O126" s="36">
        <v>6.03</v>
      </c>
      <c r="P126" s="92">
        <v>35.4</v>
      </c>
      <c r="Q126" s="366">
        <v>34.9</v>
      </c>
      <c r="R126" s="36">
        <v>34.9</v>
      </c>
      <c r="S126" s="36">
        <v>0</v>
      </c>
      <c r="T126" s="36">
        <v>0.55200000000000005</v>
      </c>
      <c r="U126" s="92">
        <v>464</v>
      </c>
      <c r="V126" s="366">
        <v>459</v>
      </c>
      <c r="W126" s="36">
        <v>459</v>
      </c>
      <c r="X126" s="36">
        <v>0</v>
      </c>
      <c r="Y126" s="36">
        <v>5.48</v>
      </c>
      <c r="Z126" s="87">
        <v>111</v>
      </c>
      <c r="AA126" s="83">
        <v>103</v>
      </c>
      <c r="AB126" s="74">
        <v>8.7799999999999994</v>
      </c>
      <c r="AC126" s="367">
        <v>0</v>
      </c>
      <c r="AD126" s="110" t="s">
        <v>1715</v>
      </c>
      <c r="AE126" s="30" t="s">
        <v>1711</v>
      </c>
      <c r="AF126" s="438">
        <v>37.4</v>
      </c>
      <c r="AG126" s="433">
        <v>28.2</v>
      </c>
      <c r="AH126" s="399">
        <v>9.23</v>
      </c>
      <c r="AI126" s="330">
        <f t="shared" si="1"/>
        <v>0.66306306306306306</v>
      </c>
    </row>
    <row r="127" spans="1:35" s="364" customFormat="1" ht="14.25" customHeight="1">
      <c r="A127" s="776" t="s">
        <v>1716</v>
      </c>
      <c r="B127" s="235" t="s">
        <v>1717</v>
      </c>
      <c r="C127" s="45" t="s">
        <v>1718</v>
      </c>
      <c r="D127" s="44" t="s">
        <v>1719</v>
      </c>
      <c r="E127" s="30" t="s">
        <v>1720</v>
      </c>
      <c r="F127" s="439">
        <v>6.3</v>
      </c>
      <c r="G127" s="47" t="s">
        <v>1141</v>
      </c>
      <c r="H127" s="48">
        <v>16600</v>
      </c>
      <c r="I127" s="76">
        <v>16400</v>
      </c>
      <c r="J127" s="49">
        <v>268</v>
      </c>
      <c r="K127" s="50">
        <v>47.9</v>
      </c>
      <c r="L127" s="366">
        <v>47.5</v>
      </c>
      <c r="M127" s="39">
        <v>47.5</v>
      </c>
      <c r="N127" s="39">
        <v>0</v>
      </c>
      <c r="O127" s="36">
        <v>0.34499999999999997</v>
      </c>
      <c r="P127" s="50">
        <v>3.58</v>
      </c>
      <c r="Q127" s="366">
        <v>3.56</v>
      </c>
      <c r="R127" s="36">
        <v>3.56</v>
      </c>
      <c r="S127" s="36">
        <v>0</v>
      </c>
      <c r="T127" s="36">
        <v>1.3599999999999999E-2</v>
      </c>
      <c r="U127" s="50">
        <v>44.3</v>
      </c>
      <c r="V127" s="366">
        <v>43.9</v>
      </c>
      <c r="W127" s="36">
        <v>43.9</v>
      </c>
      <c r="X127" s="36">
        <v>0</v>
      </c>
      <c r="Y127" s="36">
        <v>0.33100000000000002</v>
      </c>
      <c r="Z127" s="51">
        <v>8.11</v>
      </c>
      <c r="AA127" s="81">
        <v>8.0299999999999994</v>
      </c>
      <c r="AB127" s="53">
        <v>7.9899999999999999E-2</v>
      </c>
      <c r="AC127" s="367">
        <v>0</v>
      </c>
      <c r="AD127" s="110" t="s">
        <v>1721</v>
      </c>
      <c r="AE127" s="30" t="s">
        <v>1722</v>
      </c>
      <c r="AF127" s="419">
        <v>7.48</v>
      </c>
      <c r="AG127" s="381">
        <v>7.46</v>
      </c>
      <c r="AH127" s="381">
        <v>2.06E-2</v>
      </c>
      <c r="AI127" s="330">
        <f t="shared" si="1"/>
        <v>7.7681874229346373E-2</v>
      </c>
    </row>
    <row r="128" spans="1:35" s="364" customFormat="1" ht="14.25" customHeight="1">
      <c r="A128" s="776" t="s">
        <v>1723</v>
      </c>
      <c r="B128" s="235" t="s">
        <v>1724</v>
      </c>
      <c r="C128" s="45" t="s">
        <v>1725</v>
      </c>
      <c r="D128" s="44" t="s">
        <v>1726</v>
      </c>
      <c r="E128" s="30" t="s">
        <v>1727</v>
      </c>
      <c r="F128" s="439">
        <v>14.4</v>
      </c>
      <c r="G128" s="47" t="s">
        <v>1141</v>
      </c>
      <c r="H128" s="48">
        <v>9910</v>
      </c>
      <c r="I128" s="76">
        <v>9300</v>
      </c>
      <c r="J128" s="49">
        <v>612</v>
      </c>
      <c r="K128" s="50">
        <v>21.5</v>
      </c>
      <c r="L128" s="366">
        <v>20.7</v>
      </c>
      <c r="M128" s="39">
        <v>20.7</v>
      </c>
      <c r="N128" s="39">
        <v>0</v>
      </c>
      <c r="O128" s="36">
        <v>0.78900000000000003</v>
      </c>
      <c r="P128" s="50">
        <v>2.4300000000000002</v>
      </c>
      <c r="Q128" s="366">
        <v>2.4</v>
      </c>
      <c r="R128" s="36">
        <v>2.4</v>
      </c>
      <c r="S128" s="36">
        <v>0</v>
      </c>
      <c r="T128" s="36">
        <v>3.1099999999999999E-2</v>
      </c>
      <c r="U128" s="50">
        <v>19.100000000000001</v>
      </c>
      <c r="V128" s="366">
        <v>18.3</v>
      </c>
      <c r="W128" s="36">
        <v>18.3</v>
      </c>
      <c r="X128" s="36">
        <v>0</v>
      </c>
      <c r="Y128" s="36">
        <v>0.75700000000000001</v>
      </c>
      <c r="Z128" s="51">
        <v>6.31</v>
      </c>
      <c r="AA128" s="81">
        <v>6.12</v>
      </c>
      <c r="AB128" s="53">
        <v>0.183</v>
      </c>
      <c r="AC128" s="367">
        <v>0</v>
      </c>
      <c r="AD128" s="110" t="s">
        <v>1728</v>
      </c>
      <c r="AE128" s="30" t="s">
        <v>1729</v>
      </c>
      <c r="AF128" s="419">
        <v>5.99</v>
      </c>
      <c r="AG128" s="381">
        <v>5.94</v>
      </c>
      <c r="AH128" s="381">
        <v>4.7100000000000003E-2</v>
      </c>
      <c r="AI128" s="330">
        <f t="shared" si="1"/>
        <v>5.0713153724247131E-2</v>
      </c>
    </row>
    <row r="129" spans="1:35" s="389" customFormat="1" ht="14.25" customHeight="1">
      <c r="A129" s="396" t="s">
        <v>1730</v>
      </c>
      <c r="B129" s="235" t="s">
        <v>1731</v>
      </c>
      <c r="C129" s="235" t="s">
        <v>1732</v>
      </c>
      <c r="D129" s="89" t="s">
        <v>1733</v>
      </c>
      <c r="E129" s="30" t="s">
        <v>1734</v>
      </c>
      <c r="F129" s="93">
        <v>15</v>
      </c>
      <c r="G129" s="32" t="s">
        <v>1581</v>
      </c>
      <c r="H129" s="48">
        <v>99700</v>
      </c>
      <c r="I129" s="49">
        <v>66500</v>
      </c>
      <c r="J129" s="49">
        <v>33300</v>
      </c>
      <c r="K129" s="50">
        <v>348</v>
      </c>
      <c r="L129" s="36">
        <v>335</v>
      </c>
      <c r="M129" s="39">
        <v>239</v>
      </c>
      <c r="N129" s="39">
        <v>95.5</v>
      </c>
      <c r="O129" s="36">
        <v>13.5</v>
      </c>
      <c r="P129" s="50">
        <v>41.8</v>
      </c>
      <c r="Q129" s="36">
        <v>40.799999999999997</v>
      </c>
      <c r="R129" s="36">
        <v>32.9</v>
      </c>
      <c r="S129" s="36">
        <v>7.87</v>
      </c>
      <c r="T129" s="36">
        <v>1.03</v>
      </c>
      <c r="U129" s="50">
        <v>306</v>
      </c>
      <c r="V129" s="36">
        <v>294</v>
      </c>
      <c r="W129" s="36">
        <v>206</v>
      </c>
      <c r="X129" s="36">
        <v>87.6</v>
      </c>
      <c r="Y129" s="36">
        <v>12.5</v>
      </c>
      <c r="Z129" s="51">
        <v>69.7</v>
      </c>
      <c r="AA129" s="53">
        <v>39.5</v>
      </c>
      <c r="AB129" s="53">
        <v>30.1</v>
      </c>
      <c r="AC129" s="367">
        <v>0.77800000000000002</v>
      </c>
      <c r="AD129" s="397" t="s">
        <v>1735</v>
      </c>
      <c r="AE129" s="30" t="s">
        <v>1736</v>
      </c>
      <c r="AF129" s="37"/>
      <c r="AG129" s="37"/>
      <c r="AH129" s="37"/>
      <c r="AI129" s="330">
        <f t="shared" si="1"/>
        <v>1</v>
      </c>
    </row>
    <row r="130" spans="1:35" s="389" customFormat="1" ht="14.25" customHeight="1">
      <c r="A130" s="396" t="s">
        <v>1737</v>
      </c>
      <c r="B130" s="235" t="s">
        <v>1738</v>
      </c>
      <c r="C130" s="235" t="s">
        <v>1739</v>
      </c>
      <c r="D130" s="89" t="s">
        <v>1740</v>
      </c>
      <c r="E130" s="30" t="s">
        <v>1741</v>
      </c>
      <c r="F130" s="93">
        <v>17.8</v>
      </c>
      <c r="G130" s="32" t="s">
        <v>1581</v>
      </c>
      <c r="H130" s="48">
        <v>43500</v>
      </c>
      <c r="I130" s="49">
        <v>35900</v>
      </c>
      <c r="J130" s="49">
        <v>7590</v>
      </c>
      <c r="K130" s="50">
        <v>218</v>
      </c>
      <c r="L130" s="36">
        <v>215</v>
      </c>
      <c r="M130" s="39">
        <v>127</v>
      </c>
      <c r="N130" s="39">
        <v>87.9</v>
      </c>
      <c r="O130" s="36">
        <v>3.64</v>
      </c>
      <c r="P130" s="50">
        <v>94.4</v>
      </c>
      <c r="Q130" s="36">
        <v>94.2</v>
      </c>
      <c r="R130" s="36">
        <v>35.1</v>
      </c>
      <c r="S130" s="36">
        <v>59.2</v>
      </c>
      <c r="T130" s="36">
        <v>0.12</v>
      </c>
      <c r="U130" s="50">
        <v>124</v>
      </c>
      <c r="V130" s="36">
        <v>121</v>
      </c>
      <c r="W130" s="36">
        <v>91.8</v>
      </c>
      <c r="X130" s="36">
        <v>28.8</v>
      </c>
      <c r="Y130" s="36">
        <v>3.52</v>
      </c>
      <c r="Z130" s="51">
        <v>26.1</v>
      </c>
      <c r="AA130" s="53">
        <v>19.5</v>
      </c>
      <c r="AB130" s="53">
        <v>6.59</v>
      </c>
      <c r="AC130" s="367">
        <v>6.68</v>
      </c>
      <c r="AD130" s="397" t="s">
        <v>1742</v>
      </c>
      <c r="AE130" s="30" t="s">
        <v>1743</v>
      </c>
      <c r="AF130" s="37"/>
      <c r="AG130" s="37"/>
      <c r="AH130" s="37"/>
      <c r="AI130" s="330">
        <f t="shared" si="1"/>
        <v>1</v>
      </c>
    </row>
    <row r="131" spans="1:35" s="364" customFormat="1" ht="14.25" customHeight="1">
      <c r="A131" s="776" t="s">
        <v>832</v>
      </c>
      <c r="B131" s="235" t="s">
        <v>1744</v>
      </c>
      <c r="C131" s="45" t="s">
        <v>1745</v>
      </c>
      <c r="D131" s="44" t="s">
        <v>1746</v>
      </c>
      <c r="E131" s="30" t="s">
        <v>1747</v>
      </c>
      <c r="F131" s="47" t="s">
        <v>1134</v>
      </c>
      <c r="G131" s="47" t="s">
        <v>1141</v>
      </c>
      <c r="H131" s="33">
        <v>150000</v>
      </c>
      <c r="I131" s="86">
        <v>148000</v>
      </c>
      <c r="J131" s="34">
        <v>2110</v>
      </c>
      <c r="K131" s="92">
        <v>318</v>
      </c>
      <c r="L131" s="366">
        <v>318</v>
      </c>
      <c r="M131" s="39">
        <v>314</v>
      </c>
      <c r="N131" s="36">
        <v>4.13</v>
      </c>
      <c r="O131" s="36">
        <v>0.56999999999999995</v>
      </c>
      <c r="P131" s="92">
        <v>35.4</v>
      </c>
      <c r="Q131" s="366">
        <v>35.4</v>
      </c>
      <c r="R131" s="36">
        <v>35.4</v>
      </c>
      <c r="S131" s="36">
        <v>0</v>
      </c>
      <c r="T131" s="36">
        <v>2.87E-2</v>
      </c>
      <c r="U131" s="92">
        <v>283</v>
      </c>
      <c r="V131" s="366">
        <v>282</v>
      </c>
      <c r="W131" s="36">
        <v>278</v>
      </c>
      <c r="X131" s="36">
        <v>4.13</v>
      </c>
      <c r="Y131" s="36">
        <v>0.54200000000000004</v>
      </c>
      <c r="Z131" s="38">
        <v>67.8</v>
      </c>
      <c r="AA131" s="90">
        <v>65.900000000000006</v>
      </c>
      <c r="AB131" s="39">
        <v>1.91</v>
      </c>
      <c r="AC131" s="367">
        <v>0</v>
      </c>
      <c r="AD131" s="110" t="s">
        <v>1748</v>
      </c>
      <c r="AE131" s="30" t="s">
        <v>1749</v>
      </c>
      <c r="AF131" s="369">
        <v>34.4</v>
      </c>
      <c r="AG131" s="370">
        <v>34</v>
      </c>
      <c r="AH131" s="370">
        <v>0.34599999999999997</v>
      </c>
      <c r="AI131" s="330">
        <f t="shared" si="1"/>
        <v>0.49262536873156343</v>
      </c>
    </row>
    <row r="132" spans="1:35" s="364" customFormat="1" ht="14.25" customHeight="1">
      <c r="A132" s="776" t="s">
        <v>826</v>
      </c>
      <c r="B132" s="235" t="s">
        <v>1750</v>
      </c>
      <c r="C132" s="45" t="s">
        <v>1751</v>
      </c>
      <c r="D132" s="44" t="s">
        <v>1752</v>
      </c>
      <c r="E132" s="30" t="s">
        <v>1753</v>
      </c>
      <c r="F132" s="47" t="s">
        <v>1134</v>
      </c>
      <c r="G132" s="47" t="s">
        <v>1141</v>
      </c>
      <c r="H132" s="33">
        <v>133000</v>
      </c>
      <c r="I132" s="86">
        <v>131000</v>
      </c>
      <c r="J132" s="34">
        <v>1620</v>
      </c>
      <c r="K132" s="92">
        <v>281</v>
      </c>
      <c r="L132" s="366">
        <v>280</v>
      </c>
      <c r="M132" s="39">
        <v>280</v>
      </c>
      <c r="N132" s="39">
        <v>0</v>
      </c>
      <c r="O132" s="36">
        <v>0.45900000000000002</v>
      </c>
      <c r="P132" s="92">
        <v>31.9</v>
      </c>
      <c r="Q132" s="366">
        <v>31.9</v>
      </c>
      <c r="R132" s="36">
        <v>31.9</v>
      </c>
      <c r="S132" s="36">
        <v>0</v>
      </c>
      <c r="T132" s="36">
        <v>2.5100000000000001E-2</v>
      </c>
      <c r="U132" s="92">
        <v>249</v>
      </c>
      <c r="V132" s="366">
        <v>248</v>
      </c>
      <c r="W132" s="36">
        <v>248</v>
      </c>
      <c r="X132" s="36">
        <v>0</v>
      </c>
      <c r="Y132" s="36">
        <v>0.433</v>
      </c>
      <c r="Z132" s="38">
        <v>59.9</v>
      </c>
      <c r="AA132" s="90">
        <v>58.5</v>
      </c>
      <c r="AB132" s="39">
        <v>1.47</v>
      </c>
      <c r="AC132" s="367">
        <v>0</v>
      </c>
      <c r="AD132" s="110" t="s">
        <v>1754</v>
      </c>
      <c r="AE132" s="30" t="s">
        <v>1755</v>
      </c>
      <c r="AF132" s="369">
        <v>31.6</v>
      </c>
      <c r="AG132" s="370">
        <v>31.3</v>
      </c>
      <c r="AH132" s="370">
        <v>0.26</v>
      </c>
      <c r="AI132" s="330">
        <f t="shared" si="1"/>
        <v>0.47245409015025036</v>
      </c>
    </row>
    <row r="133" spans="1:35" s="364" customFormat="1" ht="14.25" customHeight="1">
      <c r="A133" s="776" t="s">
        <v>1756</v>
      </c>
      <c r="B133" s="235" t="s">
        <v>1757</v>
      </c>
      <c r="C133" s="45" t="s">
        <v>1758</v>
      </c>
      <c r="D133" s="44" t="s">
        <v>1759</v>
      </c>
      <c r="E133" s="30" t="s">
        <v>1760</v>
      </c>
      <c r="F133" s="47" t="s">
        <v>1134</v>
      </c>
      <c r="G133" s="47" t="s">
        <v>1141</v>
      </c>
      <c r="H133" s="33">
        <v>168000</v>
      </c>
      <c r="I133" s="86">
        <v>167000</v>
      </c>
      <c r="J133" s="34">
        <v>799</v>
      </c>
      <c r="K133" s="92">
        <v>357</v>
      </c>
      <c r="L133" s="366">
        <v>357</v>
      </c>
      <c r="M133" s="39">
        <v>357</v>
      </c>
      <c r="N133" s="39">
        <v>0</v>
      </c>
      <c r="O133" s="36">
        <v>0.42799999999999999</v>
      </c>
      <c r="P133" s="92">
        <v>43.9</v>
      </c>
      <c r="Q133" s="366">
        <v>43.9</v>
      </c>
      <c r="R133" s="36">
        <v>43.9</v>
      </c>
      <c r="S133" s="36">
        <v>0</v>
      </c>
      <c r="T133" s="36">
        <v>2.1299999999999999E-2</v>
      </c>
      <c r="U133" s="92">
        <v>313</v>
      </c>
      <c r="V133" s="366">
        <v>313</v>
      </c>
      <c r="W133" s="36">
        <v>313</v>
      </c>
      <c r="X133" s="36">
        <v>0</v>
      </c>
      <c r="Y133" s="36">
        <v>0.40600000000000003</v>
      </c>
      <c r="Z133" s="38">
        <v>74.7</v>
      </c>
      <c r="AA133" s="90">
        <v>74</v>
      </c>
      <c r="AB133" s="39">
        <v>0.69399999999999995</v>
      </c>
      <c r="AC133" s="367">
        <v>0</v>
      </c>
      <c r="AD133" s="110" t="s">
        <v>1761</v>
      </c>
      <c r="AE133" s="30" t="s">
        <v>1762</v>
      </c>
      <c r="AF133" s="369">
        <v>38.200000000000003</v>
      </c>
      <c r="AG133" s="370">
        <v>38.1</v>
      </c>
      <c r="AH133" s="370">
        <v>9.6100000000000005E-2</v>
      </c>
      <c r="AI133" s="330">
        <f t="shared" si="1"/>
        <v>0.48862115127175365</v>
      </c>
    </row>
    <row r="134" spans="1:35" s="364" customFormat="1" ht="102.75" customHeight="1">
      <c r="A134" s="1610" t="s">
        <v>1763</v>
      </c>
      <c r="B134" s="1611"/>
      <c r="C134" s="1611"/>
      <c r="D134" s="1611"/>
      <c r="E134" s="1611"/>
      <c r="F134" s="1611"/>
      <c r="G134" s="1611"/>
      <c r="H134" s="1611"/>
      <c r="I134" s="1611"/>
      <c r="J134" s="1611"/>
      <c r="K134" s="1611"/>
      <c r="L134" s="1611"/>
      <c r="M134" s="1611"/>
      <c r="N134" s="1611"/>
      <c r="O134" s="1611"/>
      <c r="P134" s="1611"/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  <c r="AA134" s="1611"/>
      <c r="AB134" s="1611"/>
      <c r="AC134" s="1611"/>
      <c r="AD134" s="1611"/>
      <c r="AE134" s="1611"/>
      <c r="AI134" s="330" t="e">
        <f t="shared" si="1"/>
        <v>#DIV/0!</v>
      </c>
    </row>
    <row r="135" spans="1:35" s="364" customFormat="1" ht="14.25" customHeight="1">
      <c r="A135" s="1598" t="s">
        <v>1764</v>
      </c>
      <c r="B135" s="1607"/>
      <c r="C135" s="1607"/>
      <c r="D135" s="1607"/>
      <c r="E135" s="1607"/>
      <c r="F135" s="1607"/>
      <c r="G135" s="1607"/>
      <c r="H135" s="1607"/>
      <c r="I135" s="1607"/>
      <c r="J135" s="1607"/>
      <c r="K135" s="1607"/>
      <c r="L135" s="1607"/>
      <c r="M135" s="1607"/>
      <c r="N135" s="1607"/>
      <c r="O135" s="1607"/>
      <c r="P135" s="1607"/>
      <c r="Q135" s="1607"/>
      <c r="R135" s="1607"/>
      <c r="S135" s="1607"/>
      <c r="T135" s="1607"/>
      <c r="U135" s="1607"/>
      <c r="V135" s="1607"/>
      <c r="W135" s="1607"/>
      <c r="X135" s="1607"/>
      <c r="Y135" s="1607"/>
      <c r="Z135" s="1607"/>
      <c r="AA135" s="1607"/>
      <c r="AB135" s="1607"/>
      <c r="AC135" s="1607"/>
      <c r="AD135" s="1607"/>
      <c r="AE135" s="1608"/>
      <c r="AI135" s="330" t="e">
        <f t="shared" si="1"/>
        <v>#DIV/0!</v>
      </c>
    </row>
    <row r="136" spans="1:35" s="364" customFormat="1" ht="14.25" customHeight="1">
      <c r="A136" s="1612" t="s">
        <v>1765</v>
      </c>
      <c r="B136" s="1613"/>
      <c r="C136" s="1613"/>
      <c r="D136" s="1613"/>
      <c r="E136" s="1613"/>
      <c r="F136" s="1613"/>
      <c r="G136" s="1613"/>
      <c r="H136" s="1613"/>
      <c r="I136" s="1613"/>
      <c r="J136" s="1613"/>
      <c r="K136" s="1613"/>
      <c r="L136" s="1613"/>
      <c r="M136" s="1613"/>
      <c r="N136" s="1613"/>
      <c r="O136" s="1613"/>
      <c r="P136" s="1613"/>
      <c r="Q136" s="1613"/>
      <c r="R136" s="1613"/>
      <c r="S136" s="1613"/>
      <c r="T136" s="1613"/>
      <c r="U136" s="1613"/>
      <c r="V136" s="1613"/>
      <c r="W136" s="1613"/>
      <c r="X136" s="1613"/>
      <c r="Y136" s="1613"/>
      <c r="Z136" s="1613"/>
      <c r="AA136" s="1613"/>
      <c r="AB136" s="1613"/>
      <c r="AC136" s="1613"/>
      <c r="AD136" s="1613"/>
      <c r="AE136" s="1614"/>
      <c r="AI136" s="330" t="e">
        <f t="shared" si="1"/>
        <v>#DIV/0!</v>
      </c>
    </row>
    <row r="137" spans="1:35" s="364" customFormat="1" ht="14.25" customHeight="1">
      <c r="A137" s="357" t="s">
        <v>1766</v>
      </c>
      <c r="B137" s="357"/>
      <c r="C137" s="41" t="s">
        <v>1767</v>
      </c>
      <c r="D137" s="40"/>
      <c r="E137" s="41"/>
      <c r="F137" s="42" t="s">
        <v>1295</v>
      </c>
      <c r="G137" s="43"/>
      <c r="H137" s="440"/>
      <c r="I137" s="440"/>
      <c r="J137" s="440"/>
      <c r="K137" s="440"/>
      <c r="L137" s="441"/>
      <c r="M137" s="441"/>
      <c r="N137" s="441"/>
      <c r="O137" s="440"/>
      <c r="P137" s="440"/>
      <c r="Q137" s="441"/>
      <c r="R137" s="441"/>
      <c r="S137" s="441"/>
      <c r="T137" s="440"/>
      <c r="U137" s="362"/>
      <c r="V137" s="360"/>
      <c r="W137" s="360"/>
      <c r="X137" s="360"/>
      <c r="Y137" s="360"/>
      <c r="Z137" s="358"/>
      <c r="AA137" s="358"/>
      <c r="AB137" s="358"/>
      <c r="AC137" s="358"/>
      <c r="AD137" s="363" t="s">
        <v>1768</v>
      </c>
      <c r="AE137" s="41"/>
      <c r="AI137" s="330" t="e">
        <f t="shared" si="1"/>
        <v>#DIV/0!</v>
      </c>
    </row>
    <row r="138" spans="1:35" s="364" customFormat="1" ht="14.25" customHeight="1">
      <c r="A138" s="387" t="s">
        <v>1769</v>
      </c>
      <c r="B138" s="235" t="s">
        <v>1770</v>
      </c>
      <c r="C138" s="45" t="s">
        <v>1771</v>
      </c>
      <c r="D138" s="89" t="s">
        <v>1772</v>
      </c>
      <c r="E138" s="30" t="s">
        <v>1773</v>
      </c>
      <c r="F138" s="72">
        <v>2690</v>
      </c>
      <c r="G138" s="47" t="s">
        <v>294</v>
      </c>
      <c r="H138" s="33">
        <v>12500</v>
      </c>
      <c r="I138" s="86">
        <v>12500</v>
      </c>
      <c r="J138" s="94">
        <v>19.8</v>
      </c>
      <c r="K138" s="38">
        <v>30</v>
      </c>
      <c r="L138" s="366">
        <v>30</v>
      </c>
      <c r="M138" s="39">
        <v>30</v>
      </c>
      <c r="N138" s="39">
        <v>0</v>
      </c>
      <c r="O138" s="36">
        <v>3.2099999999999997E-2</v>
      </c>
      <c r="P138" s="38">
        <v>5.22</v>
      </c>
      <c r="Q138" s="366">
        <v>5.22</v>
      </c>
      <c r="R138" s="36">
        <v>5.22</v>
      </c>
      <c r="S138" s="36">
        <v>0</v>
      </c>
      <c r="T138" s="36">
        <v>7.7099999999999998E-4</v>
      </c>
      <c r="U138" s="38">
        <v>24.8</v>
      </c>
      <c r="V138" s="366">
        <v>24.8</v>
      </c>
      <c r="W138" s="36">
        <v>24.8</v>
      </c>
      <c r="X138" s="36">
        <v>0</v>
      </c>
      <c r="Y138" s="36">
        <v>3.1399999999999997E-2</v>
      </c>
      <c r="Z138" s="73">
        <v>5.58</v>
      </c>
      <c r="AA138" s="78">
        <v>5.57</v>
      </c>
      <c r="AB138" s="32">
        <v>7.92E-3</v>
      </c>
      <c r="AC138" s="367">
        <v>0</v>
      </c>
      <c r="AD138" s="110" t="s">
        <v>1774</v>
      </c>
      <c r="AE138" s="30" t="s">
        <v>1775</v>
      </c>
      <c r="AF138" s="328">
        <v>2.5099999999999998</v>
      </c>
      <c r="AG138" s="329">
        <v>2.5099999999999998</v>
      </c>
      <c r="AH138" s="442">
        <v>0</v>
      </c>
      <c r="AI138" s="330">
        <f t="shared" si="1"/>
        <v>0.55017921146953408</v>
      </c>
    </row>
    <row r="139" spans="1:35" s="364" customFormat="1" ht="14.25" customHeight="1">
      <c r="A139" s="387" t="s">
        <v>786</v>
      </c>
      <c r="B139" s="235" t="s">
        <v>1776</v>
      </c>
      <c r="C139" s="45" t="s">
        <v>1777</v>
      </c>
      <c r="D139" s="89" t="s">
        <v>1772</v>
      </c>
      <c r="E139" s="30" t="s">
        <v>1773</v>
      </c>
      <c r="F139" s="72">
        <v>2690</v>
      </c>
      <c r="G139" s="47" t="s">
        <v>294</v>
      </c>
      <c r="H139" s="33">
        <v>11500</v>
      </c>
      <c r="I139" s="86">
        <v>11400</v>
      </c>
      <c r="J139" s="94">
        <v>19.8</v>
      </c>
      <c r="K139" s="38">
        <v>30.8</v>
      </c>
      <c r="L139" s="366">
        <v>30.8</v>
      </c>
      <c r="M139" s="39">
        <v>30.8</v>
      </c>
      <c r="N139" s="39">
        <v>0</v>
      </c>
      <c r="O139" s="36">
        <v>3.2099999999999997E-2</v>
      </c>
      <c r="P139" s="38">
        <v>5.24</v>
      </c>
      <c r="Q139" s="366">
        <v>5.24</v>
      </c>
      <c r="R139" s="36">
        <v>5.24</v>
      </c>
      <c r="S139" s="36">
        <v>0</v>
      </c>
      <c r="T139" s="36">
        <v>7.7099999999999998E-4</v>
      </c>
      <c r="U139" s="38">
        <v>25.6</v>
      </c>
      <c r="V139" s="366">
        <v>25.6</v>
      </c>
      <c r="W139" s="36">
        <v>25.6</v>
      </c>
      <c r="X139" s="36">
        <v>0</v>
      </c>
      <c r="Y139" s="36">
        <v>3.1399999999999997E-2</v>
      </c>
      <c r="Z139" s="73">
        <v>5.69</v>
      </c>
      <c r="AA139" s="78">
        <v>5.69</v>
      </c>
      <c r="AB139" s="32">
        <v>7.92E-3</v>
      </c>
      <c r="AC139" s="367">
        <v>0</v>
      </c>
      <c r="AD139" s="110" t="s">
        <v>1778</v>
      </c>
      <c r="AE139" s="30" t="s">
        <v>1775</v>
      </c>
      <c r="AF139" s="328">
        <v>2.5299999999999998</v>
      </c>
      <c r="AG139" s="329">
        <v>2.5299999999999998</v>
      </c>
      <c r="AH139" s="442">
        <v>0</v>
      </c>
      <c r="AI139" s="330">
        <f t="shared" ref="AI139:AI202" si="2">(Z139-AF139)/Z139</f>
        <v>0.55536028119507919</v>
      </c>
    </row>
    <row r="140" spans="1:35" s="364" customFormat="1" ht="14.25" customHeight="1" outlineLevel="1">
      <c r="A140" s="382" t="s">
        <v>1779</v>
      </c>
      <c r="B140" s="61" t="s">
        <v>1780</v>
      </c>
      <c r="C140" s="61" t="s">
        <v>1781</v>
      </c>
      <c r="D140" s="62" t="s">
        <v>1772</v>
      </c>
      <c r="E140" s="61" t="s">
        <v>1773</v>
      </c>
      <c r="F140" s="97">
        <v>2690</v>
      </c>
      <c r="G140" s="98" t="s">
        <v>294</v>
      </c>
      <c r="H140" s="65">
        <v>12700</v>
      </c>
      <c r="I140" s="66">
        <v>12700</v>
      </c>
      <c r="J140" s="66">
        <v>19.8</v>
      </c>
      <c r="K140" s="67">
        <v>13.1</v>
      </c>
      <c r="L140" s="108">
        <v>13.1</v>
      </c>
      <c r="M140" s="108">
        <v>13.1</v>
      </c>
      <c r="N140" s="108">
        <v>0</v>
      </c>
      <c r="O140" s="108">
        <v>3.2099999999999997E-2</v>
      </c>
      <c r="P140" s="67">
        <v>4.26</v>
      </c>
      <c r="Q140" s="108">
        <v>4.26</v>
      </c>
      <c r="R140" s="108">
        <v>4.26</v>
      </c>
      <c r="S140" s="108">
        <v>0</v>
      </c>
      <c r="T140" s="108">
        <v>7.7099999999999998E-4</v>
      </c>
      <c r="U140" s="67">
        <v>8.8800000000000008</v>
      </c>
      <c r="V140" s="108">
        <v>8.85</v>
      </c>
      <c r="W140" s="108">
        <v>8.85</v>
      </c>
      <c r="X140" s="108">
        <v>0</v>
      </c>
      <c r="Y140" s="108">
        <v>3.1399999999999997E-2</v>
      </c>
      <c r="Z140" s="70">
        <v>2.67</v>
      </c>
      <c r="AA140" s="69">
        <v>2.66</v>
      </c>
      <c r="AB140" s="71">
        <v>7.92E-3</v>
      </c>
      <c r="AC140" s="385">
        <v>0</v>
      </c>
      <c r="AD140" s="61" t="s">
        <v>1782</v>
      </c>
      <c r="AE140" s="61" t="s">
        <v>1775</v>
      </c>
      <c r="AF140" s="37"/>
      <c r="AG140" s="37"/>
      <c r="AH140" s="37"/>
      <c r="AI140" s="330">
        <f t="shared" si="2"/>
        <v>1</v>
      </c>
    </row>
    <row r="141" spans="1:35" s="364" customFormat="1" ht="14.25" customHeight="1">
      <c r="A141" s="776" t="s">
        <v>687</v>
      </c>
      <c r="B141" s="235" t="s">
        <v>1783</v>
      </c>
      <c r="C141" s="45" t="s">
        <v>1784</v>
      </c>
      <c r="D141" s="89" t="s">
        <v>1785</v>
      </c>
      <c r="E141" s="30" t="s">
        <v>1786</v>
      </c>
      <c r="F141" s="72">
        <v>7850</v>
      </c>
      <c r="G141" s="47" t="s">
        <v>294</v>
      </c>
      <c r="H141" s="33">
        <v>1590</v>
      </c>
      <c r="I141" s="34">
        <v>1570</v>
      </c>
      <c r="J141" s="94">
        <v>19.5</v>
      </c>
      <c r="K141" s="87">
        <v>3.79</v>
      </c>
      <c r="L141" s="36">
        <v>3.74</v>
      </c>
      <c r="M141" s="39">
        <v>3.74</v>
      </c>
      <c r="N141" s="39">
        <v>0</v>
      </c>
      <c r="O141" s="36">
        <v>5.2499999999999998E-2</v>
      </c>
      <c r="P141" s="87">
        <v>0.35199999999999998</v>
      </c>
      <c r="Q141" s="36">
        <v>0.35</v>
      </c>
      <c r="R141" s="36">
        <v>0.35</v>
      </c>
      <c r="S141" s="36">
        <v>0</v>
      </c>
      <c r="T141" s="36">
        <v>1.97E-3</v>
      </c>
      <c r="U141" s="87">
        <v>3.44</v>
      </c>
      <c r="V141" s="36">
        <v>3.39</v>
      </c>
      <c r="W141" s="36">
        <v>3.39</v>
      </c>
      <c r="X141" s="36">
        <v>0</v>
      </c>
      <c r="Y141" s="36">
        <v>5.0500000000000003E-2</v>
      </c>
      <c r="Z141" s="50">
        <v>0.78500000000000003</v>
      </c>
      <c r="AA141" s="31">
        <v>0.77300000000000002</v>
      </c>
      <c r="AB141" s="32">
        <v>1.2200000000000001E-2</v>
      </c>
      <c r="AC141" s="367">
        <v>0</v>
      </c>
      <c r="AD141" s="110" t="s">
        <v>1787</v>
      </c>
      <c r="AE141" s="30" t="s">
        <v>1788</v>
      </c>
      <c r="AF141" s="328">
        <v>0.29099999999999998</v>
      </c>
      <c r="AG141" s="329">
        <v>0.29099999999999998</v>
      </c>
      <c r="AH141" s="442">
        <v>0</v>
      </c>
      <c r="AI141" s="330">
        <f t="shared" si="2"/>
        <v>0.62929936305732492</v>
      </c>
    </row>
    <row r="142" spans="1:35" s="364" customFormat="1" ht="14.25" customHeight="1">
      <c r="A142" s="387" t="s">
        <v>1789</v>
      </c>
      <c r="B142" s="235" t="s">
        <v>1790</v>
      </c>
      <c r="C142" s="45" t="s">
        <v>1791</v>
      </c>
      <c r="D142" s="89" t="s">
        <v>1772</v>
      </c>
      <c r="E142" s="30" t="s">
        <v>1773</v>
      </c>
      <c r="F142" s="72">
        <v>11340</v>
      </c>
      <c r="G142" s="47" t="s">
        <v>294</v>
      </c>
      <c r="H142" s="33">
        <v>3810</v>
      </c>
      <c r="I142" s="86">
        <v>3790</v>
      </c>
      <c r="J142" s="94">
        <v>19.8</v>
      </c>
      <c r="K142" s="87">
        <v>4.08</v>
      </c>
      <c r="L142" s="366">
        <v>4.04</v>
      </c>
      <c r="M142" s="39">
        <v>4.04</v>
      </c>
      <c r="N142" s="39">
        <v>0</v>
      </c>
      <c r="O142" s="36">
        <v>3.2099999999999997E-2</v>
      </c>
      <c r="P142" s="87">
        <v>0.24</v>
      </c>
      <c r="Q142" s="366">
        <v>0.23899999999999999</v>
      </c>
      <c r="R142" s="36">
        <v>0.23899999999999999</v>
      </c>
      <c r="S142" s="36">
        <v>0</v>
      </c>
      <c r="T142" s="36">
        <v>7.7099999999999998E-4</v>
      </c>
      <c r="U142" s="87">
        <v>3.84</v>
      </c>
      <c r="V142" s="366">
        <v>3.8</v>
      </c>
      <c r="W142" s="36">
        <v>3.8</v>
      </c>
      <c r="X142" s="36">
        <v>0</v>
      </c>
      <c r="Y142" s="36">
        <v>3.1399999999999997E-2</v>
      </c>
      <c r="Z142" s="73">
        <v>1.02</v>
      </c>
      <c r="AA142" s="78">
        <v>1.01</v>
      </c>
      <c r="AB142" s="32">
        <v>7.92E-3</v>
      </c>
      <c r="AC142" s="367">
        <v>0</v>
      </c>
      <c r="AD142" s="110" t="s">
        <v>1792</v>
      </c>
      <c r="AE142" s="30" t="s">
        <v>1775</v>
      </c>
      <c r="AF142" s="398">
        <v>0.58899999999999997</v>
      </c>
      <c r="AG142" s="399">
        <v>0.58899999999999997</v>
      </c>
      <c r="AH142" s="443">
        <v>0</v>
      </c>
      <c r="AI142" s="330">
        <f t="shared" si="2"/>
        <v>0.42254901960784319</v>
      </c>
    </row>
    <row r="143" spans="1:35" s="364" customFormat="1" ht="14.25" customHeight="1">
      <c r="A143" s="387" t="s">
        <v>769</v>
      </c>
      <c r="B143" s="235" t="s">
        <v>1793</v>
      </c>
      <c r="C143" s="45" t="s">
        <v>1794</v>
      </c>
      <c r="D143" s="89" t="s">
        <v>1795</v>
      </c>
      <c r="E143" s="30" t="s">
        <v>1796</v>
      </c>
      <c r="F143" s="72">
        <v>7900</v>
      </c>
      <c r="G143" s="47" t="s">
        <v>294</v>
      </c>
      <c r="H143" s="33">
        <v>9700</v>
      </c>
      <c r="I143" s="86">
        <v>9690</v>
      </c>
      <c r="J143" s="94">
        <v>11.1</v>
      </c>
      <c r="K143" s="87">
        <v>16.899999999999999</v>
      </c>
      <c r="L143" s="366">
        <v>16.899999999999999</v>
      </c>
      <c r="M143" s="39">
        <v>16.899999999999999</v>
      </c>
      <c r="N143" s="39">
        <v>0</v>
      </c>
      <c r="O143" s="36">
        <v>2.7799999999999998E-2</v>
      </c>
      <c r="P143" s="87">
        <v>2.38</v>
      </c>
      <c r="Q143" s="366">
        <v>2.38</v>
      </c>
      <c r="R143" s="36">
        <v>2.38</v>
      </c>
      <c r="S143" s="36">
        <v>0</v>
      </c>
      <c r="T143" s="36">
        <v>5.6700000000000001E-4</v>
      </c>
      <c r="U143" s="87">
        <v>14.6</v>
      </c>
      <c r="V143" s="366">
        <v>14.5</v>
      </c>
      <c r="W143" s="36">
        <v>14.5</v>
      </c>
      <c r="X143" s="36">
        <v>0</v>
      </c>
      <c r="Y143" s="36">
        <v>2.7199999999999998E-2</v>
      </c>
      <c r="Z143" s="73">
        <v>4.12</v>
      </c>
      <c r="AA143" s="78">
        <v>4.1100000000000003</v>
      </c>
      <c r="AB143" s="32">
        <v>6.9300000000000004E-3</v>
      </c>
      <c r="AC143" s="367">
        <v>0</v>
      </c>
      <c r="AD143" s="110" t="s">
        <v>1797</v>
      </c>
      <c r="AE143" s="30" t="s">
        <v>1798</v>
      </c>
      <c r="AF143" s="328">
        <v>1.1100000000000001</v>
      </c>
      <c r="AG143" s="329">
        <v>1.1100000000000001</v>
      </c>
      <c r="AH143" s="442">
        <v>0</v>
      </c>
      <c r="AI143" s="330">
        <f t="shared" si="2"/>
        <v>0.73058252427184456</v>
      </c>
    </row>
    <row r="144" spans="1:35" s="364" customFormat="1" ht="14.25" customHeight="1">
      <c r="A144" s="387" t="s">
        <v>1799</v>
      </c>
      <c r="B144" s="235" t="s">
        <v>1800</v>
      </c>
      <c r="C144" s="45" t="s">
        <v>1801</v>
      </c>
      <c r="D144" s="89" t="s">
        <v>1795</v>
      </c>
      <c r="E144" s="30" t="s">
        <v>1796</v>
      </c>
      <c r="F144" s="72">
        <v>7900</v>
      </c>
      <c r="G144" s="47" t="s">
        <v>294</v>
      </c>
      <c r="H144" s="33">
        <v>13000</v>
      </c>
      <c r="I144" s="86">
        <v>13000</v>
      </c>
      <c r="J144" s="94">
        <v>11.1</v>
      </c>
      <c r="K144" s="87">
        <v>24.9</v>
      </c>
      <c r="L144" s="366">
        <v>24.9</v>
      </c>
      <c r="M144" s="39">
        <v>24.9</v>
      </c>
      <c r="N144" s="39">
        <v>0</v>
      </c>
      <c r="O144" s="36">
        <v>2.7799999999999998E-2</v>
      </c>
      <c r="P144" s="87">
        <v>2.65</v>
      </c>
      <c r="Q144" s="366">
        <v>2.65</v>
      </c>
      <c r="R144" s="36">
        <v>2.65</v>
      </c>
      <c r="S144" s="36">
        <v>0</v>
      </c>
      <c r="T144" s="36">
        <v>5.6700000000000001E-4</v>
      </c>
      <c r="U144" s="87">
        <v>22.3</v>
      </c>
      <c r="V144" s="366">
        <v>22.2</v>
      </c>
      <c r="W144" s="36">
        <v>22.2</v>
      </c>
      <c r="X144" s="36">
        <v>0</v>
      </c>
      <c r="Y144" s="36">
        <v>2.7199999999999998E-2</v>
      </c>
      <c r="Z144" s="73">
        <v>5.87</v>
      </c>
      <c r="AA144" s="78">
        <v>5.87</v>
      </c>
      <c r="AB144" s="32">
        <v>6.9300000000000004E-3</v>
      </c>
      <c r="AC144" s="367">
        <v>0</v>
      </c>
      <c r="AD144" s="110" t="s">
        <v>1802</v>
      </c>
      <c r="AE144" s="30" t="s">
        <v>1798</v>
      </c>
      <c r="AF144" s="328">
        <v>2.36</v>
      </c>
      <c r="AG144" s="329">
        <v>2.36</v>
      </c>
      <c r="AH144" s="442">
        <v>0</v>
      </c>
      <c r="AI144" s="330">
        <f t="shared" si="2"/>
        <v>0.59795570698466782</v>
      </c>
    </row>
    <row r="145" spans="1:35" s="364" customFormat="1" ht="14.25" customHeight="1">
      <c r="A145" s="387" t="s">
        <v>1803</v>
      </c>
      <c r="B145" s="235" t="s">
        <v>1804</v>
      </c>
      <c r="C145" s="45" t="s">
        <v>1805</v>
      </c>
      <c r="D145" s="89" t="s">
        <v>1795</v>
      </c>
      <c r="E145" s="30" t="s">
        <v>1796</v>
      </c>
      <c r="F145" s="72">
        <v>7700</v>
      </c>
      <c r="G145" s="47" t="s">
        <v>294</v>
      </c>
      <c r="H145" s="33">
        <v>7070</v>
      </c>
      <c r="I145" s="86">
        <v>7060</v>
      </c>
      <c r="J145" s="94">
        <v>11.1</v>
      </c>
      <c r="K145" s="87">
        <v>9.49</v>
      </c>
      <c r="L145" s="366">
        <v>9.4600000000000009</v>
      </c>
      <c r="M145" s="39">
        <v>9.4600000000000009</v>
      </c>
      <c r="N145" s="39">
        <v>0</v>
      </c>
      <c r="O145" s="36">
        <v>2.7799999999999998E-2</v>
      </c>
      <c r="P145" s="87">
        <v>0.96</v>
      </c>
      <c r="Q145" s="366">
        <v>0.96</v>
      </c>
      <c r="R145" s="36">
        <v>0.96</v>
      </c>
      <c r="S145" s="36">
        <v>0</v>
      </c>
      <c r="T145" s="36">
        <v>5.6700000000000001E-4</v>
      </c>
      <c r="U145" s="87">
        <v>8.5299999999999994</v>
      </c>
      <c r="V145" s="366">
        <v>8.51</v>
      </c>
      <c r="W145" s="36">
        <v>8.51</v>
      </c>
      <c r="X145" s="36">
        <v>0</v>
      </c>
      <c r="Y145" s="36">
        <v>2.7199999999999998E-2</v>
      </c>
      <c r="Z145" s="73">
        <v>2.74</v>
      </c>
      <c r="AA145" s="78">
        <v>2.73</v>
      </c>
      <c r="AB145" s="32">
        <v>6.9300000000000004E-3</v>
      </c>
      <c r="AC145" s="367">
        <v>0</v>
      </c>
      <c r="AD145" s="110" t="s">
        <v>1806</v>
      </c>
      <c r="AE145" s="30" t="s">
        <v>1798</v>
      </c>
      <c r="AF145" s="328">
        <v>1.37</v>
      </c>
      <c r="AG145" s="329">
        <v>1.37</v>
      </c>
      <c r="AH145" s="442">
        <v>0</v>
      </c>
      <c r="AI145" s="330">
        <f t="shared" si="2"/>
        <v>0.5</v>
      </c>
    </row>
    <row r="146" spans="1:35" s="364" customFormat="1" ht="14.25" customHeight="1">
      <c r="A146" s="387" t="s">
        <v>1807</v>
      </c>
      <c r="B146" s="235" t="s">
        <v>1808</v>
      </c>
      <c r="C146" s="45" t="s">
        <v>1809</v>
      </c>
      <c r="D146" s="89" t="s">
        <v>1795</v>
      </c>
      <c r="E146" s="30" t="s">
        <v>1796</v>
      </c>
      <c r="F146" s="72">
        <v>7700</v>
      </c>
      <c r="G146" s="47" t="s">
        <v>294</v>
      </c>
      <c r="H146" s="33">
        <v>10400</v>
      </c>
      <c r="I146" s="86">
        <v>10400</v>
      </c>
      <c r="J146" s="94">
        <v>11.1</v>
      </c>
      <c r="K146" s="87">
        <v>17.5</v>
      </c>
      <c r="L146" s="366">
        <v>17.399999999999999</v>
      </c>
      <c r="M146" s="39">
        <v>17.399999999999999</v>
      </c>
      <c r="N146" s="39">
        <v>0</v>
      </c>
      <c r="O146" s="36">
        <v>2.7799999999999998E-2</v>
      </c>
      <c r="P146" s="87">
        <v>1.22</v>
      </c>
      <c r="Q146" s="366">
        <v>1.22</v>
      </c>
      <c r="R146" s="36">
        <v>1.22</v>
      </c>
      <c r="S146" s="36">
        <v>0</v>
      </c>
      <c r="T146" s="36">
        <v>5.6700000000000001E-4</v>
      </c>
      <c r="U146" s="87">
        <v>16.2</v>
      </c>
      <c r="V146" s="366">
        <v>16.2</v>
      </c>
      <c r="W146" s="36">
        <v>16.2</v>
      </c>
      <c r="X146" s="36">
        <v>0</v>
      </c>
      <c r="Y146" s="36">
        <v>2.7199999999999998E-2</v>
      </c>
      <c r="Z146" s="73">
        <v>4.49</v>
      </c>
      <c r="AA146" s="78">
        <v>4.4800000000000004</v>
      </c>
      <c r="AB146" s="32">
        <v>6.9300000000000004E-3</v>
      </c>
      <c r="AC146" s="367">
        <v>0</v>
      </c>
      <c r="AD146" s="110" t="s">
        <v>1810</v>
      </c>
      <c r="AE146" s="30" t="s">
        <v>1798</v>
      </c>
      <c r="AF146" s="328">
        <v>2.62</v>
      </c>
      <c r="AG146" s="329">
        <v>2.62</v>
      </c>
      <c r="AH146" s="442">
        <v>0</v>
      </c>
      <c r="AI146" s="330">
        <f t="shared" si="2"/>
        <v>0.41648106904231624</v>
      </c>
    </row>
    <row r="147" spans="1:35" s="364" customFormat="1" ht="14.25" customHeight="1">
      <c r="A147" s="387" t="s">
        <v>1811</v>
      </c>
      <c r="B147" s="235" t="s">
        <v>1812</v>
      </c>
      <c r="C147" s="45" t="s">
        <v>1813</v>
      </c>
      <c r="D147" s="89" t="s">
        <v>1772</v>
      </c>
      <c r="E147" s="30" t="s">
        <v>1773</v>
      </c>
      <c r="F147" s="72">
        <v>8900</v>
      </c>
      <c r="G147" s="47" t="s">
        <v>294</v>
      </c>
      <c r="H147" s="33">
        <v>24500</v>
      </c>
      <c r="I147" s="86">
        <v>24500</v>
      </c>
      <c r="J147" s="94">
        <v>19.8</v>
      </c>
      <c r="K147" s="87">
        <v>10.5</v>
      </c>
      <c r="L147" s="366">
        <v>10.5</v>
      </c>
      <c r="M147" s="39">
        <v>10.5</v>
      </c>
      <c r="N147" s="39">
        <v>0</v>
      </c>
      <c r="O147" s="36">
        <v>3.2099999999999997E-2</v>
      </c>
      <c r="P147" s="87">
        <v>1.62</v>
      </c>
      <c r="Q147" s="366">
        <v>1.62</v>
      </c>
      <c r="R147" s="36">
        <v>1.62</v>
      </c>
      <c r="S147" s="36">
        <v>0</v>
      </c>
      <c r="T147" s="36">
        <v>7.7099999999999998E-4</v>
      </c>
      <c r="U147" s="87">
        <v>8.9</v>
      </c>
      <c r="V147" s="366">
        <v>8.8699999999999992</v>
      </c>
      <c r="W147" s="36">
        <v>8.8699999999999992</v>
      </c>
      <c r="X147" s="36">
        <v>0</v>
      </c>
      <c r="Y147" s="36">
        <v>3.1399999999999997E-2</v>
      </c>
      <c r="Z147" s="73">
        <v>2.2000000000000002</v>
      </c>
      <c r="AA147" s="78">
        <v>2.2000000000000002</v>
      </c>
      <c r="AB147" s="32">
        <v>7.92E-3</v>
      </c>
      <c r="AC147" s="367">
        <v>0</v>
      </c>
      <c r="AD147" s="110" t="s">
        <v>1814</v>
      </c>
      <c r="AE147" s="30" t="s">
        <v>1775</v>
      </c>
      <c r="AF147" s="328">
        <v>0.51100000000000001</v>
      </c>
      <c r="AG147" s="329">
        <v>0.51100000000000001</v>
      </c>
      <c r="AH147" s="442">
        <v>0</v>
      </c>
      <c r="AI147" s="330">
        <f t="shared" si="2"/>
        <v>0.7677272727272727</v>
      </c>
    </row>
    <row r="148" spans="1:35" s="364" customFormat="1" ht="14.25" customHeight="1">
      <c r="A148" s="387" t="s">
        <v>1815</v>
      </c>
      <c r="B148" s="235" t="s">
        <v>1816</v>
      </c>
      <c r="C148" s="45" t="s">
        <v>1817</v>
      </c>
      <c r="D148" s="89" t="s">
        <v>1772</v>
      </c>
      <c r="E148" s="30" t="s">
        <v>1773</v>
      </c>
      <c r="F148" s="72">
        <v>8300</v>
      </c>
      <c r="G148" s="47" t="s">
        <v>294</v>
      </c>
      <c r="H148" s="33">
        <v>25500</v>
      </c>
      <c r="I148" s="86">
        <v>25400</v>
      </c>
      <c r="J148" s="94">
        <v>19.8</v>
      </c>
      <c r="K148" s="87">
        <v>13</v>
      </c>
      <c r="L148" s="366">
        <v>12.9</v>
      </c>
      <c r="M148" s="39">
        <v>12.9</v>
      </c>
      <c r="N148" s="39">
        <v>0</v>
      </c>
      <c r="O148" s="36">
        <v>3.2099999999999997E-2</v>
      </c>
      <c r="P148" s="87">
        <v>1.88</v>
      </c>
      <c r="Q148" s="366">
        <v>1.88</v>
      </c>
      <c r="R148" s="36">
        <v>1.88</v>
      </c>
      <c r="S148" s="36">
        <v>0</v>
      </c>
      <c r="T148" s="36">
        <v>7.7099999999999998E-4</v>
      </c>
      <c r="U148" s="87">
        <v>11.1</v>
      </c>
      <c r="V148" s="366">
        <v>11</v>
      </c>
      <c r="W148" s="36">
        <v>11</v>
      </c>
      <c r="X148" s="36">
        <v>0</v>
      </c>
      <c r="Y148" s="36">
        <v>3.1399999999999997E-2</v>
      </c>
      <c r="Z148" s="73">
        <v>2.71</v>
      </c>
      <c r="AA148" s="78">
        <v>2.7</v>
      </c>
      <c r="AB148" s="32">
        <v>7.92E-3</v>
      </c>
      <c r="AC148" s="367">
        <v>0</v>
      </c>
      <c r="AD148" s="110" t="s">
        <v>1818</v>
      </c>
      <c r="AE148" s="30" t="s">
        <v>1775</v>
      </c>
      <c r="AF148" s="398">
        <v>0.81799999999999995</v>
      </c>
      <c r="AG148" s="399">
        <v>0.81799999999999995</v>
      </c>
      <c r="AH148" s="443">
        <v>0</v>
      </c>
      <c r="AI148" s="330">
        <f t="shared" si="2"/>
        <v>0.69815498154981548</v>
      </c>
    </row>
    <row r="149" spans="1:35" s="364" customFormat="1" ht="14.25" customHeight="1">
      <c r="A149" s="387" t="s">
        <v>1819</v>
      </c>
      <c r="B149" s="235" t="s">
        <v>1820</v>
      </c>
      <c r="C149" s="45" t="s">
        <v>1821</v>
      </c>
      <c r="D149" s="89" t="s">
        <v>1795</v>
      </c>
      <c r="E149" s="30" t="s">
        <v>1796</v>
      </c>
      <c r="F149" s="72">
        <v>7850</v>
      </c>
      <c r="G149" s="47" t="s">
        <v>294</v>
      </c>
      <c r="H149" s="33">
        <v>5260</v>
      </c>
      <c r="I149" s="86">
        <v>5250</v>
      </c>
      <c r="J149" s="94">
        <v>11.1</v>
      </c>
      <c r="K149" s="87">
        <v>8.41</v>
      </c>
      <c r="L149" s="366">
        <v>8.3800000000000008</v>
      </c>
      <c r="M149" s="39">
        <v>8.3800000000000008</v>
      </c>
      <c r="N149" s="39">
        <v>0</v>
      </c>
      <c r="O149" s="36">
        <v>2.7799999999999998E-2</v>
      </c>
      <c r="P149" s="87">
        <v>0.61199999999999999</v>
      </c>
      <c r="Q149" s="366">
        <v>0.61199999999999999</v>
      </c>
      <c r="R149" s="36">
        <v>0.61199999999999999</v>
      </c>
      <c r="S149" s="36">
        <v>0</v>
      </c>
      <c r="T149" s="36">
        <v>5.6700000000000001E-4</v>
      </c>
      <c r="U149" s="87">
        <v>7.8</v>
      </c>
      <c r="V149" s="366">
        <v>7.77</v>
      </c>
      <c r="W149" s="36">
        <v>7.77</v>
      </c>
      <c r="X149" s="36">
        <v>0</v>
      </c>
      <c r="Y149" s="36">
        <v>2.7199999999999998E-2</v>
      </c>
      <c r="Z149" s="73">
        <v>2.8</v>
      </c>
      <c r="AA149" s="78">
        <v>2.79</v>
      </c>
      <c r="AB149" s="32">
        <v>6.9300000000000004E-3</v>
      </c>
      <c r="AC149" s="367">
        <v>0</v>
      </c>
      <c r="AD149" s="110" t="s">
        <v>1822</v>
      </c>
      <c r="AE149" s="30" t="s">
        <v>1798</v>
      </c>
      <c r="AF149" s="328">
        <v>0.80300000000000005</v>
      </c>
      <c r="AG149" s="329">
        <v>0.80300000000000005</v>
      </c>
      <c r="AH149" s="442">
        <v>0</v>
      </c>
      <c r="AI149" s="330">
        <f t="shared" si="2"/>
        <v>0.71321428571428569</v>
      </c>
    </row>
    <row r="150" spans="1:35" s="364" customFormat="1" ht="14.25" customHeight="1">
      <c r="A150" s="387" t="s">
        <v>772</v>
      </c>
      <c r="B150" s="235" t="s">
        <v>1823</v>
      </c>
      <c r="C150" s="45" t="s">
        <v>1824</v>
      </c>
      <c r="D150" s="89" t="s">
        <v>1795</v>
      </c>
      <c r="E150" s="30" t="s">
        <v>1796</v>
      </c>
      <c r="F150" s="72">
        <v>7850</v>
      </c>
      <c r="G150" s="47" t="s">
        <v>294</v>
      </c>
      <c r="H150" s="33">
        <v>15200</v>
      </c>
      <c r="I150" s="86">
        <v>15200</v>
      </c>
      <c r="J150" s="94">
        <v>11.1</v>
      </c>
      <c r="K150" s="87">
        <v>17</v>
      </c>
      <c r="L150" s="366">
        <v>17</v>
      </c>
      <c r="M150" s="39">
        <v>17</v>
      </c>
      <c r="N150" s="39">
        <v>0</v>
      </c>
      <c r="O150" s="36">
        <v>2.7799999999999998E-2</v>
      </c>
      <c r="P150" s="87">
        <v>1.37</v>
      </c>
      <c r="Q150" s="366">
        <v>1.37</v>
      </c>
      <c r="R150" s="36">
        <v>1.37</v>
      </c>
      <c r="S150" s="36">
        <v>0</v>
      </c>
      <c r="T150" s="36">
        <v>5.6700000000000001E-4</v>
      </c>
      <c r="U150" s="87">
        <v>15.6</v>
      </c>
      <c r="V150" s="366">
        <v>15.6</v>
      </c>
      <c r="W150" s="36">
        <v>15.6</v>
      </c>
      <c r="X150" s="36">
        <v>0</v>
      </c>
      <c r="Y150" s="36">
        <v>2.7199999999999998E-2</v>
      </c>
      <c r="Z150" s="73">
        <v>4.49</v>
      </c>
      <c r="AA150" s="78">
        <v>4.4800000000000004</v>
      </c>
      <c r="AB150" s="32">
        <v>6.9300000000000004E-3</v>
      </c>
      <c r="AC150" s="367">
        <v>0</v>
      </c>
      <c r="AD150" s="110" t="s">
        <v>1825</v>
      </c>
      <c r="AE150" s="30" t="s">
        <v>1798</v>
      </c>
      <c r="AF150" s="328">
        <v>1.74</v>
      </c>
      <c r="AG150" s="329">
        <v>1.74</v>
      </c>
      <c r="AH150" s="442">
        <v>0</v>
      </c>
      <c r="AI150" s="330">
        <f t="shared" si="2"/>
        <v>0.61247216035634744</v>
      </c>
    </row>
    <row r="151" spans="1:35" s="364" customFormat="1" ht="14.25" customHeight="1">
      <c r="A151" s="387" t="s">
        <v>863</v>
      </c>
      <c r="B151" s="235" t="s">
        <v>1826</v>
      </c>
      <c r="C151" s="45" t="s">
        <v>1827</v>
      </c>
      <c r="D151" s="89" t="s">
        <v>1795</v>
      </c>
      <c r="E151" s="30" t="s">
        <v>1796</v>
      </c>
      <c r="F151" s="72">
        <v>7850</v>
      </c>
      <c r="G151" s="47" t="s">
        <v>294</v>
      </c>
      <c r="H151" s="33">
        <v>1290</v>
      </c>
      <c r="I151" s="86">
        <v>1280</v>
      </c>
      <c r="J151" s="94">
        <v>11.1</v>
      </c>
      <c r="K151" s="87">
        <v>3.62</v>
      </c>
      <c r="L151" s="366">
        <v>3.59</v>
      </c>
      <c r="M151" s="39">
        <v>3.59</v>
      </c>
      <c r="N151" s="39">
        <v>0</v>
      </c>
      <c r="O151" s="36">
        <v>2.7799999999999998E-2</v>
      </c>
      <c r="P151" s="87">
        <v>0.245</v>
      </c>
      <c r="Q151" s="366">
        <v>0.245</v>
      </c>
      <c r="R151" s="36">
        <v>0.245</v>
      </c>
      <c r="S151" s="36">
        <v>0</v>
      </c>
      <c r="T151" s="36">
        <v>5.6700000000000001E-4</v>
      </c>
      <c r="U151" s="87">
        <v>3.38</v>
      </c>
      <c r="V151" s="366">
        <v>3.35</v>
      </c>
      <c r="W151" s="36">
        <v>3.35</v>
      </c>
      <c r="X151" s="36">
        <v>0</v>
      </c>
      <c r="Y151" s="36">
        <v>2.7199999999999998E-2</v>
      </c>
      <c r="Z151" s="50">
        <v>0.73599999999999999</v>
      </c>
      <c r="AA151" s="79">
        <v>0.72899999999999998</v>
      </c>
      <c r="AB151" s="32">
        <v>6.9300000000000004E-3</v>
      </c>
      <c r="AC151" s="367">
        <v>0</v>
      </c>
      <c r="AD151" s="110" t="s">
        <v>1828</v>
      </c>
      <c r="AE151" s="30" t="s">
        <v>1798</v>
      </c>
      <c r="AF151" s="328">
        <v>0.26500000000000001</v>
      </c>
      <c r="AG151" s="329">
        <v>0.26500000000000001</v>
      </c>
      <c r="AH151" s="442">
        <v>0</v>
      </c>
      <c r="AI151" s="330">
        <f t="shared" si="2"/>
        <v>0.63994565217391297</v>
      </c>
    </row>
    <row r="152" spans="1:35" s="364" customFormat="1" ht="14.25" customHeight="1">
      <c r="A152" s="387" t="s">
        <v>1829</v>
      </c>
      <c r="B152" s="235" t="s">
        <v>1830</v>
      </c>
      <c r="C152" s="45" t="s">
        <v>1831</v>
      </c>
      <c r="D152" s="89" t="s">
        <v>1772</v>
      </c>
      <c r="E152" s="30" t="s">
        <v>1773</v>
      </c>
      <c r="F152" s="72">
        <v>7200</v>
      </c>
      <c r="G152" s="47" t="s">
        <v>294</v>
      </c>
      <c r="H152" s="33">
        <v>27800</v>
      </c>
      <c r="I152" s="86">
        <v>27800</v>
      </c>
      <c r="J152" s="94">
        <v>19.8</v>
      </c>
      <c r="K152" s="87">
        <v>20</v>
      </c>
      <c r="L152" s="366">
        <v>20</v>
      </c>
      <c r="M152" s="39">
        <v>20</v>
      </c>
      <c r="N152" s="39">
        <v>0</v>
      </c>
      <c r="O152" s="36">
        <v>3.2099999999999997E-2</v>
      </c>
      <c r="P152" s="87">
        <v>2.59</v>
      </c>
      <c r="Q152" s="366">
        <v>2.59</v>
      </c>
      <c r="R152" s="36">
        <v>2.59</v>
      </c>
      <c r="S152" s="36">
        <v>0</v>
      </c>
      <c r="T152" s="36">
        <v>7.7099999999999998E-4</v>
      </c>
      <c r="U152" s="87">
        <v>17.5</v>
      </c>
      <c r="V152" s="366">
        <v>17.399999999999999</v>
      </c>
      <c r="W152" s="36">
        <v>17.399999999999999</v>
      </c>
      <c r="X152" s="36">
        <v>0</v>
      </c>
      <c r="Y152" s="36">
        <v>3.1399999999999997E-2</v>
      </c>
      <c r="Z152" s="73">
        <v>4.0199999999999996</v>
      </c>
      <c r="AA152" s="78">
        <v>4.0199999999999996</v>
      </c>
      <c r="AB152" s="32">
        <v>7.92E-3</v>
      </c>
      <c r="AC152" s="367">
        <v>0</v>
      </c>
      <c r="AD152" s="110" t="s">
        <v>1832</v>
      </c>
      <c r="AE152" s="30" t="s">
        <v>1775</v>
      </c>
      <c r="AF152" s="398">
        <v>1.64</v>
      </c>
      <c r="AG152" s="399">
        <v>1.64</v>
      </c>
      <c r="AH152" s="443">
        <v>0</v>
      </c>
      <c r="AI152" s="330">
        <f t="shared" si="2"/>
        <v>0.59203980099502496</v>
      </c>
    </row>
    <row r="153" spans="1:35" s="364" customFormat="1" ht="14.25" customHeight="1">
      <c r="A153" s="357" t="s">
        <v>1833</v>
      </c>
      <c r="B153" s="807"/>
      <c r="C153" s="357" t="s">
        <v>1834</v>
      </c>
      <c r="D153" s="40"/>
      <c r="E153" s="41"/>
      <c r="F153" s="42" t="s">
        <v>1295</v>
      </c>
      <c r="G153" s="43"/>
      <c r="H153" s="386"/>
      <c r="I153" s="386"/>
      <c r="J153" s="386"/>
      <c r="K153" s="393"/>
      <c r="L153" s="394"/>
      <c r="M153" s="373"/>
      <c r="N153" s="373"/>
      <c r="O153" s="395"/>
      <c r="P153" s="395"/>
      <c r="Q153" s="394"/>
      <c r="R153" s="373"/>
      <c r="S153" s="373"/>
      <c r="T153" s="395"/>
      <c r="U153" s="395"/>
      <c r="V153" s="394"/>
      <c r="W153" s="373"/>
      <c r="X153" s="373"/>
      <c r="Y153" s="394"/>
      <c r="Z153" s="426"/>
      <c r="AA153" s="360"/>
      <c r="AB153" s="444"/>
      <c r="AC153" s="444"/>
      <c r="AD153" s="445" t="s">
        <v>1835</v>
      </c>
      <c r="AE153" s="41"/>
      <c r="AI153" s="330" t="e">
        <f t="shared" si="2"/>
        <v>#DIV/0!</v>
      </c>
    </row>
    <row r="154" spans="1:35" s="364" customFormat="1" ht="14.25" customHeight="1">
      <c r="A154" s="387" t="s">
        <v>705</v>
      </c>
      <c r="B154" s="235" t="s">
        <v>1836</v>
      </c>
      <c r="C154" s="30" t="s">
        <v>1837</v>
      </c>
      <c r="D154" s="89" t="s">
        <v>1838</v>
      </c>
      <c r="E154" s="30" t="s">
        <v>1839</v>
      </c>
      <c r="F154" s="32">
        <v>453</v>
      </c>
      <c r="G154" s="32" t="s">
        <v>294</v>
      </c>
      <c r="H154" s="33">
        <v>1010</v>
      </c>
      <c r="I154" s="34">
        <v>932</v>
      </c>
      <c r="J154" s="49">
        <v>80.3</v>
      </c>
      <c r="K154" s="87">
        <v>15.4</v>
      </c>
      <c r="L154" s="36">
        <v>15.3</v>
      </c>
      <c r="M154" s="39">
        <v>10.1</v>
      </c>
      <c r="N154" s="39">
        <v>5.29</v>
      </c>
      <c r="O154" s="36">
        <v>9.8400000000000001E-2</v>
      </c>
      <c r="P154" s="87">
        <v>13.3</v>
      </c>
      <c r="Q154" s="36">
        <v>13.2</v>
      </c>
      <c r="R154" s="36">
        <v>8.3000000000000007</v>
      </c>
      <c r="S154" s="36">
        <v>4.95</v>
      </c>
      <c r="T154" s="36">
        <v>6.0400000000000002E-3</v>
      </c>
      <c r="U154" s="87">
        <v>2.1800000000000002</v>
      </c>
      <c r="V154" s="36">
        <v>2.09</v>
      </c>
      <c r="W154" s="36">
        <v>1.75</v>
      </c>
      <c r="X154" s="36">
        <v>0.33700000000000002</v>
      </c>
      <c r="Y154" s="36">
        <v>9.2299999999999993E-2</v>
      </c>
      <c r="Z154" s="50">
        <v>0.46899999999999997</v>
      </c>
      <c r="AA154" s="31">
        <v>0.41399999999999998</v>
      </c>
      <c r="AB154" s="31">
        <v>5.5300000000000002E-2</v>
      </c>
      <c r="AC154" s="367">
        <v>0.433</v>
      </c>
      <c r="AD154" s="397" t="s">
        <v>1840</v>
      </c>
      <c r="AE154" s="30" t="s">
        <v>1841</v>
      </c>
      <c r="AF154" s="328">
        <v>0.17899999999999999</v>
      </c>
      <c r="AG154" s="329">
        <v>0.14000000000000001</v>
      </c>
      <c r="AH154" s="329">
        <v>3.8899999999999997E-2</v>
      </c>
      <c r="AI154" s="330">
        <f t="shared" si="2"/>
        <v>0.61833688699360345</v>
      </c>
    </row>
    <row r="155" spans="1:35" s="389" customFormat="1" ht="14.25" customHeight="1">
      <c r="A155" s="446" t="s">
        <v>1842</v>
      </c>
      <c r="B155" s="235" t="s">
        <v>1843</v>
      </c>
      <c r="C155" s="30" t="s">
        <v>1844</v>
      </c>
      <c r="D155" s="421" t="s">
        <v>1845</v>
      </c>
      <c r="E155" s="422" t="s">
        <v>1846</v>
      </c>
      <c r="F155" s="32">
        <v>439</v>
      </c>
      <c r="G155" s="32" t="s">
        <v>294</v>
      </c>
      <c r="H155" s="33">
        <v>789</v>
      </c>
      <c r="I155" s="34">
        <v>716</v>
      </c>
      <c r="J155" s="49">
        <v>73.8</v>
      </c>
      <c r="K155" s="87">
        <v>10.1</v>
      </c>
      <c r="L155" s="36">
        <v>10.1</v>
      </c>
      <c r="M155" s="39">
        <v>4.8600000000000003</v>
      </c>
      <c r="N155" s="39">
        <v>5.19</v>
      </c>
      <c r="O155" s="36">
        <v>9.7000000000000003E-2</v>
      </c>
      <c r="P155" s="87">
        <v>8.59</v>
      </c>
      <c r="Q155" s="36">
        <v>8.58</v>
      </c>
      <c r="R155" s="36">
        <v>3.49</v>
      </c>
      <c r="S155" s="36">
        <v>5.09</v>
      </c>
      <c r="T155" s="36">
        <v>6.0200000000000002E-3</v>
      </c>
      <c r="U155" s="87">
        <v>1.56</v>
      </c>
      <c r="V155" s="36">
        <v>1.47</v>
      </c>
      <c r="W155" s="36">
        <v>1.37</v>
      </c>
      <c r="X155" s="36">
        <v>9.7000000000000003E-2</v>
      </c>
      <c r="Y155" s="36">
        <v>9.0999999999999998E-2</v>
      </c>
      <c r="Z155" s="50">
        <v>0.34200000000000003</v>
      </c>
      <c r="AA155" s="31">
        <v>0.29299999999999998</v>
      </c>
      <c r="AB155" s="31">
        <v>4.9200000000000001E-2</v>
      </c>
      <c r="AC155" s="367">
        <v>0.44600000000000001</v>
      </c>
      <c r="AD155" s="397" t="s">
        <v>1847</v>
      </c>
      <c r="AE155" s="422" t="s">
        <v>1848</v>
      </c>
      <c r="AF155" s="14"/>
      <c r="AG155" s="14"/>
      <c r="AH155" s="14"/>
      <c r="AI155" s="330">
        <f t="shared" si="2"/>
        <v>1</v>
      </c>
    </row>
    <row r="156" spans="1:35" s="364" customFormat="1" ht="14.25" customHeight="1">
      <c r="A156" s="387" t="s">
        <v>934</v>
      </c>
      <c r="B156" s="235" t="s">
        <v>1849</v>
      </c>
      <c r="C156" s="30" t="s">
        <v>1850</v>
      </c>
      <c r="D156" s="89" t="s">
        <v>1845</v>
      </c>
      <c r="E156" s="30" t="s">
        <v>1846</v>
      </c>
      <c r="F156" s="32">
        <v>439</v>
      </c>
      <c r="G156" s="32" t="s">
        <v>294</v>
      </c>
      <c r="H156" s="33">
        <v>769</v>
      </c>
      <c r="I156" s="34">
        <v>695</v>
      </c>
      <c r="J156" s="49">
        <v>73.8</v>
      </c>
      <c r="K156" s="87">
        <v>9.67</v>
      </c>
      <c r="L156" s="36">
        <v>9.57</v>
      </c>
      <c r="M156" s="39">
        <v>4.37</v>
      </c>
      <c r="N156" s="39">
        <v>5.2</v>
      </c>
      <c r="O156" s="36">
        <v>9.7000000000000003E-2</v>
      </c>
      <c r="P156" s="87">
        <v>8.14</v>
      </c>
      <c r="Q156" s="36">
        <v>8.1300000000000008</v>
      </c>
      <c r="R156" s="36">
        <v>3.07</v>
      </c>
      <c r="S156" s="36">
        <v>5.0599999999999996</v>
      </c>
      <c r="T156" s="36">
        <v>6.0200000000000002E-3</v>
      </c>
      <c r="U156" s="73">
        <v>1.53</v>
      </c>
      <c r="V156" s="36">
        <v>1.44</v>
      </c>
      <c r="W156" s="36">
        <v>1.3</v>
      </c>
      <c r="X156" s="36">
        <v>0.14199999999999999</v>
      </c>
      <c r="Y156" s="36">
        <v>9.0999999999999998E-2</v>
      </c>
      <c r="Z156" s="50">
        <v>0.33500000000000002</v>
      </c>
      <c r="AA156" s="31">
        <v>0.28499999999999998</v>
      </c>
      <c r="AB156" s="31">
        <v>4.9200000000000001E-2</v>
      </c>
      <c r="AC156" s="367">
        <v>0.44600000000000001</v>
      </c>
      <c r="AD156" s="397" t="s">
        <v>1851</v>
      </c>
      <c r="AE156" s="30" t="s">
        <v>1848</v>
      </c>
      <c r="AF156" s="328">
        <v>0.219</v>
      </c>
      <c r="AG156" s="329">
        <v>0.17599999999999999</v>
      </c>
      <c r="AH156" s="329">
        <v>4.24E-2</v>
      </c>
      <c r="AI156" s="330">
        <f t="shared" si="2"/>
        <v>0.34626865671641793</v>
      </c>
    </row>
    <row r="157" spans="1:35" s="364" customFormat="1" ht="14.25" customHeight="1" outlineLevel="1">
      <c r="A157" s="382" t="s">
        <v>1852</v>
      </c>
      <c r="B157" s="61" t="s">
        <v>1853</v>
      </c>
      <c r="C157" s="61" t="s">
        <v>1854</v>
      </c>
      <c r="D157" s="95" t="s">
        <v>1845</v>
      </c>
      <c r="E157" s="61" t="s">
        <v>1846</v>
      </c>
      <c r="F157" s="97">
        <v>439</v>
      </c>
      <c r="G157" s="98" t="s">
        <v>294</v>
      </c>
      <c r="H157" s="65">
        <v>680</v>
      </c>
      <c r="I157" s="66">
        <v>606</v>
      </c>
      <c r="J157" s="66">
        <v>73.8</v>
      </c>
      <c r="K157" s="67">
        <v>9.1999999999999993</v>
      </c>
      <c r="L157" s="108">
        <v>9.11</v>
      </c>
      <c r="M157" s="108">
        <v>3.92</v>
      </c>
      <c r="N157" s="108">
        <v>5.19</v>
      </c>
      <c r="O157" s="108">
        <v>9.7000000000000003E-2</v>
      </c>
      <c r="P157" s="67">
        <v>8</v>
      </c>
      <c r="Q157" s="108">
        <v>8</v>
      </c>
      <c r="R157" s="108">
        <v>2.9</v>
      </c>
      <c r="S157" s="108">
        <v>5.0999999999999996</v>
      </c>
      <c r="T157" s="108">
        <v>6.0200000000000002E-3</v>
      </c>
      <c r="U157" s="67">
        <v>1.2</v>
      </c>
      <c r="V157" s="108">
        <v>1.1100000000000001</v>
      </c>
      <c r="W157" s="108">
        <v>1.03</v>
      </c>
      <c r="X157" s="108">
        <v>8.4400000000000003E-2</v>
      </c>
      <c r="Y157" s="108">
        <v>9.0999999999999998E-2</v>
      </c>
      <c r="Z157" s="70">
        <v>0.253</v>
      </c>
      <c r="AA157" s="69">
        <v>0.20399999999999999</v>
      </c>
      <c r="AB157" s="71">
        <v>4.9200000000000001E-2</v>
      </c>
      <c r="AC157" s="385">
        <v>0.44700000000000001</v>
      </c>
      <c r="AD157" s="447" t="s">
        <v>1855</v>
      </c>
      <c r="AE157" s="61" t="s">
        <v>1848</v>
      </c>
      <c r="AF157" s="448">
        <v>0.21199999999999999</v>
      </c>
      <c r="AG157" s="329">
        <v>0.17</v>
      </c>
      <c r="AH157" s="449">
        <v>4.24E-2</v>
      </c>
      <c r="AI157" s="330">
        <f t="shared" si="2"/>
        <v>0.16205533596837948</v>
      </c>
    </row>
    <row r="158" spans="1:35" s="364" customFormat="1" ht="14.25" customHeight="1" outlineLevel="1">
      <c r="A158" s="387" t="s">
        <v>1856</v>
      </c>
      <c r="B158" s="235" t="s">
        <v>1857</v>
      </c>
      <c r="C158" s="30" t="s">
        <v>1850</v>
      </c>
      <c r="D158" s="89" t="s">
        <v>1845</v>
      </c>
      <c r="E158" s="30" t="s">
        <v>1846</v>
      </c>
      <c r="F158" s="32">
        <v>439</v>
      </c>
      <c r="G158" s="32" t="s">
        <v>294</v>
      </c>
      <c r="H158" s="33">
        <v>769</v>
      </c>
      <c r="I158" s="34">
        <v>695</v>
      </c>
      <c r="J158" s="49">
        <v>73.8</v>
      </c>
      <c r="K158" s="87">
        <v>9.67</v>
      </c>
      <c r="L158" s="36">
        <v>9.57</v>
      </c>
      <c r="M158" s="39">
        <v>4.37</v>
      </c>
      <c r="N158" s="39">
        <v>5.2</v>
      </c>
      <c r="O158" s="36">
        <v>9.7000000000000003E-2</v>
      </c>
      <c r="P158" s="87">
        <v>8.14</v>
      </c>
      <c r="Q158" s="36">
        <v>8.1300000000000008</v>
      </c>
      <c r="R158" s="36">
        <v>3.07</v>
      </c>
      <c r="S158" s="36">
        <v>5.0599999999999996</v>
      </c>
      <c r="T158" s="36">
        <v>6.0200000000000002E-3</v>
      </c>
      <c r="U158" s="73">
        <v>1.53</v>
      </c>
      <c r="V158" s="36">
        <v>1.44</v>
      </c>
      <c r="W158" s="36">
        <v>1.3</v>
      </c>
      <c r="X158" s="36">
        <v>0.14199999999999999</v>
      </c>
      <c r="Y158" s="36">
        <v>9.0999999999999998E-2</v>
      </c>
      <c r="Z158" s="50">
        <v>0.33500000000000002</v>
      </c>
      <c r="AA158" s="31">
        <v>0.28499999999999998</v>
      </c>
      <c r="AB158" s="31">
        <v>4.9200000000000001E-2</v>
      </c>
      <c r="AC158" s="407">
        <v>0.44600000000000001</v>
      </c>
      <c r="AD158" s="397" t="s">
        <v>1851</v>
      </c>
      <c r="AE158" s="30" t="s">
        <v>1848</v>
      </c>
      <c r="AF158" s="328">
        <v>0.185</v>
      </c>
      <c r="AG158" s="329">
        <v>0.14199999999999999</v>
      </c>
      <c r="AH158" s="329">
        <v>4.24E-2</v>
      </c>
      <c r="AI158" s="330">
        <f t="shared" si="2"/>
        <v>0.44776119402985076</v>
      </c>
    </row>
    <row r="159" spans="1:35" s="364" customFormat="1" ht="14.25" customHeight="1" outlineLevel="2">
      <c r="A159" s="382" t="s">
        <v>1858</v>
      </c>
      <c r="B159" s="61" t="s">
        <v>1859</v>
      </c>
      <c r="C159" s="61" t="s">
        <v>1854</v>
      </c>
      <c r="D159" s="95" t="s">
        <v>1845</v>
      </c>
      <c r="E159" s="61" t="s">
        <v>1846</v>
      </c>
      <c r="F159" s="97">
        <v>439</v>
      </c>
      <c r="G159" s="98" t="s">
        <v>294</v>
      </c>
      <c r="H159" s="65">
        <v>680</v>
      </c>
      <c r="I159" s="66">
        <v>606</v>
      </c>
      <c r="J159" s="66">
        <v>73.8</v>
      </c>
      <c r="K159" s="67">
        <v>9.1999999999999993</v>
      </c>
      <c r="L159" s="108">
        <v>9.11</v>
      </c>
      <c r="M159" s="108">
        <v>3.92</v>
      </c>
      <c r="N159" s="108">
        <v>5.19</v>
      </c>
      <c r="O159" s="108">
        <v>9.7000000000000003E-2</v>
      </c>
      <c r="P159" s="67">
        <v>8</v>
      </c>
      <c r="Q159" s="108">
        <v>8</v>
      </c>
      <c r="R159" s="108">
        <v>2.9</v>
      </c>
      <c r="S159" s="108">
        <v>5.0999999999999996</v>
      </c>
      <c r="T159" s="108">
        <v>6.0200000000000002E-3</v>
      </c>
      <c r="U159" s="67">
        <v>1.2</v>
      </c>
      <c r="V159" s="108">
        <v>1.1100000000000001</v>
      </c>
      <c r="W159" s="108">
        <v>1.03</v>
      </c>
      <c r="X159" s="108">
        <v>8.4400000000000003E-2</v>
      </c>
      <c r="Y159" s="108">
        <v>9.0999999999999998E-2</v>
      </c>
      <c r="Z159" s="70">
        <v>0.253</v>
      </c>
      <c r="AA159" s="69">
        <v>0.20399999999999999</v>
      </c>
      <c r="AB159" s="71">
        <v>4.9200000000000001E-2</v>
      </c>
      <c r="AC159" s="385">
        <v>0.44700000000000001</v>
      </c>
      <c r="AD159" s="447" t="s">
        <v>1860</v>
      </c>
      <c r="AE159" s="61" t="s">
        <v>1848</v>
      </c>
      <c r="AF159" s="328">
        <v>0.185</v>
      </c>
      <c r="AG159" s="329">
        <v>0.14199999999999999</v>
      </c>
      <c r="AH159" s="329">
        <v>4.24E-2</v>
      </c>
      <c r="AI159" s="330">
        <f t="shared" si="2"/>
        <v>0.26877470355731226</v>
      </c>
    </row>
    <row r="160" spans="1:35" s="389" customFormat="1" ht="14.25" customHeight="1">
      <c r="A160" s="446" t="s">
        <v>1861</v>
      </c>
      <c r="B160" s="235" t="s">
        <v>1862</v>
      </c>
      <c r="C160" s="30" t="s">
        <v>1863</v>
      </c>
      <c r="D160" s="89" t="s">
        <v>1864</v>
      </c>
      <c r="E160" s="30" t="s">
        <v>1865</v>
      </c>
      <c r="F160" s="450">
        <v>436</v>
      </c>
      <c r="G160" s="32" t="s">
        <v>294</v>
      </c>
      <c r="H160" s="33">
        <v>882</v>
      </c>
      <c r="I160" s="34">
        <v>775</v>
      </c>
      <c r="J160" s="49">
        <v>106</v>
      </c>
      <c r="K160" s="87">
        <v>9.94</v>
      </c>
      <c r="L160" s="36">
        <v>9.84</v>
      </c>
      <c r="M160" s="39">
        <v>4.62</v>
      </c>
      <c r="N160" s="39">
        <v>5.21</v>
      </c>
      <c r="O160" s="36">
        <v>0.104</v>
      </c>
      <c r="P160" s="87">
        <v>8.1199999999999992</v>
      </c>
      <c r="Q160" s="36">
        <v>8.11</v>
      </c>
      <c r="R160" s="36">
        <v>2.99</v>
      </c>
      <c r="S160" s="36">
        <v>5.12</v>
      </c>
      <c r="T160" s="36">
        <v>6.11E-3</v>
      </c>
      <c r="U160" s="87">
        <v>1.82</v>
      </c>
      <c r="V160" s="36">
        <v>1.72</v>
      </c>
      <c r="W160" s="36">
        <v>1.64</v>
      </c>
      <c r="X160" s="36">
        <v>8.9200000000000002E-2</v>
      </c>
      <c r="Y160" s="36">
        <v>9.7600000000000006E-2</v>
      </c>
      <c r="Z160" s="50">
        <v>0.39500000000000002</v>
      </c>
      <c r="AA160" s="31">
        <v>0.315</v>
      </c>
      <c r="AB160" s="31">
        <v>7.9799999999999996E-2</v>
      </c>
      <c r="AC160" s="407">
        <v>0.44900000000000001</v>
      </c>
      <c r="AD160" s="397" t="s">
        <v>1866</v>
      </c>
      <c r="AE160" s="30" t="s">
        <v>1867</v>
      </c>
      <c r="AI160" s="330">
        <f t="shared" si="2"/>
        <v>1</v>
      </c>
    </row>
    <row r="161" spans="1:35" s="451" customFormat="1" ht="14.25" customHeight="1" outlineLevel="1">
      <c r="A161" s="434" t="s">
        <v>1868</v>
      </c>
      <c r="B161" s="808" t="s">
        <v>1869</v>
      </c>
      <c r="C161" s="61" t="s">
        <v>1870</v>
      </c>
      <c r="D161" s="62" t="s">
        <v>1864</v>
      </c>
      <c r="E161" s="61" t="s">
        <v>1865</v>
      </c>
      <c r="F161" s="64">
        <v>424</v>
      </c>
      <c r="G161" s="64" t="s">
        <v>294</v>
      </c>
      <c r="H161" s="65">
        <v>744</v>
      </c>
      <c r="I161" s="66">
        <v>638</v>
      </c>
      <c r="J161" s="106">
        <v>106</v>
      </c>
      <c r="K161" s="67">
        <v>7.27</v>
      </c>
      <c r="L161" s="108">
        <v>7.17</v>
      </c>
      <c r="M161" s="108">
        <v>2</v>
      </c>
      <c r="N161" s="108">
        <v>5.17</v>
      </c>
      <c r="O161" s="108">
        <v>0.104</v>
      </c>
      <c r="P161" s="67">
        <v>5.67</v>
      </c>
      <c r="Q161" s="108">
        <v>5.66</v>
      </c>
      <c r="R161" s="108">
        <v>0.54900000000000004</v>
      </c>
      <c r="S161" s="108">
        <v>5.1100000000000003</v>
      </c>
      <c r="T161" s="108">
        <v>6.11E-3</v>
      </c>
      <c r="U161" s="67">
        <v>1.6</v>
      </c>
      <c r="V161" s="108">
        <v>1.51</v>
      </c>
      <c r="W161" s="108">
        <v>1.45</v>
      </c>
      <c r="X161" s="108">
        <v>5.3999999999999999E-2</v>
      </c>
      <c r="Y161" s="108">
        <v>9.7600000000000006E-2</v>
      </c>
      <c r="Z161" s="112">
        <v>0.28100000000000003</v>
      </c>
      <c r="AA161" s="69">
        <v>0.20100000000000001</v>
      </c>
      <c r="AB161" s="69">
        <v>7.9799999999999996E-2</v>
      </c>
      <c r="AC161" s="416">
        <v>0.44800000000000001</v>
      </c>
      <c r="AD161" s="418" t="s">
        <v>1871</v>
      </c>
      <c r="AE161" s="61" t="s">
        <v>1867</v>
      </c>
      <c r="AI161" s="330">
        <f t="shared" si="2"/>
        <v>1</v>
      </c>
    </row>
    <row r="162" spans="1:35" s="389" customFormat="1" ht="14.25" customHeight="1">
      <c r="A162" s="446" t="s">
        <v>1872</v>
      </c>
      <c r="B162" s="235" t="s">
        <v>1873</v>
      </c>
      <c r="C162" s="30" t="s">
        <v>1874</v>
      </c>
      <c r="D162" s="89" t="s">
        <v>1864</v>
      </c>
      <c r="E162" s="30" t="s">
        <v>1865</v>
      </c>
      <c r="F162" s="32">
        <v>823</v>
      </c>
      <c r="G162" s="32" t="s">
        <v>294</v>
      </c>
      <c r="H162" s="33">
        <v>1970</v>
      </c>
      <c r="I162" s="34">
        <v>1860</v>
      </c>
      <c r="J162" s="49">
        <v>106</v>
      </c>
      <c r="K162" s="87">
        <v>14.3</v>
      </c>
      <c r="L162" s="36">
        <v>14.2</v>
      </c>
      <c r="M162" s="39">
        <v>8.76</v>
      </c>
      <c r="N162" s="39">
        <v>5.45</v>
      </c>
      <c r="O162" s="36">
        <v>0.104</v>
      </c>
      <c r="P162" s="87">
        <v>9.24</v>
      </c>
      <c r="Q162" s="36">
        <v>9.23</v>
      </c>
      <c r="R162" s="36">
        <v>4.72</v>
      </c>
      <c r="S162" s="36">
        <v>4.5199999999999996</v>
      </c>
      <c r="T162" s="36">
        <v>6.11E-3</v>
      </c>
      <c r="U162" s="87">
        <v>5.07</v>
      </c>
      <c r="V162" s="36">
        <v>4.9800000000000004</v>
      </c>
      <c r="W162" s="36">
        <v>4.04</v>
      </c>
      <c r="X162" s="36">
        <v>0.93300000000000005</v>
      </c>
      <c r="Y162" s="36">
        <v>9.7600000000000006E-2</v>
      </c>
      <c r="Z162" s="50">
        <v>1.02</v>
      </c>
      <c r="AA162" s="31">
        <v>0.94199999999999995</v>
      </c>
      <c r="AB162" s="31">
        <v>7.9799999999999996E-2</v>
      </c>
      <c r="AC162" s="367">
        <v>0.41</v>
      </c>
      <c r="AD162" s="397" t="s">
        <v>1875</v>
      </c>
      <c r="AE162" s="30" t="s">
        <v>1867</v>
      </c>
      <c r="AI162" s="330">
        <f t="shared" si="2"/>
        <v>1</v>
      </c>
    </row>
    <row r="163" spans="1:35" s="364" customFormat="1" ht="14.25" customHeight="1">
      <c r="A163" s="387" t="s">
        <v>1876</v>
      </c>
      <c r="B163" s="235" t="s">
        <v>1877</v>
      </c>
      <c r="C163" s="45" t="s">
        <v>1878</v>
      </c>
      <c r="D163" s="44" t="s">
        <v>1879</v>
      </c>
      <c r="E163" s="30" t="s">
        <v>1880</v>
      </c>
      <c r="F163" s="47">
        <v>955</v>
      </c>
      <c r="G163" s="47" t="s">
        <v>294</v>
      </c>
      <c r="H163" s="33">
        <v>1770</v>
      </c>
      <c r="I163" s="86">
        <v>1700</v>
      </c>
      <c r="J163" s="49">
        <v>68.3</v>
      </c>
      <c r="K163" s="87">
        <v>11.2</v>
      </c>
      <c r="L163" s="366">
        <v>11.1</v>
      </c>
      <c r="M163" s="39">
        <v>5.62</v>
      </c>
      <c r="N163" s="39">
        <v>5.44</v>
      </c>
      <c r="O163" s="36">
        <v>9.5899999999999999E-2</v>
      </c>
      <c r="P163" s="87">
        <v>7.04</v>
      </c>
      <c r="Q163" s="366">
        <v>7.03</v>
      </c>
      <c r="R163" s="36">
        <v>1.85</v>
      </c>
      <c r="S163" s="36">
        <v>5.18</v>
      </c>
      <c r="T163" s="36">
        <v>6.0099999999999997E-3</v>
      </c>
      <c r="U163" s="87">
        <v>4.12</v>
      </c>
      <c r="V163" s="366">
        <v>4.03</v>
      </c>
      <c r="W163" s="36">
        <v>3.77</v>
      </c>
      <c r="X163" s="36">
        <v>0.26</v>
      </c>
      <c r="Y163" s="36">
        <v>8.9899999999999994E-2</v>
      </c>
      <c r="Z163" s="50">
        <v>1.07</v>
      </c>
      <c r="AA163" s="79">
        <v>1.03</v>
      </c>
      <c r="AB163" s="31">
        <v>4.41E-2</v>
      </c>
      <c r="AC163" s="367">
        <v>0.45500000000000002</v>
      </c>
      <c r="AD163" s="110" t="s">
        <v>1881</v>
      </c>
      <c r="AE163" s="30" t="s">
        <v>1882</v>
      </c>
      <c r="AF163" s="379">
        <v>0.90300000000000002</v>
      </c>
      <c r="AG163" s="390">
        <v>0.85899999999999999</v>
      </c>
      <c r="AH163" s="390">
        <v>4.4400000000000002E-2</v>
      </c>
      <c r="AI163" s="330">
        <f t="shared" si="2"/>
        <v>0.15607476635514023</v>
      </c>
    </row>
    <row r="164" spans="1:35" s="364" customFormat="1" ht="14.25" customHeight="1">
      <c r="A164" s="387" t="s">
        <v>1883</v>
      </c>
      <c r="B164" s="235" t="s">
        <v>1884</v>
      </c>
      <c r="C164" s="45" t="s">
        <v>1885</v>
      </c>
      <c r="D164" s="89" t="s">
        <v>1886</v>
      </c>
      <c r="E164" s="30" t="s">
        <v>1887</v>
      </c>
      <c r="F164" s="47">
        <v>400</v>
      </c>
      <c r="G164" s="47" t="s">
        <v>294</v>
      </c>
      <c r="H164" s="33">
        <v>770</v>
      </c>
      <c r="I164" s="86">
        <v>685</v>
      </c>
      <c r="J164" s="49">
        <v>85.2</v>
      </c>
      <c r="K164" s="87">
        <v>3.31</v>
      </c>
      <c r="L164" s="366">
        <v>3.13</v>
      </c>
      <c r="M164" s="39">
        <v>1.59</v>
      </c>
      <c r="N164" s="39">
        <v>1.54</v>
      </c>
      <c r="O164" s="36">
        <v>0.18</v>
      </c>
      <c r="P164" s="87">
        <v>2.04</v>
      </c>
      <c r="Q164" s="366">
        <v>2.0299999999999998</v>
      </c>
      <c r="R164" s="36">
        <v>0.49099999999999999</v>
      </c>
      <c r="S164" s="36">
        <v>1.54</v>
      </c>
      <c r="T164" s="36">
        <v>9.58E-3</v>
      </c>
      <c r="U164" s="73">
        <v>1.27</v>
      </c>
      <c r="V164" s="366">
        <v>1.1000000000000001</v>
      </c>
      <c r="W164" s="36">
        <v>1.1000000000000001</v>
      </c>
      <c r="X164" s="36">
        <v>0</v>
      </c>
      <c r="Y164" s="36">
        <v>0.17</v>
      </c>
      <c r="Z164" s="50">
        <v>0.53400000000000003</v>
      </c>
      <c r="AA164" s="79">
        <v>0.498</v>
      </c>
      <c r="AB164" s="52">
        <v>3.5700000000000003E-2</v>
      </c>
      <c r="AC164" s="367">
        <v>0.13800000000000001</v>
      </c>
      <c r="AD164" s="110" t="s">
        <v>1888</v>
      </c>
      <c r="AE164" s="30" t="s">
        <v>1889</v>
      </c>
      <c r="AF164" s="379">
        <v>0.13700000000000001</v>
      </c>
      <c r="AG164" s="390">
        <v>0.13</v>
      </c>
      <c r="AH164" s="380">
        <v>7.0200000000000002E-3</v>
      </c>
      <c r="AI164" s="330">
        <f t="shared" si="2"/>
        <v>0.74344569288389517</v>
      </c>
    </row>
    <row r="165" spans="1:35" s="389" customFormat="1" ht="14.25" customHeight="1">
      <c r="A165" s="446" t="s">
        <v>1890</v>
      </c>
      <c r="B165" s="235" t="s">
        <v>1891</v>
      </c>
      <c r="C165" s="30" t="s">
        <v>1892</v>
      </c>
      <c r="D165" s="89" t="s">
        <v>1879</v>
      </c>
      <c r="E165" s="30" t="s">
        <v>1880</v>
      </c>
      <c r="F165" s="32">
        <v>436</v>
      </c>
      <c r="G165" s="32" t="s">
        <v>294</v>
      </c>
      <c r="H165" s="33">
        <v>688</v>
      </c>
      <c r="I165" s="34">
        <v>620</v>
      </c>
      <c r="J165" s="49">
        <v>68.3</v>
      </c>
      <c r="K165" s="87">
        <v>9.52</v>
      </c>
      <c r="L165" s="36">
        <v>9.43</v>
      </c>
      <c r="M165" s="39">
        <v>4.2699999999999996</v>
      </c>
      <c r="N165" s="39">
        <v>5.16</v>
      </c>
      <c r="O165" s="36">
        <v>9.5899999999999999E-2</v>
      </c>
      <c r="P165" s="87">
        <v>8.2799999999999994</v>
      </c>
      <c r="Q165" s="36">
        <v>8.27</v>
      </c>
      <c r="R165" s="36">
        <v>3.13</v>
      </c>
      <c r="S165" s="36">
        <v>5.15</v>
      </c>
      <c r="T165" s="36">
        <v>6.0099999999999997E-3</v>
      </c>
      <c r="U165" s="73">
        <v>1.24</v>
      </c>
      <c r="V165" s="36">
        <v>1.1499999999999999</v>
      </c>
      <c r="W165" s="36">
        <v>1.1399999999999999</v>
      </c>
      <c r="X165" s="36">
        <v>1.0500000000000001E-2</v>
      </c>
      <c r="Y165" s="36">
        <v>8.9899999999999994E-2</v>
      </c>
      <c r="Z165" s="50">
        <v>0.28799999999999998</v>
      </c>
      <c r="AA165" s="31">
        <v>0.24399999999999999</v>
      </c>
      <c r="AB165" s="52">
        <v>4.41E-2</v>
      </c>
      <c r="AC165" s="367">
        <v>0.45</v>
      </c>
      <c r="AD165" s="397" t="s">
        <v>1893</v>
      </c>
      <c r="AE165" s="30" t="s">
        <v>1882</v>
      </c>
      <c r="AF165" s="14"/>
      <c r="AG165" s="14"/>
      <c r="AH165" s="14"/>
      <c r="AI165" s="330">
        <f t="shared" si="2"/>
        <v>1</v>
      </c>
    </row>
    <row r="166" spans="1:35" s="364" customFormat="1" ht="14.25" customHeight="1">
      <c r="A166" s="387" t="s">
        <v>1894</v>
      </c>
      <c r="B166" s="235" t="s">
        <v>1895</v>
      </c>
      <c r="C166" s="45" t="s">
        <v>1896</v>
      </c>
      <c r="D166" s="44" t="s">
        <v>1897</v>
      </c>
      <c r="E166" s="30" t="s">
        <v>1898</v>
      </c>
      <c r="F166" s="47">
        <v>675</v>
      </c>
      <c r="G166" s="47" t="s">
        <v>294</v>
      </c>
      <c r="H166" s="33">
        <v>436</v>
      </c>
      <c r="I166" s="86">
        <v>373</v>
      </c>
      <c r="J166" s="49">
        <v>62.9</v>
      </c>
      <c r="K166" s="87">
        <v>7.94</v>
      </c>
      <c r="L166" s="366">
        <v>7.84</v>
      </c>
      <c r="M166" s="39">
        <v>2.89</v>
      </c>
      <c r="N166" s="39">
        <v>4.95</v>
      </c>
      <c r="O166" s="36">
        <v>9.4799999999999995E-2</v>
      </c>
      <c r="P166" s="87">
        <v>7.28</v>
      </c>
      <c r="Q166" s="366">
        <v>7.27</v>
      </c>
      <c r="R166" s="36">
        <v>2.3199999999999998</v>
      </c>
      <c r="S166" s="36">
        <v>4.95</v>
      </c>
      <c r="T166" s="36">
        <v>5.9899999999999997E-3</v>
      </c>
      <c r="U166" s="73">
        <v>0.66200000000000003</v>
      </c>
      <c r="V166" s="366">
        <v>0.57299999999999995</v>
      </c>
      <c r="W166" s="36">
        <v>0.57299999999999995</v>
      </c>
      <c r="X166" s="36">
        <v>0</v>
      </c>
      <c r="Y166" s="36">
        <v>8.8800000000000004E-2</v>
      </c>
      <c r="Z166" s="50">
        <v>0.152</v>
      </c>
      <c r="AA166" s="79">
        <v>0.113</v>
      </c>
      <c r="AB166" s="52">
        <v>3.9E-2</v>
      </c>
      <c r="AC166" s="367">
        <v>0.45100000000000001</v>
      </c>
      <c r="AD166" s="110" t="s">
        <v>1899</v>
      </c>
      <c r="AE166" s="30" t="s">
        <v>1900</v>
      </c>
      <c r="AF166" s="379">
        <v>4.0599999999999997E-2</v>
      </c>
      <c r="AG166" s="390">
        <v>3.3300000000000003E-2</v>
      </c>
      <c r="AH166" s="380">
        <v>7.28E-3</v>
      </c>
      <c r="AI166" s="330">
        <f t="shared" si="2"/>
        <v>0.73289473684210527</v>
      </c>
    </row>
    <row r="167" spans="1:35" s="364" customFormat="1" ht="14.25" customHeight="1" outlineLevel="1">
      <c r="A167" s="382" t="s">
        <v>1901</v>
      </c>
      <c r="B167" s="61" t="s">
        <v>1902</v>
      </c>
      <c r="C167" s="95" t="s">
        <v>1903</v>
      </c>
      <c r="D167" s="95" t="s">
        <v>1897</v>
      </c>
      <c r="E167" s="61" t="s">
        <v>1898</v>
      </c>
      <c r="F167" s="97">
        <v>675</v>
      </c>
      <c r="G167" s="98" t="s">
        <v>294</v>
      </c>
      <c r="H167" s="65">
        <v>396</v>
      </c>
      <c r="I167" s="100">
        <v>333</v>
      </c>
      <c r="J167" s="66">
        <v>62.9</v>
      </c>
      <c r="K167" s="67">
        <v>7.96</v>
      </c>
      <c r="L167" s="383">
        <v>7.87</v>
      </c>
      <c r="M167" s="108">
        <v>2.92</v>
      </c>
      <c r="N167" s="108">
        <v>4.95</v>
      </c>
      <c r="O167" s="108">
        <v>9.4799999999999995E-2</v>
      </c>
      <c r="P167" s="67">
        <v>7.39</v>
      </c>
      <c r="Q167" s="383">
        <v>7.39</v>
      </c>
      <c r="R167" s="108">
        <v>2.44</v>
      </c>
      <c r="S167" s="108">
        <v>4.95</v>
      </c>
      <c r="T167" s="108">
        <v>5.9899999999999997E-3</v>
      </c>
      <c r="U167" s="67">
        <v>0.57199999999999995</v>
      </c>
      <c r="V167" s="383">
        <v>0.48299999999999998</v>
      </c>
      <c r="W167" s="108">
        <v>0.48299999999999998</v>
      </c>
      <c r="X167" s="108">
        <v>0</v>
      </c>
      <c r="Y167" s="108">
        <v>8.8800000000000004E-2</v>
      </c>
      <c r="Z167" s="70">
        <v>0.122</v>
      </c>
      <c r="AA167" s="103">
        <v>8.3199999999999996E-2</v>
      </c>
      <c r="AB167" s="71">
        <v>3.9E-2</v>
      </c>
      <c r="AC167" s="385">
        <v>0.45100000000000001</v>
      </c>
      <c r="AD167" s="447" t="s">
        <v>1904</v>
      </c>
      <c r="AE167" s="61" t="s">
        <v>1900</v>
      </c>
      <c r="AF167" s="37"/>
      <c r="AG167" s="37"/>
      <c r="AH167" s="37"/>
      <c r="AI167" s="330">
        <f t="shared" si="2"/>
        <v>1</v>
      </c>
    </row>
    <row r="168" spans="1:35" s="364" customFormat="1" ht="14.25" customHeight="1">
      <c r="A168" s="387" t="s">
        <v>1905</v>
      </c>
      <c r="B168" s="235" t="s">
        <v>1906</v>
      </c>
      <c r="C168" s="45" t="s">
        <v>1907</v>
      </c>
      <c r="D168" s="44" t="s">
        <v>1897</v>
      </c>
      <c r="E168" s="30" t="s">
        <v>1898</v>
      </c>
      <c r="F168" s="47">
        <v>675</v>
      </c>
      <c r="G168" s="47" t="s">
        <v>294</v>
      </c>
      <c r="H168" s="33">
        <v>391</v>
      </c>
      <c r="I168" s="86">
        <v>328</v>
      </c>
      <c r="J168" s="49">
        <v>62.9</v>
      </c>
      <c r="K168" s="87">
        <v>7.68</v>
      </c>
      <c r="L168" s="366">
        <v>7.59</v>
      </c>
      <c r="M168" s="39">
        <v>2.64</v>
      </c>
      <c r="N168" s="39">
        <v>4.95</v>
      </c>
      <c r="O168" s="36">
        <v>9.4799999999999995E-2</v>
      </c>
      <c r="P168" s="87">
        <v>7.11</v>
      </c>
      <c r="Q168" s="366">
        <v>7.11</v>
      </c>
      <c r="R168" s="36">
        <v>2.16</v>
      </c>
      <c r="S168" s="36">
        <v>4.95</v>
      </c>
      <c r="T168" s="36">
        <v>5.9899999999999997E-3</v>
      </c>
      <c r="U168" s="73">
        <v>0.56799999999999995</v>
      </c>
      <c r="V168" s="366">
        <v>0.47899999999999998</v>
      </c>
      <c r="W168" s="36">
        <v>0.47899999999999998</v>
      </c>
      <c r="X168" s="36">
        <v>0</v>
      </c>
      <c r="Y168" s="36">
        <v>8.8800000000000004E-2</v>
      </c>
      <c r="Z168" s="50">
        <v>0.13500000000000001</v>
      </c>
      <c r="AA168" s="79">
        <v>9.6199999999999994E-2</v>
      </c>
      <c r="AB168" s="52">
        <v>3.9E-2</v>
      </c>
      <c r="AC168" s="367">
        <v>0.45100000000000001</v>
      </c>
      <c r="AD168" s="110" t="s">
        <v>1908</v>
      </c>
      <c r="AE168" s="30" t="s">
        <v>1900</v>
      </c>
      <c r="AF168" s="379">
        <v>3.44E-2</v>
      </c>
      <c r="AG168" s="390">
        <v>2.7099999999999999E-2</v>
      </c>
      <c r="AH168" s="380">
        <v>7.28E-3</v>
      </c>
      <c r="AI168" s="330">
        <f t="shared" si="2"/>
        <v>0.74518518518518517</v>
      </c>
    </row>
    <row r="169" spans="1:35" s="364" customFormat="1" ht="14.25" customHeight="1" outlineLevel="1">
      <c r="A169" s="382" t="s">
        <v>1909</v>
      </c>
      <c r="B169" s="61" t="s">
        <v>1910</v>
      </c>
      <c r="C169" s="95" t="s">
        <v>1911</v>
      </c>
      <c r="D169" s="95" t="s">
        <v>1897</v>
      </c>
      <c r="E169" s="61" t="s">
        <v>1898</v>
      </c>
      <c r="F169" s="97">
        <v>675</v>
      </c>
      <c r="G169" s="98" t="s">
        <v>294</v>
      </c>
      <c r="H169" s="65">
        <v>355</v>
      </c>
      <c r="I169" s="100">
        <v>292</v>
      </c>
      <c r="J169" s="66">
        <v>62.9</v>
      </c>
      <c r="K169" s="67">
        <v>7.71</v>
      </c>
      <c r="L169" s="383">
        <v>7.61</v>
      </c>
      <c r="M169" s="108">
        <v>2.66</v>
      </c>
      <c r="N169" s="108">
        <v>4.95</v>
      </c>
      <c r="O169" s="108">
        <v>9.4799999999999995E-2</v>
      </c>
      <c r="P169" s="67">
        <v>7.22</v>
      </c>
      <c r="Q169" s="383">
        <v>7.21</v>
      </c>
      <c r="R169" s="108">
        <v>2.27</v>
      </c>
      <c r="S169" s="108">
        <v>4.95</v>
      </c>
      <c r="T169" s="108">
        <v>5.9899999999999997E-3</v>
      </c>
      <c r="U169" s="67">
        <v>0.48499999999999999</v>
      </c>
      <c r="V169" s="383">
        <v>0.39600000000000002</v>
      </c>
      <c r="W169" s="108">
        <v>0.39600000000000002</v>
      </c>
      <c r="X169" s="108">
        <v>0</v>
      </c>
      <c r="Y169" s="108">
        <v>8.8800000000000004E-2</v>
      </c>
      <c r="Z169" s="70">
        <v>0.109</v>
      </c>
      <c r="AA169" s="103">
        <v>7.0000000000000007E-2</v>
      </c>
      <c r="AB169" s="71">
        <v>3.9E-2</v>
      </c>
      <c r="AC169" s="385">
        <v>0.45100000000000001</v>
      </c>
      <c r="AD169" s="447" t="s">
        <v>1912</v>
      </c>
      <c r="AE169" s="61" t="s">
        <v>1900</v>
      </c>
      <c r="AF169" s="37"/>
      <c r="AG169" s="37"/>
      <c r="AH169" s="37"/>
      <c r="AI169" s="330">
        <f t="shared" si="2"/>
        <v>1</v>
      </c>
    </row>
    <row r="170" spans="1:35" s="364" customFormat="1" ht="14.25" customHeight="1">
      <c r="A170" s="387" t="s">
        <v>1913</v>
      </c>
      <c r="B170" s="235" t="s">
        <v>1914</v>
      </c>
      <c r="C170" s="45" t="s">
        <v>1915</v>
      </c>
      <c r="D170" s="89" t="s">
        <v>1897</v>
      </c>
      <c r="E170" s="30" t="s">
        <v>1898</v>
      </c>
      <c r="F170" s="47">
        <v>705</v>
      </c>
      <c r="G170" s="47" t="s">
        <v>294</v>
      </c>
      <c r="H170" s="33">
        <v>322</v>
      </c>
      <c r="I170" s="86">
        <v>260</v>
      </c>
      <c r="J170" s="49">
        <v>62.9</v>
      </c>
      <c r="K170" s="87">
        <v>6.68</v>
      </c>
      <c r="L170" s="366">
        <v>6.59</v>
      </c>
      <c r="M170" s="39">
        <v>2.0499999999999998</v>
      </c>
      <c r="N170" s="39">
        <v>4.54</v>
      </c>
      <c r="O170" s="36">
        <v>9.4799999999999995E-2</v>
      </c>
      <c r="P170" s="87">
        <v>6.21</v>
      </c>
      <c r="Q170" s="366">
        <v>6.2</v>
      </c>
      <c r="R170" s="36">
        <v>1.66</v>
      </c>
      <c r="S170" s="36">
        <v>4.54</v>
      </c>
      <c r="T170" s="36">
        <v>5.9899999999999997E-3</v>
      </c>
      <c r="U170" s="73">
        <v>0.47799999999999998</v>
      </c>
      <c r="V170" s="366">
        <v>0.38900000000000001</v>
      </c>
      <c r="W170" s="36">
        <v>0.38900000000000001</v>
      </c>
      <c r="X170" s="36">
        <v>0</v>
      </c>
      <c r="Y170" s="36">
        <v>8.8800000000000004E-2</v>
      </c>
      <c r="Z170" s="51">
        <v>0.12</v>
      </c>
      <c r="AA170" s="84">
        <v>8.1199999999999994E-2</v>
      </c>
      <c r="AB170" s="53">
        <v>3.9E-2</v>
      </c>
      <c r="AC170" s="367">
        <v>0.41299999999999998</v>
      </c>
      <c r="AD170" s="110" t="s">
        <v>1916</v>
      </c>
      <c r="AE170" s="30" t="s">
        <v>1900</v>
      </c>
      <c r="AF170" s="419">
        <v>2.93E-2</v>
      </c>
      <c r="AG170" s="380">
        <v>2.2599999999999999E-2</v>
      </c>
      <c r="AH170" s="381">
        <v>6.6699999999999997E-3</v>
      </c>
      <c r="AI170" s="330">
        <f t="shared" si="2"/>
        <v>0.75583333333333336</v>
      </c>
    </row>
    <row r="171" spans="1:35" s="364" customFormat="1" ht="14.25" customHeight="1" outlineLevel="1">
      <c r="A171" s="382" t="s">
        <v>1917</v>
      </c>
      <c r="B171" s="61" t="s">
        <v>1918</v>
      </c>
      <c r="C171" s="95" t="s">
        <v>1919</v>
      </c>
      <c r="D171" s="61" t="s">
        <v>1897</v>
      </c>
      <c r="E171" s="61" t="s">
        <v>1898</v>
      </c>
      <c r="F171" s="97">
        <v>705</v>
      </c>
      <c r="G171" s="98" t="s">
        <v>294</v>
      </c>
      <c r="H171" s="65">
        <v>290</v>
      </c>
      <c r="I171" s="100">
        <v>227</v>
      </c>
      <c r="J171" s="66">
        <v>62.9</v>
      </c>
      <c r="K171" s="67">
        <v>6.7</v>
      </c>
      <c r="L171" s="383">
        <v>6.61</v>
      </c>
      <c r="M171" s="108">
        <v>2.0699999999999998</v>
      </c>
      <c r="N171" s="108">
        <v>4.54</v>
      </c>
      <c r="O171" s="108">
        <v>9.4799999999999995E-2</v>
      </c>
      <c r="P171" s="67">
        <v>6.3</v>
      </c>
      <c r="Q171" s="383">
        <v>6.29</v>
      </c>
      <c r="R171" s="108">
        <v>1.76</v>
      </c>
      <c r="S171" s="108">
        <v>4.54</v>
      </c>
      <c r="T171" s="108">
        <v>5.9899999999999997E-3</v>
      </c>
      <c r="U171" s="67">
        <v>0.40200000000000002</v>
      </c>
      <c r="V171" s="383">
        <v>0.313</v>
      </c>
      <c r="W171" s="108">
        <v>0.313</v>
      </c>
      <c r="X171" s="108">
        <v>0</v>
      </c>
      <c r="Y171" s="108">
        <v>8.8800000000000004E-2</v>
      </c>
      <c r="Z171" s="70">
        <v>9.7799999999999998E-2</v>
      </c>
      <c r="AA171" s="103">
        <v>5.8900000000000001E-2</v>
      </c>
      <c r="AB171" s="71">
        <v>3.9E-2</v>
      </c>
      <c r="AC171" s="385">
        <v>0.41299999999999998</v>
      </c>
      <c r="AD171" s="447" t="s">
        <v>1920</v>
      </c>
      <c r="AE171" s="61" t="s">
        <v>1900</v>
      </c>
      <c r="AF171" s="37"/>
      <c r="AG171" s="37"/>
      <c r="AH171" s="37"/>
      <c r="AI171" s="330">
        <f t="shared" si="2"/>
        <v>1</v>
      </c>
    </row>
    <row r="172" spans="1:35" s="364" customFormat="1" ht="14.25" customHeight="1">
      <c r="A172" s="387" t="s">
        <v>766</v>
      </c>
      <c r="B172" s="235" t="s">
        <v>1921</v>
      </c>
      <c r="C172" s="45" t="s">
        <v>1922</v>
      </c>
      <c r="D172" s="89" t="s">
        <v>1897</v>
      </c>
      <c r="E172" s="30" t="s">
        <v>1898</v>
      </c>
      <c r="F172" s="47">
        <v>465</v>
      </c>
      <c r="G172" s="47" t="s">
        <v>294</v>
      </c>
      <c r="H172" s="33">
        <v>476</v>
      </c>
      <c r="I172" s="86">
        <v>413</v>
      </c>
      <c r="J172" s="49">
        <v>62.9</v>
      </c>
      <c r="K172" s="87">
        <v>6.82</v>
      </c>
      <c r="L172" s="366">
        <v>6.73</v>
      </c>
      <c r="M172" s="39">
        <v>1.58</v>
      </c>
      <c r="N172" s="39">
        <v>5.15</v>
      </c>
      <c r="O172" s="36">
        <v>9.4799999999999995E-2</v>
      </c>
      <c r="P172" s="87">
        <v>6.05</v>
      </c>
      <c r="Q172" s="366">
        <v>6.04</v>
      </c>
      <c r="R172" s="36">
        <v>0.88900000000000001</v>
      </c>
      <c r="S172" s="36">
        <v>5.15</v>
      </c>
      <c r="T172" s="36">
        <v>5.9899999999999997E-3</v>
      </c>
      <c r="U172" s="73">
        <v>0.77700000000000002</v>
      </c>
      <c r="V172" s="366">
        <v>0.68799999999999994</v>
      </c>
      <c r="W172" s="36">
        <v>0.68799999999999994</v>
      </c>
      <c r="X172" s="36">
        <v>0</v>
      </c>
      <c r="Y172" s="36">
        <v>8.8800000000000004E-2</v>
      </c>
      <c r="Z172" s="50">
        <v>0.17299999999999999</v>
      </c>
      <c r="AA172" s="79">
        <v>0.13400000000000001</v>
      </c>
      <c r="AB172" s="52">
        <v>3.9E-2</v>
      </c>
      <c r="AC172" s="367">
        <v>0.45100000000000001</v>
      </c>
      <c r="AD172" s="110" t="s">
        <v>1923</v>
      </c>
      <c r="AE172" s="30" t="s">
        <v>1900</v>
      </c>
      <c r="AF172" s="379">
        <v>5.0299999999999997E-2</v>
      </c>
      <c r="AG172" s="390">
        <v>4.2999999999999997E-2</v>
      </c>
      <c r="AH172" s="380">
        <v>7.28E-3</v>
      </c>
      <c r="AI172" s="330">
        <f t="shared" si="2"/>
        <v>0.70924855491329475</v>
      </c>
    </row>
    <row r="173" spans="1:35" s="364" customFormat="1" ht="14.25" customHeight="1" outlineLevel="1">
      <c r="A173" s="382" t="s">
        <v>1924</v>
      </c>
      <c r="B173" s="61" t="s">
        <v>1925</v>
      </c>
      <c r="C173" s="95" t="s">
        <v>1926</v>
      </c>
      <c r="D173" s="61" t="s">
        <v>1897</v>
      </c>
      <c r="E173" s="61" t="s">
        <v>1898</v>
      </c>
      <c r="F173" s="97">
        <v>465</v>
      </c>
      <c r="G173" s="98" t="s">
        <v>294</v>
      </c>
      <c r="H173" s="65">
        <v>459</v>
      </c>
      <c r="I173" s="100">
        <v>396</v>
      </c>
      <c r="J173" s="66">
        <v>62.9</v>
      </c>
      <c r="K173" s="67">
        <v>6.66</v>
      </c>
      <c r="L173" s="383">
        <v>6.57</v>
      </c>
      <c r="M173" s="108">
        <v>1.42</v>
      </c>
      <c r="N173" s="108">
        <v>5.15</v>
      </c>
      <c r="O173" s="108">
        <v>9.4799999999999995E-2</v>
      </c>
      <c r="P173" s="67">
        <v>5.93</v>
      </c>
      <c r="Q173" s="383">
        <v>5.93</v>
      </c>
      <c r="R173" s="108">
        <v>0.77400000000000002</v>
      </c>
      <c r="S173" s="108">
        <v>5.15</v>
      </c>
      <c r="T173" s="108">
        <v>5.9899999999999997E-3</v>
      </c>
      <c r="U173" s="67">
        <v>0.73299999999999998</v>
      </c>
      <c r="V173" s="383">
        <v>0.64400000000000002</v>
      </c>
      <c r="W173" s="108">
        <v>0.64400000000000002</v>
      </c>
      <c r="X173" s="108">
        <v>0</v>
      </c>
      <c r="Y173" s="108">
        <v>8.8800000000000004E-2</v>
      </c>
      <c r="Z173" s="70">
        <v>0.156</v>
      </c>
      <c r="AA173" s="103">
        <v>0.11700000000000001</v>
      </c>
      <c r="AB173" s="71">
        <v>3.9E-2</v>
      </c>
      <c r="AC173" s="385">
        <v>0.45100000000000001</v>
      </c>
      <c r="AD173" s="447" t="s">
        <v>1927</v>
      </c>
      <c r="AE173" s="61" t="s">
        <v>1900</v>
      </c>
      <c r="AF173" s="37"/>
      <c r="AG173" s="37"/>
      <c r="AH173" s="37"/>
      <c r="AI173" s="330">
        <f t="shared" si="2"/>
        <v>1</v>
      </c>
    </row>
    <row r="174" spans="1:35" s="364" customFormat="1" ht="14.25" customHeight="1" outlineLevel="1">
      <c r="A174" s="382" t="s">
        <v>1928</v>
      </c>
      <c r="B174" s="61" t="s">
        <v>1929</v>
      </c>
      <c r="C174" s="95" t="s">
        <v>1930</v>
      </c>
      <c r="D174" s="61" t="s">
        <v>1897</v>
      </c>
      <c r="E174" s="61" t="s">
        <v>1898</v>
      </c>
      <c r="F174" s="97">
        <v>420</v>
      </c>
      <c r="G174" s="98" t="s">
        <v>294</v>
      </c>
      <c r="H174" s="65">
        <v>432</v>
      </c>
      <c r="I174" s="100">
        <v>369</v>
      </c>
      <c r="J174" s="66">
        <v>62.9</v>
      </c>
      <c r="K174" s="67">
        <v>10.5</v>
      </c>
      <c r="L174" s="383">
        <v>10.4</v>
      </c>
      <c r="M174" s="108">
        <v>5.05</v>
      </c>
      <c r="N174" s="108">
        <v>5.35</v>
      </c>
      <c r="O174" s="108">
        <v>9.4799999999999995E-2</v>
      </c>
      <c r="P174" s="67">
        <v>10</v>
      </c>
      <c r="Q174" s="383">
        <v>10</v>
      </c>
      <c r="R174" s="108">
        <v>4.67</v>
      </c>
      <c r="S174" s="108">
        <v>5.35</v>
      </c>
      <c r="T174" s="108">
        <v>5.9899999999999997E-3</v>
      </c>
      <c r="U174" s="67">
        <v>0.46899999999999997</v>
      </c>
      <c r="V174" s="383">
        <v>0.38100000000000001</v>
      </c>
      <c r="W174" s="108">
        <v>0.38100000000000001</v>
      </c>
      <c r="X174" s="108">
        <v>0</v>
      </c>
      <c r="Y174" s="108">
        <v>8.8800000000000004E-2</v>
      </c>
      <c r="Z174" s="70">
        <v>0.13400000000000001</v>
      </c>
      <c r="AA174" s="103">
        <v>9.5000000000000001E-2</v>
      </c>
      <c r="AB174" s="71">
        <v>3.9E-2</v>
      </c>
      <c r="AC174" s="385">
        <v>0.45100000000000001</v>
      </c>
      <c r="AD174" s="447" t="s">
        <v>1931</v>
      </c>
      <c r="AE174" s="61" t="s">
        <v>1900</v>
      </c>
      <c r="AF174" s="37"/>
      <c r="AG174" s="37"/>
      <c r="AH174" s="37"/>
      <c r="AI174" s="330">
        <f t="shared" si="2"/>
        <v>1</v>
      </c>
    </row>
    <row r="175" spans="1:35" s="364" customFormat="1" ht="14.25" customHeight="1">
      <c r="A175" s="387" t="s">
        <v>1932</v>
      </c>
      <c r="B175" s="235" t="s">
        <v>1933</v>
      </c>
      <c r="C175" s="45" t="s">
        <v>1934</v>
      </c>
      <c r="D175" s="89" t="s">
        <v>1897</v>
      </c>
      <c r="E175" s="30" t="s">
        <v>1898</v>
      </c>
      <c r="F175" s="47">
        <v>485</v>
      </c>
      <c r="G175" s="47" t="s">
        <v>294</v>
      </c>
      <c r="H175" s="33">
        <v>400</v>
      </c>
      <c r="I175" s="86">
        <v>337</v>
      </c>
      <c r="J175" s="49">
        <v>62.9</v>
      </c>
      <c r="K175" s="87">
        <v>5.88</v>
      </c>
      <c r="L175" s="366">
        <v>5.79</v>
      </c>
      <c r="M175" s="39">
        <v>1.07</v>
      </c>
      <c r="N175" s="39">
        <v>4.72</v>
      </c>
      <c r="O175" s="36">
        <v>9.4799999999999995E-2</v>
      </c>
      <c r="P175" s="87">
        <v>5.21</v>
      </c>
      <c r="Q175" s="366">
        <v>5.21</v>
      </c>
      <c r="R175" s="36">
        <v>0.48399999999999999</v>
      </c>
      <c r="S175" s="36">
        <v>4.72</v>
      </c>
      <c r="T175" s="36">
        <v>5.9899999999999997E-3</v>
      </c>
      <c r="U175" s="73">
        <v>0.67300000000000004</v>
      </c>
      <c r="V175" s="366">
        <v>0.58399999999999996</v>
      </c>
      <c r="W175" s="36">
        <v>0.58399999999999996</v>
      </c>
      <c r="X175" s="36">
        <v>0</v>
      </c>
      <c r="Y175" s="36">
        <v>8.8800000000000004E-2</v>
      </c>
      <c r="Z175" s="50">
        <v>0.156</v>
      </c>
      <c r="AA175" s="79">
        <v>0.11700000000000001</v>
      </c>
      <c r="AB175" s="53">
        <v>3.9E-2</v>
      </c>
      <c r="AC175" s="367">
        <v>0.41299999999999998</v>
      </c>
      <c r="AD175" s="110" t="s">
        <v>1935</v>
      </c>
      <c r="AE175" s="30" t="s">
        <v>1900</v>
      </c>
      <c r="AF175" s="379">
        <v>4.4200000000000003E-2</v>
      </c>
      <c r="AG175" s="390">
        <v>3.7499999999999999E-2</v>
      </c>
      <c r="AH175" s="381">
        <v>6.6699999999999997E-3</v>
      </c>
      <c r="AI175" s="330">
        <f t="shared" si="2"/>
        <v>0.71666666666666667</v>
      </c>
    </row>
    <row r="176" spans="1:35" s="364" customFormat="1" ht="14.25" customHeight="1" outlineLevel="1">
      <c r="A176" s="382" t="s">
        <v>1936</v>
      </c>
      <c r="B176" s="61" t="s">
        <v>1937</v>
      </c>
      <c r="C176" s="95" t="s">
        <v>1938</v>
      </c>
      <c r="D176" s="61" t="s">
        <v>1897</v>
      </c>
      <c r="E176" s="61" t="s">
        <v>1898</v>
      </c>
      <c r="F176" s="97">
        <v>485</v>
      </c>
      <c r="G176" s="98" t="s">
        <v>294</v>
      </c>
      <c r="H176" s="65">
        <v>385</v>
      </c>
      <c r="I176" s="100">
        <v>322</v>
      </c>
      <c r="J176" s="66">
        <v>62.9</v>
      </c>
      <c r="K176" s="67">
        <v>5.74</v>
      </c>
      <c r="L176" s="383">
        <v>5.64</v>
      </c>
      <c r="M176" s="108">
        <v>0.92200000000000004</v>
      </c>
      <c r="N176" s="108">
        <v>4.72</v>
      </c>
      <c r="O176" s="108">
        <v>9.4799999999999995E-2</v>
      </c>
      <c r="P176" s="67">
        <v>5.1100000000000003</v>
      </c>
      <c r="Q176" s="383">
        <v>5.0999999999999996</v>
      </c>
      <c r="R176" s="108">
        <v>0.378</v>
      </c>
      <c r="S176" s="108">
        <v>4.72</v>
      </c>
      <c r="T176" s="108">
        <v>5.9899999999999997E-3</v>
      </c>
      <c r="U176" s="67">
        <v>0.63300000000000001</v>
      </c>
      <c r="V176" s="383">
        <v>0.54400000000000004</v>
      </c>
      <c r="W176" s="108">
        <v>0.54400000000000004</v>
      </c>
      <c r="X176" s="108">
        <v>0</v>
      </c>
      <c r="Y176" s="108">
        <v>8.8800000000000004E-2</v>
      </c>
      <c r="Z176" s="70">
        <v>0.14199999999999999</v>
      </c>
      <c r="AA176" s="103">
        <v>0.10299999999999999</v>
      </c>
      <c r="AB176" s="71">
        <v>3.9E-2</v>
      </c>
      <c r="AC176" s="385">
        <v>0.41299999999999998</v>
      </c>
      <c r="AD176" s="447" t="s">
        <v>1939</v>
      </c>
      <c r="AE176" s="61" t="s">
        <v>1900</v>
      </c>
      <c r="AF176" s="37"/>
      <c r="AG176" s="37"/>
      <c r="AH176" s="37"/>
      <c r="AI176" s="330">
        <f t="shared" si="2"/>
        <v>1</v>
      </c>
    </row>
    <row r="177" spans="1:35" s="364" customFormat="1" ht="14.25" customHeight="1">
      <c r="A177" s="387" t="s">
        <v>734</v>
      </c>
      <c r="B177" s="235" t="s">
        <v>1940</v>
      </c>
      <c r="C177" s="45" t="s">
        <v>1941</v>
      </c>
      <c r="D177" s="89" t="s">
        <v>1897</v>
      </c>
      <c r="E177" s="30" t="s">
        <v>1898</v>
      </c>
      <c r="F177" s="47">
        <v>485</v>
      </c>
      <c r="G177" s="47" t="s">
        <v>294</v>
      </c>
      <c r="H177" s="33">
        <v>316</v>
      </c>
      <c r="I177" s="86">
        <v>254</v>
      </c>
      <c r="J177" s="49">
        <v>62.9</v>
      </c>
      <c r="K177" s="87">
        <v>5.49</v>
      </c>
      <c r="L177" s="366">
        <v>5.39</v>
      </c>
      <c r="M177" s="39">
        <v>0.66900000000000004</v>
      </c>
      <c r="N177" s="39">
        <v>4.72</v>
      </c>
      <c r="O177" s="36">
        <v>9.4799999999999995E-2</v>
      </c>
      <c r="P177" s="87">
        <v>4.9800000000000004</v>
      </c>
      <c r="Q177" s="366">
        <v>4.97</v>
      </c>
      <c r="R177" s="36">
        <v>0.249</v>
      </c>
      <c r="S177" s="36">
        <v>4.72</v>
      </c>
      <c r="T177" s="36">
        <v>5.9899999999999997E-3</v>
      </c>
      <c r="U177" s="73">
        <v>0.50900000000000001</v>
      </c>
      <c r="V177" s="366">
        <v>0.42</v>
      </c>
      <c r="W177" s="36">
        <v>0.42</v>
      </c>
      <c r="X177" s="36">
        <v>0</v>
      </c>
      <c r="Y177" s="36">
        <v>8.8800000000000004E-2</v>
      </c>
      <c r="Z177" s="51">
        <v>0.129</v>
      </c>
      <c r="AA177" s="84">
        <v>9.0399999999999994E-2</v>
      </c>
      <c r="AB177" s="53">
        <v>3.9E-2</v>
      </c>
      <c r="AC177" s="367">
        <v>0.41299999999999998</v>
      </c>
      <c r="AD177" s="110" t="s">
        <v>1942</v>
      </c>
      <c r="AE177" s="30" t="s">
        <v>1900</v>
      </c>
      <c r="AF177" s="419">
        <v>3.4299999999999997E-2</v>
      </c>
      <c r="AG177" s="380">
        <v>2.76E-2</v>
      </c>
      <c r="AH177" s="381">
        <v>6.6699999999999997E-3</v>
      </c>
      <c r="AI177" s="330">
        <f t="shared" si="2"/>
        <v>0.73410852713178298</v>
      </c>
    </row>
    <row r="178" spans="1:35" s="364" customFormat="1" ht="14.25" customHeight="1" outlineLevel="1">
      <c r="A178" s="382" t="s">
        <v>1943</v>
      </c>
      <c r="B178" s="61" t="s">
        <v>1944</v>
      </c>
      <c r="C178" s="95" t="s">
        <v>1945</v>
      </c>
      <c r="D178" s="61" t="s">
        <v>1897</v>
      </c>
      <c r="E178" s="61" t="s">
        <v>1898</v>
      </c>
      <c r="F178" s="97">
        <v>485</v>
      </c>
      <c r="G178" s="98" t="s">
        <v>294</v>
      </c>
      <c r="H178" s="65">
        <v>306</v>
      </c>
      <c r="I178" s="100">
        <v>243</v>
      </c>
      <c r="J178" s="66">
        <v>62.9</v>
      </c>
      <c r="K178" s="67">
        <v>5.35</v>
      </c>
      <c r="L178" s="383">
        <v>5.26</v>
      </c>
      <c r="M178" s="108">
        <v>0.54500000000000004</v>
      </c>
      <c r="N178" s="108">
        <v>4.71</v>
      </c>
      <c r="O178" s="108">
        <v>9.4799999999999995E-2</v>
      </c>
      <c r="P178" s="67">
        <v>4.88</v>
      </c>
      <c r="Q178" s="103">
        <v>4.87</v>
      </c>
      <c r="R178" s="108">
        <v>0.156</v>
      </c>
      <c r="S178" s="108">
        <v>4.71</v>
      </c>
      <c r="T178" s="108">
        <v>5.9899999999999997E-3</v>
      </c>
      <c r="U178" s="67">
        <v>0.47799999999999998</v>
      </c>
      <c r="V178" s="383">
        <v>0.38900000000000001</v>
      </c>
      <c r="W178" s="108">
        <v>0.38900000000000001</v>
      </c>
      <c r="X178" s="69">
        <v>0</v>
      </c>
      <c r="Y178" s="108">
        <v>8.8800000000000004E-2</v>
      </c>
      <c r="Z178" s="70">
        <v>0.12</v>
      </c>
      <c r="AA178" s="103">
        <v>8.09E-2</v>
      </c>
      <c r="AB178" s="71">
        <v>3.9E-2</v>
      </c>
      <c r="AC178" s="385">
        <v>0.41299999999999998</v>
      </c>
      <c r="AD178" s="447" t="s">
        <v>1946</v>
      </c>
      <c r="AE178" s="61" t="s">
        <v>1900</v>
      </c>
      <c r="AF178" s="37"/>
      <c r="AG178" s="37"/>
      <c r="AH178" s="37"/>
      <c r="AI178" s="330">
        <f t="shared" si="2"/>
        <v>1</v>
      </c>
    </row>
    <row r="179" spans="1:35" s="364" customFormat="1" ht="14.25" customHeight="1">
      <c r="A179" s="387" t="s">
        <v>1947</v>
      </c>
      <c r="B179" s="235" t="s">
        <v>1948</v>
      </c>
      <c r="C179" s="45" t="s">
        <v>1949</v>
      </c>
      <c r="D179" s="44" t="s">
        <v>1950</v>
      </c>
      <c r="E179" s="30" t="s">
        <v>1951</v>
      </c>
      <c r="F179" s="47">
        <v>685</v>
      </c>
      <c r="G179" s="47" t="s">
        <v>294</v>
      </c>
      <c r="H179" s="33">
        <v>1540</v>
      </c>
      <c r="I179" s="86">
        <v>1420</v>
      </c>
      <c r="J179" s="49">
        <v>128</v>
      </c>
      <c r="K179" s="87">
        <v>10.3</v>
      </c>
      <c r="L179" s="366">
        <v>10.199999999999999</v>
      </c>
      <c r="M179" s="39">
        <v>4.43</v>
      </c>
      <c r="N179" s="39">
        <v>5.79</v>
      </c>
      <c r="O179" s="36">
        <v>0.108</v>
      </c>
      <c r="P179" s="87">
        <v>5.85</v>
      </c>
      <c r="Q179" s="366">
        <v>5.84</v>
      </c>
      <c r="R179" s="36">
        <v>1.23</v>
      </c>
      <c r="S179" s="36">
        <v>4.6100000000000003</v>
      </c>
      <c r="T179" s="36">
        <v>6.1599999999999997E-3</v>
      </c>
      <c r="U179" s="87">
        <v>4.47</v>
      </c>
      <c r="V179" s="366">
        <v>4.37</v>
      </c>
      <c r="W179" s="36">
        <v>3.2</v>
      </c>
      <c r="X179" s="36">
        <v>1.17</v>
      </c>
      <c r="Y179" s="36">
        <v>0.10199999999999999</v>
      </c>
      <c r="Z179" s="50">
        <v>0.95399999999999996</v>
      </c>
      <c r="AA179" s="79">
        <v>0.85399999999999998</v>
      </c>
      <c r="AB179" s="31">
        <v>0.1</v>
      </c>
      <c r="AC179" s="367">
        <v>0.39600000000000002</v>
      </c>
      <c r="AD179" s="110" t="s">
        <v>1952</v>
      </c>
      <c r="AE179" s="30" t="s">
        <v>1953</v>
      </c>
      <c r="AF179" s="379">
        <v>0.79400000000000004</v>
      </c>
      <c r="AG179" s="390">
        <v>0.749</v>
      </c>
      <c r="AH179" s="390">
        <v>4.4400000000000002E-2</v>
      </c>
      <c r="AI179" s="330">
        <f t="shared" si="2"/>
        <v>0.1677148846960167</v>
      </c>
    </row>
    <row r="180" spans="1:35" s="364" customFormat="1" ht="14.25" customHeight="1">
      <c r="A180" s="387" t="s">
        <v>1954</v>
      </c>
      <c r="B180" s="235" t="s">
        <v>1955</v>
      </c>
      <c r="C180" s="45" t="s">
        <v>1956</v>
      </c>
      <c r="D180" s="89" t="s">
        <v>1864</v>
      </c>
      <c r="E180" s="30" t="s">
        <v>1865</v>
      </c>
      <c r="F180" s="47">
        <v>605</v>
      </c>
      <c r="G180" s="47" t="s">
        <v>294</v>
      </c>
      <c r="H180" s="33">
        <v>1030</v>
      </c>
      <c r="I180" s="86">
        <v>921</v>
      </c>
      <c r="J180" s="49">
        <v>106</v>
      </c>
      <c r="K180" s="87">
        <v>11</v>
      </c>
      <c r="L180" s="366">
        <v>10.9</v>
      </c>
      <c r="M180" s="39">
        <v>5.23</v>
      </c>
      <c r="N180" s="39">
        <v>5.63</v>
      </c>
      <c r="O180" s="36">
        <v>0.104</v>
      </c>
      <c r="P180" s="87">
        <v>8.26</v>
      </c>
      <c r="Q180" s="366">
        <v>8.25</v>
      </c>
      <c r="R180" s="36">
        <v>3.16</v>
      </c>
      <c r="S180" s="36">
        <v>5.09</v>
      </c>
      <c r="T180" s="36">
        <v>6.11E-3</v>
      </c>
      <c r="U180" s="87">
        <v>2.71</v>
      </c>
      <c r="V180" s="366">
        <v>2.61</v>
      </c>
      <c r="W180" s="36">
        <v>2.08</v>
      </c>
      <c r="X180" s="36">
        <v>0.53500000000000003</v>
      </c>
      <c r="Y180" s="36">
        <v>9.7600000000000006E-2</v>
      </c>
      <c r="Z180" s="50">
        <v>0.56299999999999994</v>
      </c>
      <c r="AA180" s="79">
        <v>0.48299999999999998</v>
      </c>
      <c r="AB180" s="31">
        <v>7.9799999999999996E-2</v>
      </c>
      <c r="AC180" s="367">
        <v>0.44400000000000001</v>
      </c>
      <c r="AD180" s="110" t="s">
        <v>1957</v>
      </c>
      <c r="AE180" s="30" t="s">
        <v>1867</v>
      </c>
      <c r="AF180" s="379">
        <v>0.314</v>
      </c>
      <c r="AG180" s="390">
        <v>0.26900000000000002</v>
      </c>
      <c r="AH180" s="390">
        <v>4.4600000000000001E-2</v>
      </c>
      <c r="AI180" s="330">
        <f t="shared" si="2"/>
        <v>0.44227353463587915</v>
      </c>
    </row>
    <row r="181" spans="1:35" s="389" customFormat="1" ht="14.25" customHeight="1">
      <c r="A181" s="446" t="s">
        <v>1958</v>
      </c>
      <c r="B181" s="235" t="s">
        <v>1959</v>
      </c>
      <c r="C181" s="30" t="s">
        <v>1960</v>
      </c>
      <c r="D181" s="89" t="s">
        <v>1864</v>
      </c>
      <c r="E181" s="30" t="s">
        <v>1865</v>
      </c>
      <c r="F181" s="32">
        <v>272</v>
      </c>
      <c r="G181" s="32" t="s">
        <v>294</v>
      </c>
      <c r="H181" s="33">
        <v>1340</v>
      </c>
      <c r="I181" s="34">
        <v>1230</v>
      </c>
      <c r="J181" s="49">
        <v>106</v>
      </c>
      <c r="K181" s="87">
        <v>10.5</v>
      </c>
      <c r="L181" s="36">
        <v>10.4</v>
      </c>
      <c r="M181" s="39">
        <v>4.87</v>
      </c>
      <c r="N181" s="39">
        <v>5.57</v>
      </c>
      <c r="O181" s="36">
        <v>0.104</v>
      </c>
      <c r="P181" s="87">
        <v>6.89</v>
      </c>
      <c r="Q181" s="36">
        <v>6.88</v>
      </c>
      <c r="R181" s="36">
        <v>1.96</v>
      </c>
      <c r="S181" s="36">
        <v>4.92</v>
      </c>
      <c r="T181" s="36">
        <v>6.11E-3</v>
      </c>
      <c r="U181" s="87">
        <v>3.65</v>
      </c>
      <c r="V181" s="36">
        <v>3.55</v>
      </c>
      <c r="W181" s="36">
        <v>2.91</v>
      </c>
      <c r="X181" s="36">
        <v>0.64700000000000002</v>
      </c>
      <c r="Y181" s="36">
        <v>9.7600000000000006E-2</v>
      </c>
      <c r="Z181" s="50">
        <v>0.81299999999999994</v>
      </c>
      <c r="AA181" s="31">
        <v>0.73299999999999998</v>
      </c>
      <c r="AB181" s="31">
        <v>7.9799999999999996E-2</v>
      </c>
      <c r="AC181" s="367">
        <v>0.42899999999999999</v>
      </c>
      <c r="AD181" s="397" t="s">
        <v>1961</v>
      </c>
      <c r="AE181" s="30" t="s">
        <v>1867</v>
      </c>
      <c r="AF181" s="14"/>
      <c r="AG181" s="14"/>
      <c r="AH181" s="14"/>
      <c r="AI181" s="330">
        <f t="shared" si="2"/>
        <v>1</v>
      </c>
    </row>
    <row r="182" spans="1:35" s="364" customFormat="1" ht="14.25" customHeight="1">
      <c r="A182" s="387" t="s">
        <v>1962</v>
      </c>
      <c r="B182" s="235" t="s">
        <v>1963</v>
      </c>
      <c r="C182" s="45" t="s">
        <v>1964</v>
      </c>
      <c r="D182" s="89" t="s">
        <v>1864</v>
      </c>
      <c r="E182" s="30" t="s">
        <v>1865</v>
      </c>
      <c r="F182" s="47">
        <v>640</v>
      </c>
      <c r="G182" s="47" t="s">
        <v>294</v>
      </c>
      <c r="H182" s="33">
        <v>886</v>
      </c>
      <c r="I182" s="86">
        <v>780</v>
      </c>
      <c r="J182" s="49">
        <v>106</v>
      </c>
      <c r="K182" s="87">
        <v>6.92</v>
      </c>
      <c r="L182" s="366">
        <v>6.82</v>
      </c>
      <c r="M182" s="39">
        <v>2.38</v>
      </c>
      <c r="N182" s="39">
        <v>4.43</v>
      </c>
      <c r="O182" s="36">
        <v>0.104</v>
      </c>
      <c r="P182" s="87">
        <v>4.3600000000000003</v>
      </c>
      <c r="Q182" s="366">
        <v>4.3600000000000003</v>
      </c>
      <c r="R182" s="36">
        <v>0.77800000000000002</v>
      </c>
      <c r="S182" s="36">
        <v>3.58</v>
      </c>
      <c r="T182" s="36">
        <v>6.11E-3</v>
      </c>
      <c r="U182" s="73">
        <v>2.56</v>
      </c>
      <c r="V182" s="366">
        <v>2.46</v>
      </c>
      <c r="W182" s="36">
        <v>1.61</v>
      </c>
      <c r="X182" s="36">
        <v>0.85599999999999998</v>
      </c>
      <c r="Y182" s="36">
        <v>9.7600000000000006E-2</v>
      </c>
      <c r="Z182" s="50">
        <v>0.52900000000000003</v>
      </c>
      <c r="AA182" s="79">
        <v>0.45</v>
      </c>
      <c r="AB182" s="31">
        <v>7.9799999999999996E-2</v>
      </c>
      <c r="AC182" s="367">
        <v>0.41699999999999998</v>
      </c>
      <c r="AD182" s="110" t="s">
        <v>1965</v>
      </c>
      <c r="AE182" s="30" t="s">
        <v>1867</v>
      </c>
      <c r="AF182" s="328">
        <v>0.4</v>
      </c>
      <c r="AG182" s="329">
        <v>0.35599999999999998</v>
      </c>
      <c r="AH182" s="329">
        <v>4.4600000000000001E-2</v>
      </c>
      <c r="AI182" s="330">
        <f t="shared" si="2"/>
        <v>0.24385633270321361</v>
      </c>
    </row>
    <row r="183" spans="1:35" s="364" customFormat="1" ht="14.25" customHeight="1">
      <c r="A183" s="387" t="s">
        <v>1966</v>
      </c>
      <c r="B183" s="235" t="s">
        <v>1967</v>
      </c>
      <c r="C183" s="45" t="s">
        <v>1968</v>
      </c>
      <c r="D183" s="44" t="s">
        <v>1969</v>
      </c>
      <c r="E183" s="30" t="s">
        <v>1970</v>
      </c>
      <c r="F183" s="47">
        <v>640</v>
      </c>
      <c r="G183" s="47" t="s">
        <v>294</v>
      </c>
      <c r="H183" s="33">
        <v>1210</v>
      </c>
      <c r="I183" s="86">
        <v>1090</v>
      </c>
      <c r="J183" s="49">
        <v>122</v>
      </c>
      <c r="K183" s="87">
        <v>8.39</v>
      </c>
      <c r="L183" s="366">
        <v>8.2799999999999994</v>
      </c>
      <c r="M183" s="39">
        <v>3.69</v>
      </c>
      <c r="N183" s="39">
        <v>4.59</v>
      </c>
      <c r="O183" s="36">
        <v>0.105</v>
      </c>
      <c r="P183" s="87">
        <v>4.6900000000000004</v>
      </c>
      <c r="Q183" s="366">
        <v>4.68</v>
      </c>
      <c r="R183" s="36">
        <v>1.22</v>
      </c>
      <c r="S183" s="36">
        <v>3.46</v>
      </c>
      <c r="T183" s="36">
        <v>6.1399999999999996E-3</v>
      </c>
      <c r="U183" s="87">
        <v>3.7</v>
      </c>
      <c r="V183" s="366">
        <v>3.6</v>
      </c>
      <c r="W183" s="36">
        <v>2.4700000000000002</v>
      </c>
      <c r="X183" s="36">
        <v>1.1299999999999999</v>
      </c>
      <c r="Y183" s="36">
        <v>9.8500000000000004E-2</v>
      </c>
      <c r="Z183" s="50">
        <v>0.73499999999999999</v>
      </c>
      <c r="AA183" s="79">
        <v>0.64100000000000001</v>
      </c>
      <c r="AB183" s="31">
        <v>9.4500000000000001E-2</v>
      </c>
      <c r="AC183" s="367">
        <v>0.41699999999999998</v>
      </c>
      <c r="AD183" s="110" t="s">
        <v>1971</v>
      </c>
      <c r="AE183" s="30" t="s">
        <v>1972</v>
      </c>
      <c r="AF183" s="379">
        <v>0.55500000000000005</v>
      </c>
      <c r="AG183" s="390">
        <v>0.51100000000000001</v>
      </c>
      <c r="AH183" s="390">
        <v>4.4600000000000001E-2</v>
      </c>
      <c r="AI183" s="330">
        <f t="shared" si="2"/>
        <v>0.24489795918367338</v>
      </c>
    </row>
    <row r="184" spans="1:35" s="364" customFormat="1" ht="14.25" customHeight="1">
      <c r="A184" s="387" t="s">
        <v>1973</v>
      </c>
      <c r="B184" s="235" t="s">
        <v>1974</v>
      </c>
      <c r="C184" s="45" t="s">
        <v>1975</v>
      </c>
      <c r="D184" s="89" t="s">
        <v>1864</v>
      </c>
      <c r="E184" s="30" t="s">
        <v>1865</v>
      </c>
      <c r="F184" s="47">
        <v>640</v>
      </c>
      <c r="G184" s="47" t="s">
        <v>294</v>
      </c>
      <c r="H184" s="33">
        <v>886</v>
      </c>
      <c r="I184" s="86">
        <v>780</v>
      </c>
      <c r="J184" s="49">
        <v>106</v>
      </c>
      <c r="K184" s="87">
        <v>6.92</v>
      </c>
      <c r="L184" s="366">
        <v>6.82</v>
      </c>
      <c r="M184" s="39">
        <v>2.38</v>
      </c>
      <c r="N184" s="39">
        <v>4.43</v>
      </c>
      <c r="O184" s="36">
        <v>0.104</v>
      </c>
      <c r="P184" s="87">
        <v>4.3600000000000003</v>
      </c>
      <c r="Q184" s="366">
        <v>4.3600000000000003</v>
      </c>
      <c r="R184" s="36">
        <v>0.77800000000000002</v>
      </c>
      <c r="S184" s="36">
        <v>3.58</v>
      </c>
      <c r="T184" s="36">
        <v>6.11E-3</v>
      </c>
      <c r="U184" s="87">
        <v>2.56</v>
      </c>
      <c r="V184" s="366">
        <v>2.46</v>
      </c>
      <c r="W184" s="36">
        <v>1.61</v>
      </c>
      <c r="X184" s="36">
        <v>0.85599999999999998</v>
      </c>
      <c r="Y184" s="36">
        <v>9.7600000000000006E-2</v>
      </c>
      <c r="Z184" s="50">
        <v>0.52900000000000003</v>
      </c>
      <c r="AA184" s="79">
        <v>0.45</v>
      </c>
      <c r="AB184" s="31">
        <v>7.9799999999999996E-2</v>
      </c>
      <c r="AC184" s="367">
        <v>0.41699999999999998</v>
      </c>
      <c r="AD184" s="110" t="s">
        <v>1976</v>
      </c>
      <c r="AE184" s="30" t="s">
        <v>1867</v>
      </c>
      <c r="AF184" s="379">
        <v>0.4</v>
      </c>
      <c r="AG184" s="390">
        <v>0.35599999999999998</v>
      </c>
      <c r="AH184" s="390">
        <v>4.4600000000000001E-2</v>
      </c>
      <c r="AI184" s="330">
        <f t="shared" si="2"/>
        <v>0.24385633270321361</v>
      </c>
    </row>
    <row r="185" spans="1:35" s="364" customFormat="1" ht="14.25" customHeight="1">
      <c r="A185" s="387" t="s">
        <v>853</v>
      </c>
      <c r="B185" s="235" t="s">
        <v>1977</v>
      </c>
      <c r="C185" s="45" t="s">
        <v>1978</v>
      </c>
      <c r="D185" s="89" t="s">
        <v>1864</v>
      </c>
      <c r="E185" s="30" t="s">
        <v>1865</v>
      </c>
      <c r="F185" s="47">
        <v>500</v>
      </c>
      <c r="G185" s="47" t="s">
        <v>294</v>
      </c>
      <c r="H185" s="33">
        <v>2870</v>
      </c>
      <c r="I185" s="86">
        <v>2760</v>
      </c>
      <c r="J185" s="49">
        <v>106</v>
      </c>
      <c r="K185" s="87">
        <v>17</v>
      </c>
      <c r="L185" s="366">
        <v>16.899999999999999</v>
      </c>
      <c r="M185" s="39">
        <v>12</v>
      </c>
      <c r="N185" s="39">
        <v>4.8899999999999997</v>
      </c>
      <c r="O185" s="36">
        <v>0.104</v>
      </c>
      <c r="P185" s="87">
        <v>10</v>
      </c>
      <c r="Q185" s="366">
        <v>10</v>
      </c>
      <c r="R185" s="36">
        <v>5.89</v>
      </c>
      <c r="S185" s="36">
        <v>4.1500000000000004</v>
      </c>
      <c r="T185" s="36">
        <v>6.11E-3</v>
      </c>
      <c r="U185" s="87">
        <v>6.94</v>
      </c>
      <c r="V185" s="366">
        <v>6.84</v>
      </c>
      <c r="W185" s="36">
        <v>6.1</v>
      </c>
      <c r="X185" s="36">
        <v>0.74099999999999999</v>
      </c>
      <c r="Y185" s="36">
        <v>9.7600000000000006E-2</v>
      </c>
      <c r="Z185" s="73">
        <v>1.43</v>
      </c>
      <c r="AA185" s="79">
        <v>1.35</v>
      </c>
      <c r="AB185" s="31">
        <v>7.9799999999999996E-2</v>
      </c>
      <c r="AC185" s="367">
        <v>0.41</v>
      </c>
      <c r="AD185" s="110" t="s">
        <v>1979</v>
      </c>
      <c r="AE185" s="30" t="s">
        <v>1867</v>
      </c>
      <c r="AF185" s="398">
        <v>0.83399999999999996</v>
      </c>
      <c r="AG185" s="390">
        <v>0.79500000000000004</v>
      </c>
      <c r="AH185" s="390">
        <v>3.8899999999999997E-2</v>
      </c>
      <c r="AI185" s="330">
        <f t="shared" si="2"/>
        <v>0.41678321678321678</v>
      </c>
    </row>
    <row r="186" spans="1:35" s="364" customFormat="1" ht="14.25" customHeight="1">
      <c r="A186" s="387" t="s">
        <v>1980</v>
      </c>
      <c r="B186" s="235" t="s">
        <v>1981</v>
      </c>
      <c r="C186" s="45" t="s">
        <v>1982</v>
      </c>
      <c r="D186" s="89" t="s">
        <v>1864</v>
      </c>
      <c r="E186" s="30" t="s">
        <v>1865</v>
      </c>
      <c r="F186" s="47">
        <v>500</v>
      </c>
      <c r="G186" s="47" t="s">
        <v>294</v>
      </c>
      <c r="H186" s="33">
        <v>2140</v>
      </c>
      <c r="I186" s="86">
        <v>2030</v>
      </c>
      <c r="J186" s="49">
        <v>106</v>
      </c>
      <c r="K186" s="87">
        <v>14.7</v>
      </c>
      <c r="L186" s="366">
        <v>14.6</v>
      </c>
      <c r="M186" s="39">
        <v>9.6999999999999993</v>
      </c>
      <c r="N186" s="39">
        <v>4.8899999999999997</v>
      </c>
      <c r="O186" s="36">
        <v>0.104</v>
      </c>
      <c r="P186" s="87">
        <v>9.99</v>
      </c>
      <c r="Q186" s="366">
        <v>9.99</v>
      </c>
      <c r="R186" s="36">
        <v>5.84</v>
      </c>
      <c r="S186" s="36">
        <v>4.1500000000000004</v>
      </c>
      <c r="T186" s="36">
        <v>6.11E-3</v>
      </c>
      <c r="U186" s="87">
        <v>4.7</v>
      </c>
      <c r="V186" s="366">
        <v>4.5999999999999996</v>
      </c>
      <c r="W186" s="36">
        <v>3.86</v>
      </c>
      <c r="X186" s="36">
        <v>0.74099999999999999</v>
      </c>
      <c r="Y186" s="36">
        <v>9.7600000000000006E-2</v>
      </c>
      <c r="Z186" s="73">
        <v>0.94799999999999995</v>
      </c>
      <c r="AA186" s="79">
        <v>0.86799999999999999</v>
      </c>
      <c r="AB186" s="31">
        <v>7.9799999999999996E-2</v>
      </c>
      <c r="AC186" s="367">
        <v>0.41</v>
      </c>
      <c r="AD186" s="110" t="s">
        <v>1983</v>
      </c>
      <c r="AE186" s="30" t="s">
        <v>1867</v>
      </c>
      <c r="AF186" s="398">
        <v>0.6</v>
      </c>
      <c r="AG186" s="390">
        <v>0.56100000000000005</v>
      </c>
      <c r="AH186" s="390">
        <v>3.8899999999999997E-2</v>
      </c>
      <c r="AI186" s="330">
        <f t="shared" si="2"/>
        <v>0.36708860759493672</v>
      </c>
    </row>
    <row r="187" spans="1:35" s="389" customFormat="1" ht="14.25" customHeight="1">
      <c r="A187" s="446" t="s">
        <v>1984</v>
      </c>
      <c r="B187" s="235" t="s">
        <v>1985</v>
      </c>
      <c r="C187" s="30" t="s">
        <v>1986</v>
      </c>
      <c r="D187" s="89"/>
      <c r="E187" s="30"/>
      <c r="F187" s="32"/>
      <c r="G187" s="32"/>
      <c r="H187" s="33"/>
      <c r="I187" s="86"/>
      <c r="J187" s="49"/>
      <c r="K187" s="87"/>
      <c r="L187" s="366"/>
      <c r="M187" s="39"/>
      <c r="N187" s="39"/>
      <c r="O187" s="36"/>
      <c r="P187" s="87"/>
      <c r="Q187" s="366"/>
      <c r="R187" s="36"/>
      <c r="S187" s="36"/>
      <c r="T187" s="36"/>
      <c r="U187" s="87"/>
      <c r="V187" s="366"/>
      <c r="W187" s="36"/>
      <c r="X187" s="36"/>
      <c r="Y187" s="36"/>
      <c r="Z187" s="73"/>
      <c r="AA187" s="79"/>
      <c r="AB187" s="31"/>
      <c r="AC187" s="367"/>
      <c r="AD187" s="397" t="s">
        <v>1987</v>
      </c>
      <c r="AE187" s="30"/>
      <c r="AI187" s="330" t="e">
        <f t="shared" si="2"/>
        <v>#DIV/0!</v>
      </c>
    </row>
    <row r="188" spans="1:35" s="389" customFormat="1" ht="14.25" customHeight="1" outlineLevel="1">
      <c r="A188" s="388" t="s">
        <v>1988</v>
      </c>
      <c r="B188" s="61" t="s">
        <v>1989</v>
      </c>
      <c r="C188" s="61" t="s">
        <v>1990</v>
      </c>
      <c r="D188" s="61" t="s">
        <v>1991</v>
      </c>
      <c r="E188" s="61" t="s">
        <v>1992</v>
      </c>
      <c r="F188" s="63">
        <v>700</v>
      </c>
      <c r="G188" s="64" t="s">
        <v>294</v>
      </c>
      <c r="H188" s="65">
        <v>1010</v>
      </c>
      <c r="I188" s="66">
        <v>926</v>
      </c>
      <c r="J188" s="66">
        <v>84.4</v>
      </c>
      <c r="K188" s="67">
        <v>11.3</v>
      </c>
      <c r="L188" s="108">
        <v>11.2</v>
      </c>
      <c r="M188" s="108">
        <v>6.02</v>
      </c>
      <c r="N188" s="108">
        <v>5.18</v>
      </c>
      <c r="O188" s="108">
        <v>0.114</v>
      </c>
      <c r="P188" s="67">
        <v>9.4600000000000009</v>
      </c>
      <c r="Q188" s="69">
        <v>9.4600000000000009</v>
      </c>
      <c r="R188" s="108">
        <v>4.3600000000000003</v>
      </c>
      <c r="S188" s="108">
        <v>5.0999999999999996</v>
      </c>
      <c r="T188" s="108">
        <v>6.9100000000000003E-3</v>
      </c>
      <c r="U188" s="67">
        <v>1.86</v>
      </c>
      <c r="V188" s="108">
        <v>1.75</v>
      </c>
      <c r="W188" s="108">
        <v>1.67</v>
      </c>
      <c r="X188" s="69">
        <v>8.3299999999999999E-2</v>
      </c>
      <c r="Y188" s="108">
        <v>0.108</v>
      </c>
      <c r="Z188" s="70">
        <v>0.36699999999999999</v>
      </c>
      <c r="AA188" s="107">
        <v>0.30599999999999999</v>
      </c>
      <c r="AB188" s="71">
        <v>6.1499999999999999E-2</v>
      </c>
      <c r="AC188" s="385">
        <v>0.47699999999999998</v>
      </c>
      <c r="AD188" s="418" t="s">
        <v>1993</v>
      </c>
      <c r="AE188" s="61" t="s">
        <v>1994</v>
      </c>
      <c r="AI188" s="330">
        <f t="shared" si="2"/>
        <v>1</v>
      </c>
    </row>
    <row r="189" spans="1:35" s="389" customFormat="1" ht="36.75" customHeight="1">
      <c r="A189" s="1601" t="s">
        <v>1995</v>
      </c>
      <c r="B189" s="1602"/>
      <c r="C189" s="1602"/>
      <c r="D189" s="1602"/>
      <c r="E189" s="1602"/>
      <c r="F189" s="1602"/>
      <c r="G189" s="1602"/>
      <c r="H189" s="1602"/>
      <c r="I189" s="1602"/>
      <c r="J189" s="1602"/>
      <c r="K189" s="1602"/>
      <c r="L189" s="1602"/>
      <c r="M189" s="1602"/>
      <c r="N189" s="1602"/>
      <c r="O189" s="1602"/>
      <c r="P189" s="1602"/>
      <c r="Q189" s="1602"/>
      <c r="R189" s="1602"/>
      <c r="S189" s="1602"/>
      <c r="T189" s="1602"/>
      <c r="U189" s="1602"/>
      <c r="V189" s="1602"/>
      <c r="W189" s="1602"/>
      <c r="X189" s="1602"/>
      <c r="Y189" s="1602"/>
      <c r="Z189" s="1602"/>
      <c r="AA189" s="1602"/>
      <c r="AB189" s="1602"/>
      <c r="AC189" s="1602"/>
      <c r="AD189" s="1602"/>
      <c r="AE189" s="1603"/>
      <c r="AI189" s="330" t="e">
        <f t="shared" si="2"/>
        <v>#DIV/0!</v>
      </c>
    </row>
    <row r="190" spans="1:35" s="389" customFormat="1" ht="14.25" customHeight="1">
      <c r="A190" s="1604"/>
      <c r="B190" s="1602"/>
      <c r="C190" s="1602"/>
      <c r="D190" s="1602"/>
      <c r="E190" s="1602"/>
      <c r="F190" s="1602"/>
      <c r="G190" s="1602"/>
      <c r="H190" s="1602"/>
      <c r="I190" s="1602"/>
      <c r="J190" s="1602"/>
      <c r="K190" s="1602"/>
      <c r="L190" s="1602"/>
      <c r="M190" s="1602"/>
      <c r="N190" s="1602"/>
      <c r="O190" s="1602"/>
      <c r="P190" s="1602"/>
      <c r="Q190" s="1602"/>
      <c r="R190" s="1602"/>
      <c r="S190" s="1602"/>
      <c r="T190" s="1602"/>
      <c r="U190" s="1602"/>
      <c r="V190" s="1602"/>
      <c r="W190" s="1602"/>
      <c r="X190" s="1602"/>
      <c r="Y190" s="1602"/>
      <c r="Z190" s="1602"/>
      <c r="AA190" s="1602"/>
      <c r="AB190" s="1602"/>
      <c r="AC190" s="1602"/>
      <c r="AD190" s="1602"/>
      <c r="AE190" s="1603"/>
      <c r="AI190" s="330" t="e">
        <f t="shared" si="2"/>
        <v>#DIV/0!</v>
      </c>
    </row>
    <row r="191" spans="1:35" s="364" customFormat="1" ht="14.25" customHeight="1">
      <c r="A191" s="357" t="s">
        <v>1996</v>
      </c>
      <c r="B191" s="357"/>
      <c r="C191" s="41" t="s">
        <v>1997</v>
      </c>
      <c r="D191" s="40"/>
      <c r="E191" s="41"/>
      <c r="F191" s="42" t="s">
        <v>1295</v>
      </c>
      <c r="G191" s="43"/>
      <c r="H191" s="358"/>
      <c r="I191" s="358"/>
      <c r="J191" s="358"/>
      <c r="K191" s="440"/>
      <c r="L191" s="440"/>
      <c r="M191" s="440"/>
      <c r="N191" s="440"/>
      <c r="O191" s="440"/>
      <c r="P191" s="440"/>
      <c r="Q191" s="440"/>
      <c r="R191" s="440"/>
      <c r="S191" s="358"/>
      <c r="T191" s="440"/>
      <c r="U191" s="362"/>
      <c r="V191" s="440"/>
      <c r="W191" s="440"/>
      <c r="X191" s="440"/>
      <c r="Y191" s="440"/>
      <c r="Z191" s="440"/>
      <c r="AA191" s="358"/>
      <c r="AB191" s="358"/>
      <c r="AC191" s="358"/>
      <c r="AD191" s="363" t="s">
        <v>1998</v>
      </c>
      <c r="AE191" s="41"/>
      <c r="AI191" s="330" t="e">
        <f t="shared" si="2"/>
        <v>#DIV/0!</v>
      </c>
    </row>
    <row r="192" spans="1:35" s="364" customFormat="1" ht="14.25" customHeight="1">
      <c r="A192" s="387" t="s">
        <v>855</v>
      </c>
      <c r="B192" s="235" t="s">
        <v>1999</v>
      </c>
      <c r="C192" s="45" t="s">
        <v>2000</v>
      </c>
      <c r="D192" s="89" t="s">
        <v>2001</v>
      </c>
      <c r="E192" s="30" t="s">
        <v>2002</v>
      </c>
      <c r="F192" s="72">
        <v>1500</v>
      </c>
      <c r="G192" s="47" t="s">
        <v>294</v>
      </c>
      <c r="H192" s="33">
        <v>10100</v>
      </c>
      <c r="I192" s="86">
        <v>9910</v>
      </c>
      <c r="J192" s="34">
        <v>236</v>
      </c>
      <c r="K192" s="87">
        <v>24.6</v>
      </c>
      <c r="L192" s="366">
        <v>24.6</v>
      </c>
      <c r="M192" s="39">
        <v>24.6</v>
      </c>
      <c r="N192" s="39">
        <v>0</v>
      </c>
      <c r="O192" s="36">
        <v>5.8000000000000003E-2</v>
      </c>
      <c r="P192" s="87">
        <v>0.35399999999999998</v>
      </c>
      <c r="Q192" s="366">
        <v>0.35099999999999998</v>
      </c>
      <c r="R192" s="36">
        <v>0.35099999999999998</v>
      </c>
      <c r="S192" s="36">
        <v>0</v>
      </c>
      <c r="T192" s="36">
        <v>2.2000000000000001E-3</v>
      </c>
      <c r="U192" s="87">
        <v>24.3</v>
      </c>
      <c r="V192" s="366">
        <v>24.2</v>
      </c>
      <c r="W192" s="36">
        <v>24.2</v>
      </c>
      <c r="X192" s="36">
        <v>0</v>
      </c>
      <c r="Y192" s="36">
        <v>5.5800000000000002E-2</v>
      </c>
      <c r="Z192" s="73">
        <v>4.84</v>
      </c>
      <c r="AA192" s="78">
        <v>4.6500000000000004</v>
      </c>
      <c r="AB192" s="74">
        <v>0.187</v>
      </c>
      <c r="AC192" s="367">
        <v>0</v>
      </c>
      <c r="AD192" s="110" t="s">
        <v>2003</v>
      </c>
      <c r="AE192" s="30" t="s">
        <v>2004</v>
      </c>
      <c r="AF192" s="398">
        <v>4.97</v>
      </c>
      <c r="AG192" s="399">
        <v>4.54</v>
      </c>
      <c r="AH192" s="399">
        <v>0.42899999999999999</v>
      </c>
      <c r="AI192" s="330">
        <f t="shared" si="2"/>
        <v>-2.6859504132231385E-2</v>
      </c>
    </row>
    <row r="193" spans="1:35" s="364" customFormat="1" ht="14.25" customHeight="1">
      <c r="A193" s="387" t="s">
        <v>708</v>
      </c>
      <c r="B193" s="235" t="s">
        <v>2005</v>
      </c>
      <c r="C193" s="45" t="s">
        <v>2006</v>
      </c>
      <c r="D193" s="89" t="s">
        <v>2001</v>
      </c>
      <c r="E193" s="30" t="s">
        <v>2002</v>
      </c>
      <c r="F193" s="72">
        <v>1000</v>
      </c>
      <c r="G193" s="47" t="s">
        <v>294</v>
      </c>
      <c r="H193" s="33">
        <v>2040</v>
      </c>
      <c r="I193" s="86">
        <v>1800</v>
      </c>
      <c r="J193" s="34">
        <v>236</v>
      </c>
      <c r="K193" s="87">
        <v>15</v>
      </c>
      <c r="L193" s="366">
        <v>15</v>
      </c>
      <c r="M193" s="39">
        <v>3.48</v>
      </c>
      <c r="N193" s="39">
        <v>11.5</v>
      </c>
      <c r="O193" s="36">
        <v>5.8000000000000003E-2</v>
      </c>
      <c r="P193" s="87">
        <v>6.4399999999999999E-2</v>
      </c>
      <c r="Q193" s="366">
        <v>6.2199999999999998E-2</v>
      </c>
      <c r="R193" s="36">
        <v>6.2199999999999998E-2</v>
      </c>
      <c r="S193" s="36">
        <v>0</v>
      </c>
      <c r="T193" s="36">
        <v>2.2000000000000001E-3</v>
      </c>
      <c r="U193" s="87">
        <v>15</v>
      </c>
      <c r="V193" s="366">
        <v>14.9</v>
      </c>
      <c r="W193" s="36">
        <v>3.41</v>
      </c>
      <c r="X193" s="36">
        <v>11.5</v>
      </c>
      <c r="Y193" s="36">
        <v>5.5800000000000002E-2</v>
      </c>
      <c r="Z193" s="73">
        <v>1.0900000000000001</v>
      </c>
      <c r="AA193" s="79">
        <v>0.90600000000000003</v>
      </c>
      <c r="AB193" s="74">
        <v>0.187</v>
      </c>
      <c r="AC193" s="367">
        <v>0</v>
      </c>
      <c r="AD193" s="110" t="s">
        <v>2007</v>
      </c>
      <c r="AE193" s="30" t="s">
        <v>2004</v>
      </c>
      <c r="AF193" s="398">
        <v>2.9</v>
      </c>
      <c r="AG193" s="390">
        <v>0.55700000000000005</v>
      </c>
      <c r="AH193" s="399">
        <v>2.35</v>
      </c>
      <c r="AI193" s="330">
        <f t="shared" si="2"/>
        <v>-1.6605504587155961</v>
      </c>
    </row>
    <row r="194" spans="1:35" s="364" customFormat="1" ht="14.25" customHeight="1">
      <c r="A194" s="387" t="s">
        <v>2008</v>
      </c>
      <c r="B194" s="235" t="s">
        <v>2009</v>
      </c>
      <c r="C194" s="45" t="s">
        <v>2010</v>
      </c>
      <c r="D194" s="89" t="s">
        <v>2001</v>
      </c>
      <c r="E194" s="30" t="s">
        <v>2002</v>
      </c>
      <c r="F194" s="72">
        <v>1500</v>
      </c>
      <c r="G194" s="47" t="s">
        <v>294</v>
      </c>
      <c r="H194" s="33">
        <v>6870</v>
      </c>
      <c r="I194" s="86">
        <v>6630</v>
      </c>
      <c r="J194" s="34">
        <v>236</v>
      </c>
      <c r="K194" s="87">
        <v>24.7</v>
      </c>
      <c r="L194" s="366">
        <v>24.6</v>
      </c>
      <c r="M194" s="39">
        <v>16.5</v>
      </c>
      <c r="N194" s="39">
        <v>8.14</v>
      </c>
      <c r="O194" s="36">
        <v>5.8000000000000003E-2</v>
      </c>
      <c r="P194" s="87">
        <v>0.28699999999999998</v>
      </c>
      <c r="Q194" s="366">
        <v>0.28499999999999998</v>
      </c>
      <c r="R194" s="36">
        <v>0.28499999999999998</v>
      </c>
      <c r="S194" s="36">
        <v>0</v>
      </c>
      <c r="T194" s="36">
        <v>2.2000000000000001E-3</v>
      </c>
      <c r="U194" s="87">
        <v>24.4</v>
      </c>
      <c r="V194" s="366">
        <v>24.4</v>
      </c>
      <c r="W194" s="36">
        <v>16.2</v>
      </c>
      <c r="X194" s="36">
        <v>8.14</v>
      </c>
      <c r="Y194" s="36">
        <v>5.5800000000000002E-2</v>
      </c>
      <c r="Z194" s="73">
        <v>2.42</v>
      </c>
      <c r="AA194" s="78">
        <v>2.23</v>
      </c>
      <c r="AB194" s="74">
        <v>0.187</v>
      </c>
      <c r="AC194" s="367">
        <v>0</v>
      </c>
      <c r="AD194" s="110" t="s">
        <v>2011</v>
      </c>
      <c r="AE194" s="30" t="s">
        <v>2004</v>
      </c>
      <c r="AF194" s="398">
        <v>4.83</v>
      </c>
      <c r="AG194" s="399">
        <v>1.68</v>
      </c>
      <c r="AH194" s="399">
        <v>3.14</v>
      </c>
      <c r="AI194" s="330">
        <f t="shared" si="2"/>
        <v>-0.99586776859504145</v>
      </c>
    </row>
    <row r="195" spans="1:35" s="364" customFormat="1" ht="14.25" customHeight="1">
      <c r="A195" s="387" t="s">
        <v>2012</v>
      </c>
      <c r="B195" s="235" t="s">
        <v>2013</v>
      </c>
      <c r="C195" s="45" t="s">
        <v>2014</v>
      </c>
      <c r="D195" s="89" t="s">
        <v>2001</v>
      </c>
      <c r="E195" s="30" t="s">
        <v>2002</v>
      </c>
      <c r="F195" s="72">
        <v>1600</v>
      </c>
      <c r="G195" s="47" t="s">
        <v>294</v>
      </c>
      <c r="H195" s="33">
        <v>2890</v>
      </c>
      <c r="I195" s="86">
        <v>2660</v>
      </c>
      <c r="J195" s="34">
        <v>236</v>
      </c>
      <c r="K195" s="87">
        <v>8.2200000000000006</v>
      </c>
      <c r="L195" s="366">
        <v>8.16</v>
      </c>
      <c r="M195" s="39">
        <v>6.91</v>
      </c>
      <c r="N195" s="39">
        <v>1.24</v>
      </c>
      <c r="O195" s="36">
        <v>5.8000000000000003E-2</v>
      </c>
      <c r="P195" s="87">
        <v>0.41299999999999998</v>
      </c>
      <c r="Q195" s="366">
        <v>0.41</v>
      </c>
      <c r="R195" s="36">
        <v>0.41</v>
      </c>
      <c r="S195" s="36">
        <v>0</v>
      </c>
      <c r="T195" s="36">
        <v>2.2000000000000001E-3</v>
      </c>
      <c r="U195" s="87">
        <v>7.8</v>
      </c>
      <c r="V195" s="366">
        <v>7.75</v>
      </c>
      <c r="W195" s="36">
        <v>6.5</v>
      </c>
      <c r="X195" s="36">
        <v>1.24</v>
      </c>
      <c r="Y195" s="36">
        <v>5.5800000000000002E-2</v>
      </c>
      <c r="Z195" s="73">
        <v>1.72</v>
      </c>
      <c r="AA195" s="78">
        <v>1.53</v>
      </c>
      <c r="AB195" s="74">
        <v>0.187</v>
      </c>
      <c r="AC195" s="367">
        <v>0</v>
      </c>
      <c r="AD195" s="110" t="s">
        <v>2015</v>
      </c>
      <c r="AE195" s="30" t="s">
        <v>2004</v>
      </c>
      <c r="AF195" s="398">
        <v>3.98</v>
      </c>
      <c r="AG195" s="399">
        <v>0.83499999999999996</v>
      </c>
      <c r="AH195" s="399">
        <v>3.14</v>
      </c>
      <c r="AI195" s="330">
        <f t="shared" si="2"/>
        <v>-1.3139534883720929</v>
      </c>
    </row>
    <row r="196" spans="1:35" s="364" customFormat="1" ht="14.25" customHeight="1">
      <c r="A196" s="387" t="s">
        <v>2016</v>
      </c>
      <c r="B196" s="235" t="s">
        <v>2017</v>
      </c>
      <c r="C196" s="45" t="s">
        <v>2018</v>
      </c>
      <c r="D196" s="89" t="s">
        <v>2001</v>
      </c>
      <c r="E196" s="30" t="s">
        <v>2002</v>
      </c>
      <c r="F196" s="72">
        <v>1000</v>
      </c>
      <c r="G196" s="47" t="s">
        <v>294</v>
      </c>
      <c r="H196" s="33">
        <v>4570</v>
      </c>
      <c r="I196" s="86">
        <v>4340</v>
      </c>
      <c r="J196" s="34">
        <v>236</v>
      </c>
      <c r="K196" s="87">
        <v>16.3</v>
      </c>
      <c r="L196" s="366">
        <v>16.3</v>
      </c>
      <c r="M196" s="39">
        <v>8.1199999999999992</v>
      </c>
      <c r="N196" s="39">
        <v>8.14</v>
      </c>
      <c r="O196" s="36">
        <v>5.8000000000000003E-2</v>
      </c>
      <c r="P196" s="87">
        <v>1.86</v>
      </c>
      <c r="Q196" s="366">
        <v>1.86</v>
      </c>
      <c r="R196" s="36">
        <v>1.86</v>
      </c>
      <c r="S196" s="36">
        <v>0</v>
      </c>
      <c r="T196" s="36">
        <v>2.2000000000000001E-3</v>
      </c>
      <c r="U196" s="87">
        <v>14.5</v>
      </c>
      <c r="V196" s="366">
        <v>14.4</v>
      </c>
      <c r="W196" s="36">
        <v>6.26</v>
      </c>
      <c r="X196" s="36">
        <v>8.14</v>
      </c>
      <c r="Y196" s="36">
        <v>5.5800000000000002E-2</v>
      </c>
      <c r="Z196" s="73">
        <v>2.91</v>
      </c>
      <c r="AA196" s="78">
        <v>2.72</v>
      </c>
      <c r="AB196" s="74">
        <v>0.187</v>
      </c>
      <c r="AC196" s="367">
        <v>0</v>
      </c>
      <c r="AD196" s="110" t="s">
        <v>2019</v>
      </c>
      <c r="AE196" s="30" t="s">
        <v>2004</v>
      </c>
      <c r="AF196" s="398">
        <v>5.47</v>
      </c>
      <c r="AG196" s="399">
        <v>2.33</v>
      </c>
      <c r="AH196" s="399">
        <v>3.14</v>
      </c>
      <c r="AI196" s="330">
        <f t="shared" si="2"/>
        <v>-0.87972508591065279</v>
      </c>
    </row>
    <row r="197" spans="1:35" s="364" customFormat="1" ht="14.25" customHeight="1">
      <c r="A197" s="357" t="s">
        <v>2020</v>
      </c>
      <c r="B197" s="807"/>
      <c r="C197" s="41" t="s">
        <v>2021</v>
      </c>
      <c r="D197" s="40"/>
      <c r="E197" s="41"/>
      <c r="F197" s="42" t="s">
        <v>2022</v>
      </c>
      <c r="G197" s="43"/>
      <c r="H197" s="392"/>
      <c r="I197" s="358"/>
      <c r="J197" s="392"/>
      <c r="K197" s="393"/>
      <c r="L197" s="423"/>
      <c r="M197" s="373"/>
      <c r="N197" s="373"/>
      <c r="O197" s="424"/>
      <c r="P197" s="424"/>
      <c r="Q197" s="423"/>
      <c r="R197" s="373"/>
      <c r="S197" s="373"/>
      <c r="T197" s="452"/>
      <c r="U197" s="452"/>
      <c r="V197" s="426"/>
      <c r="W197" s="373"/>
      <c r="X197" s="373"/>
      <c r="Y197" s="452"/>
      <c r="Z197" s="452"/>
      <c r="AA197" s="453"/>
      <c r="AB197" s="454"/>
      <c r="AC197" s="454"/>
      <c r="AD197" s="363" t="s">
        <v>2023</v>
      </c>
      <c r="AE197" s="41"/>
      <c r="AI197" s="330" t="e">
        <f t="shared" si="2"/>
        <v>#DIV/0!</v>
      </c>
    </row>
    <row r="198" spans="1:35" s="364" customFormat="1" ht="14.25" customHeight="1">
      <c r="A198" s="387" t="s">
        <v>868</v>
      </c>
      <c r="B198" s="235" t="s">
        <v>2024</v>
      </c>
      <c r="C198" s="45" t="s">
        <v>2025</v>
      </c>
      <c r="D198" s="89" t="s">
        <v>2026</v>
      </c>
      <c r="E198" s="30" t="s">
        <v>2027</v>
      </c>
      <c r="F198" s="72">
        <v>1100</v>
      </c>
      <c r="G198" s="47" t="s">
        <v>294</v>
      </c>
      <c r="H198" s="33">
        <v>5220</v>
      </c>
      <c r="I198" s="86">
        <v>2790</v>
      </c>
      <c r="J198" s="34">
        <v>2430</v>
      </c>
      <c r="K198" s="87">
        <v>14.1</v>
      </c>
      <c r="L198" s="366">
        <v>13.8</v>
      </c>
      <c r="M198" s="39">
        <v>6.28</v>
      </c>
      <c r="N198" s="39">
        <v>7.57</v>
      </c>
      <c r="O198" s="36">
        <v>0.28100000000000003</v>
      </c>
      <c r="P198" s="87">
        <v>0.66</v>
      </c>
      <c r="Q198" s="366">
        <v>0.64500000000000002</v>
      </c>
      <c r="R198" s="36">
        <v>0.64500000000000002</v>
      </c>
      <c r="S198" s="36">
        <v>0</v>
      </c>
      <c r="T198" s="36">
        <v>1.44E-2</v>
      </c>
      <c r="U198" s="87">
        <v>13.5</v>
      </c>
      <c r="V198" s="366">
        <v>13.2</v>
      </c>
      <c r="W198" s="36">
        <v>5.63</v>
      </c>
      <c r="X198" s="36">
        <v>7.57</v>
      </c>
      <c r="Y198" s="36">
        <v>0.26600000000000001</v>
      </c>
      <c r="Z198" s="73">
        <v>3.64</v>
      </c>
      <c r="AA198" s="78">
        <v>1.31</v>
      </c>
      <c r="AB198" s="74">
        <v>2.33</v>
      </c>
      <c r="AC198" s="367">
        <v>0</v>
      </c>
      <c r="AD198" s="110" t="s">
        <v>2028</v>
      </c>
      <c r="AE198" s="30" t="s">
        <v>2029</v>
      </c>
      <c r="AF198" s="398">
        <v>2.96</v>
      </c>
      <c r="AG198" s="399">
        <v>0.61099999999999999</v>
      </c>
      <c r="AH198" s="399">
        <v>2.35</v>
      </c>
      <c r="AI198" s="330">
        <f t="shared" si="2"/>
        <v>0.18681318681318684</v>
      </c>
    </row>
    <row r="199" spans="1:35" s="364" customFormat="1" ht="14.25" customHeight="1">
      <c r="A199" s="387" t="s">
        <v>2030</v>
      </c>
      <c r="B199" s="235" t="s">
        <v>2031</v>
      </c>
      <c r="C199" s="45" t="s">
        <v>2032</v>
      </c>
      <c r="D199" s="44" t="s">
        <v>2033</v>
      </c>
      <c r="E199" s="30" t="s">
        <v>2034</v>
      </c>
      <c r="F199" s="72">
        <v>920</v>
      </c>
      <c r="G199" s="47" t="s">
        <v>294</v>
      </c>
      <c r="H199" s="33">
        <v>6930</v>
      </c>
      <c r="I199" s="86">
        <v>4120</v>
      </c>
      <c r="J199" s="34">
        <v>2810</v>
      </c>
      <c r="K199" s="87">
        <v>25.7</v>
      </c>
      <c r="L199" s="366">
        <v>25.4</v>
      </c>
      <c r="M199" s="39">
        <v>14.2</v>
      </c>
      <c r="N199" s="39">
        <v>11.2</v>
      </c>
      <c r="O199" s="36">
        <v>0.22</v>
      </c>
      <c r="P199" s="87">
        <v>0.85499999999999998</v>
      </c>
      <c r="Q199" s="366">
        <v>0.84399999999999997</v>
      </c>
      <c r="R199" s="36">
        <v>0.84399999999999997</v>
      </c>
      <c r="S199" s="36">
        <v>0</v>
      </c>
      <c r="T199" s="36">
        <v>1.0800000000000001E-2</v>
      </c>
      <c r="U199" s="87">
        <v>24.8</v>
      </c>
      <c r="V199" s="366">
        <v>24.6</v>
      </c>
      <c r="W199" s="36">
        <v>13.4</v>
      </c>
      <c r="X199" s="36">
        <v>11.2</v>
      </c>
      <c r="Y199" s="36">
        <v>0.20899999999999999</v>
      </c>
      <c r="Z199" s="73">
        <v>5.42</v>
      </c>
      <c r="AA199" s="78">
        <v>2.75</v>
      </c>
      <c r="AB199" s="74">
        <v>2.67</v>
      </c>
      <c r="AC199" s="367">
        <v>0</v>
      </c>
      <c r="AD199" s="110" t="s">
        <v>2035</v>
      </c>
      <c r="AE199" s="30" t="s">
        <v>2036</v>
      </c>
      <c r="AF199" s="398">
        <v>4.9800000000000004</v>
      </c>
      <c r="AG199" s="399">
        <v>2.42</v>
      </c>
      <c r="AH199" s="399">
        <v>2.57</v>
      </c>
      <c r="AI199" s="330">
        <f t="shared" si="2"/>
        <v>8.1180811808117995E-2</v>
      </c>
    </row>
    <row r="200" spans="1:35" s="364" customFormat="1" ht="14.25" customHeight="1">
      <c r="A200" s="387" t="s">
        <v>870</v>
      </c>
      <c r="B200" s="235" t="s">
        <v>2037</v>
      </c>
      <c r="C200" s="45" t="s">
        <v>2038</v>
      </c>
      <c r="D200" s="89" t="s">
        <v>2026</v>
      </c>
      <c r="E200" s="30" t="s">
        <v>2027</v>
      </c>
      <c r="F200" s="72">
        <v>1100</v>
      </c>
      <c r="G200" s="47" t="s">
        <v>294</v>
      </c>
      <c r="H200" s="33">
        <v>4350</v>
      </c>
      <c r="I200" s="86">
        <v>1920</v>
      </c>
      <c r="J200" s="34">
        <v>2430</v>
      </c>
      <c r="K200" s="87">
        <v>12.6</v>
      </c>
      <c r="L200" s="366">
        <v>12.3</v>
      </c>
      <c r="M200" s="39">
        <v>4.91</v>
      </c>
      <c r="N200" s="39">
        <v>7.37</v>
      </c>
      <c r="O200" s="36">
        <v>0.28100000000000003</v>
      </c>
      <c r="P200" s="87">
        <v>0.27</v>
      </c>
      <c r="Q200" s="366">
        <v>0.255</v>
      </c>
      <c r="R200" s="36">
        <v>0.255</v>
      </c>
      <c r="S200" s="36">
        <v>0</v>
      </c>
      <c r="T200" s="36">
        <v>1.44E-2</v>
      </c>
      <c r="U200" s="87">
        <v>12.3</v>
      </c>
      <c r="V200" s="366">
        <v>12</v>
      </c>
      <c r="W200" s="36">
        <v>4.66</v>
      </c>
      <c r="X200" s="36">
        <v>7.37</v>
      </c>
      <c r="Y200" s="36">
        <v>0.26600000000000001</v>
      </c>
      <c r="Z200" s="73">
        <v>3.33</v>
      </c>
      <c r="AA200" s="79">
        <v>1</v>
      </c>
      <c r="AB200" s="74">
        <v>2.33</v>
      </c>
      <c r="AC200" s="367">
        <v>0</v>
      </c>
      <c r="AD200" s="110" t="s">
        <v>2039</v>
      </c>
      <c r="AE200" s="30" t="s">
        <v>2029</v>
      </c>
      <c r="AF200" s="398">
        <v>2.91</v>
      </c>
      <c r="AG200" s="390">
        <v>0.55900000000000005</v>
      </c>
      <c r="AH200" s="399">
        <v>2.35</v>
      </c>
      <c r="AI200" s="330">
        <f t="shared" si="2"/>
        <v>0.12612612612612611</v>
      </c>
    </row>
    <row r="201" spans="1:35" s="389" customFormat="1" ht="14.25" customHeight="1" outlineLevel="1">
      <c r="A201" s="434" t="s">
        <v>2040</v>
      </c>
      <c r="B201" s="61" t="s">
        <v>2041</v>
      </c>
      <c r="C201" s="61" t="s">
        <v>2042</v>
      </c>
      <c r="D201" s="62" t="s">
        <v>2026</v>
      </c>
      <c r="E201" s="61" t="s">
        <v>2027</v>
      </c>
      <c r="F201" s="63">
        <v>1267</v>
      </c>
      <c r="G201" s="64" t="s">
        <v>294</v>
      </c>
      <c r="H201" s="65">
        <v>3510</v>
      </c>
      <c r="I201" s="66">
        <v>1080</v>
      </c>
      <c r="J201" s="66">
        <v>2430</v>
      </c>
      <c r="K201" s="67">
        <v>6.35</v>
      </c>
      <c r="L201" s="108">
        <v>6.07</v>
      </c>
      <c r="M201" s="108">
        <v>2.62</v>
      </c>
      <c r="N201" s="108">
        <v>3.45</v>
      </c>
      <c r="O201" s="108">
        <v>0.28100000000000003</v>
      </c>
      <c r="P201" s="67">
        <v>0.223</v>
      </c>
      <c r="Q201" s="108">
        <v>0.20899999999999999</v>
      </c>
      <c r="R201" s="108">
        <v>0.16900000000000001</v>
      </c>
      <c r="S201" s="108">
        <v>3.9699999999999999E-2</v>
      </c>
      <c r="T201" s="108">
        <v>1.44E-2</v>
      </c>
      <c r="U201" s="67">
        <v>6.13</v>
      </c>
      <c r="V201" s="108">
        <v>5.86</v>
      </c>
      <c r="W201" s="108">
        <v>2.4500000000000002</v>
      </c>
      <c r="X201" s="108">
        <v>3.41</v>
      </c>
      <c r="Y201" s="108">
        <v>0.26600000000000001</v>
      </c>
      <c r="Z201" s="70">
        <v>2.92</v>
      </c>
      <c r="AA201" s="69">
        <v>0.58799999999999997</v>
      </c>
      <c r="AB201" s="71">
        <v>2.33</v>
      </c>
      <c r="AC201" s="385">
        <v>0</v>
      </c>
      <c r="AD201" s="418" t="s">
        <v>2043</v>
      </c>
      <c r="AE201" s="61" t="s">
        <v>2029</v>
      </c>
      <c r="AI201" s="330">
        <f t="shared" si="2"/>
        <v>1</v>
      </c>
    </row>
    <row r="202" spans="1:35" s="389" customFormat="1" ht="14.25" customHeight="1" outlineLevel="1">
      <c r="A202" s="434" t="s">
        <v>721</v>
      </c>
      <c r="B202" s="61" t="s">
        <v>2044</v>
      </c>
      <c r="C202" s="61" t="s">
        <v>2045</v>
      </c>
      <c r="D202" s="62" t="s">
        <v>2026</v>
      </c>
      <c r="E202" s="61" t="s">
        <v>2027</v>
      </c>
      <c r="F202" s="63">
        <v>1269</v>
      </c>
      <c r="G202" s="64" t="s">
        <v>294</v>
      </c>
      <c r="H202" s="65">
        <v>4060</v>
      </c>
      <c r="I202" s="66">
        <v>1630</v>
      </c>
      <c r="J202" s="66">
        <v>2430</v>
      </c>
      <c r="K202" s="67">
        <v>10.5</v>
      </c>
      <c r="L202" s="108">
        <v>10.3</v>
      </c>
      <c r="M202" s="108">
        <v>3.93</v>
      </c>
      <c r="N202" s="108">
        <v>6.32</v>
      </c>
      <c r="O202" s="108">
        <v>0.28100000000000003</v>
      </c>
      <c r="P202" s="67">
        <v>0.24199999999999999</v>
      </c>
      <c r="Q202" s="108">
        <v>0.22700000000000001</v>
      </c>
      <c r="R202" s="108">
        <v>0.183</v>
      </c>
      <c r="S202" s="108">
        <v>4.3900000000000002E-2</v>
      </c>
      <c r="T202" s="108">
        <v>1.44E-2</v>
      </c>
      <c r="U202" s="67">
        <v>10.3</v>
      </c>
      <c r="V202" s="108">
        <v>10</v>
      </c>
      <c r="W202" s="108">
        <v>3.75</v>
      </c>
      <c r="X202" s="108">
        <v>6.28</v>
      </c>
      <c r="Y202" s="108">
        <v>0.26600000000000001</v>
      </c>
      <c r="Z202" s="70">
        <v>3.24</v>
      </c>
      <c r="AA202" s="69">
        <v>0.90700000000000003</v>
      </c>
      <c r="AB202" s="71">
        <v>2.33</v>
      </c>
      <c r="AC202" s="385">
        <v>0</v>
      </c>
      <c r="AD202" s="418" t="s">
        <v>2046</v>
      </c>
      <c r="AE202" s="61" t="s">
        <v>2029</v>
      </c>
      <c r="AI202" s="330">
        <f t="shared" si="2"/>
        <v>1</v>
      </c>
    </row>
    <row r="203" spans="1:35" s="389" customFormat="1" ht="14.25" customHeight="1" outlineLevel="1">
      <c r="A203" s="434" t="s">
        <v>2047</v>
      </c>
      <c r="B203" s="61" t="s">
        <v>2048</v>
      </c>
      <c r="C203" s="61" t="s">
        <v>2049</v>
      </c>
      <c r="D203" s="62" t="s">
        <v>2026</v>
      </c>
      <c r="E203" s="61" t="s">
        <v>2027</v>
      </c>
      <c r="F203" s="63">
        <v>1256</v>
      </c>
      <c r="G203" s="64" t="s">
        <v>294</v>
      </c>
      <c r="H203" s="65">
        <v>3420</v>
      </c>
      <c r="I203" s="66">
        <v>983</v>
      </c>
      <c r="J203" s="66">
        <v>2430</v>
      </c>
      <c r="K203" s="67">
        <v>5.76</v>
      </c>
      <c r="L203" s="108">
        <v>5.47</v>
      </c>
      <c r="M203" s="108">
        <v>2.52</v>
      </c>
      <c r="N203" s="108">
        <v>2.95</v>
      </c>
      <c r="O203" s="108">
        <v>0.28100000000000003</v>
      </c>
      <c r="P203" s="67">
        <v>0.22</v>
      </c>
      <c r="Q203" s="108">
        <v>0.20599999999999999</v>
      </c>
      <c r="R203" s="108">
        <v>0.157</v>
      </c>
      <c r="S203" s="108">
        <v>4.8800000000000003E-2</v>
      </c>
      <c r="T203" s="108">
        <v>1.44E-2</v>
      </c>
      <c r="U203" s="67">
        <v>5.54</v>
      </c>
      <c r="V203" s="108">
        <v>5.27</v>
      </c>
      <c r="W203" s="108">
        <v>2.37</v>
      </c>
      <c r="X203" s="108">
        <v>2.9</v>
      </c>
      <c r="Y203" s="108">
        <v>0.26600000000000001</v>
      </c>
      <c r="Z203" s="70">
        <v>2.88</v>
      </c>
      <c r="AA203" s="69">
        <v>0.55000000000000004</v>
      </c>
      <c r="AB203" s="71">
        <v>2.33</v>
      </c>
      <c r="AC203" s="385">
        <v>0</v>
      </c>
      <c r="AD203" s="418" t="s">
        <v>2050</v>
      </c>
      <c r="AE203" s="61" t="s">
        <v>2029</v>
      </c>
      <c r="AI203" s="330">
        <f t="shared" ref="AI203:AI239" si="3">(Z203-AF203)/Z203</f>
        <v>1</v>
      </c>
    </row>
    <row r="204" spans="1:35" s="389" customFormat="1" ht="14.25" customHeight="1" outlineLevel="1">
      <c r="A204" s="434" t="s">
        <v>723</v>
      </c>
      <c r="B204" s="61" t="s">
        <v>2051</v>
      </c>
      <c r="C204" s="61" t="s">
        <v>2045</v>
      </c>
      <c r="D204" s="62" t="s">
        <v>2026</v>
      </c>
      <c r="E204" s="61" t="s">
        <v>2027</v>
      </c>
      <c r="F204" s="63">
        <v>1269</v>
      </c>
      <c r="G204" s="64" t="s">
        <v>294</v>
      </c>
      <c r="H204" s="65">
        <v>4060</v>
      </c>
      <c r="I204" s="66">
        <v>1630</v>
      </c>
      <c r="J204" s="66">
        <v>2430</v>
      </c>
      <c r="K204" s="67">
        <v>10.5</v>
      </c>
      <c r="L204" s="108">
        <v>10.3</v>
      </c>
      <c r="M204" s="108">
        <v>3.93</v>
      </c>
      <c r="N204" s="108">
        <v>6.32</v>
      </c>
      <c r="O204" s="108">
        <v>0.28100000000000003</v>
      </c>
      <c r="P204" s="67">
        <v>0.24199999999999999</v>
      </c>
      <c r="Q204" s="108">
        <v>0.22700000000000001</v>
      </c>
      <c r="R204" s="108">
        <v>0.183</v>
      </c>
      <c r="S204" s="108">
        <v>4.3900000000000002E-2</v>
      </c>
      <c r="T204" s="108">
        <v>1.44E-2</v>
      </c>
      <c r="U204" s="67">
        <v>10.3</v>
      </c>
      <c r="V204" s="108">
        <v>10</v>
      </c>
      <c r="W204" s="108">
        <v>3.75</v>
      </c>
      <c r="X204" s="108">
        <v>6.28</v>
      </c>
      <c r="Y204" s="108">
        <v>0.26600000000000001</v>
      </c>
      <c r="Z204" s="70">
        <v>3.24</v>
      </c>
      <c r="AA204" s="69">
        <v>0.90700000000000003</v>
      </c>
      <c r="AB204" s="71">
        <v>2.33</v>
      </c>
      <c r="AC204" s="385">
        <v>0</v>
      </c>
      <c r="AD204" s="418" t="s">
        <v>2046</v>
      </c>
      <c r="AE204" s="61" t="s">
        <v>2029</v>
      </c>
      <c r="AI204" s="330">
        <f t="shared" si="3"/>
        <v>1</v>
      </c>
    </row>
    <row r="205" spans="1:35" s="389" customFormat="1" ht="14.25" customHeight="1" outlineLevel="1">
      <c r="A205" s="434" t="s">
        <v>2052</v>
      </c>
      <c r="B205" s="61" t="s">
        <v>2053</v>
      </c>
      <c r="C205" s="61" t="s">
        <v>2049</v>
      </c>
      <c r="D205" s="62" t="s">
        <v>2026</v>
      </c>
      <c r="E205" s="61" t="s">
        <v>2027</v>
      </c>
      <c r="F205" s="63">
        <v>1256</v>
      </c>
      <c r="G205" s="64" t="s">
        <v>294</v>
      </c>
      <c r="H205" s="65">
        <v>3420</v>
      </c>
      <c r="I205" s="66">
        <v>983</v>
      </c>
      <c r="J205" s="66">
        <v>2430</v>
      </c>
      <c r="K205" s="67">
        <v>5.76</v>
      </c>
      <c r="L205" s="108">
        <v>5.47</v>
      </c>
      <c r="M205" s="108">
        <v>2.52</v>
      </c>
      <c r="N205" s="108">
        <v>2.95</v>
      </c>
      <c r="O205" s="108">
        <v>0.28100000000000003</v>
      </c>
      <c r="P205" s="67">
        <v>0.22</v>
      </c>
      <c r="Q205" s="108">
        <v>0.20599999999999999</v>
      </c>
      <c r="R205" s="108">
        <v>0.157</v>
      </c>
      <c r="S205" s="108">
        <v>4.8800000000000003E-2</v>
      </c>
      <c r="T205" s="108">
        <v>1.44E-2</v>
      </c>
      <c r="U205" s="67">
        <v>5.54</v>
      </c>
      <c r="V205" s="108">
        <v>5.27</v>
      </c>
      <c r="W205" s="108">
        <v>2.37</v>
      </c>
      <c r="X205" s="108">
        <v>2.9</v>
      </c>
      <c r="Y205" s="108">
        <v>0.26600000000000001</v>
      </c>
      <c r="Z205" s="70">
        <v>2.88</v>
      </c>
      <c r="AA205" s="69">
        <v>0.55000000000000004</v>
      </c>
      <c r="AB205" s="71">
        <v>2.33</v>
      </c>
      <c r="AC205" s="385">
        <v>0</v>
      </c>
      <c r="AD205" s="418" t="s">
        <v>2050</v>
      </c>
      <c r="AE205" s="61" t="s">
        <v>2029</v>
      </c>
      <c r="AI205" s="330">
        <f t="shared" si="3"/>
        <v>1</v>
      </c>
    </row>
    <row r="206" spans="1:35" s="389" customFormat="1" ht="14.25" customHeight="1" outlineLevel="1">
      <c r="A206" s="434" t="s">
        <v>2054</v>
      </c>
      <c r="B206" s="61" t="s">
        <v>2055</v>
      </c>
      <c r="C206" s="61" t="s">
        <v>2045</v>
      </c>
      <c r="D206" s="62" t="s">
        <v>2026</v>
      </c>
      <c r="E206" s="61" t="s">
        <v>2027</v>
      </c>
      <c r="F206" s="63">
        <v>1269</v>
      </c>
      <c r="G206" s="64" t="s">
        <v>294</v>
      </c>
      <c r="H206" s="65">
        <v>4060</v>
      </c>
      <c r="I206" s="66">
        <v>1630</v>
      </c>
      <c r="J206" s="66">
        <v>2430</v>
      </c>
      <c r="K206" s="67">
        <v>10.5</v>
      </c>
      <c r="L206" s="108">
        <v>10.3</v>
      </c>
      <c r="M206" s="108">
        <v>3.93</v>
      </c>
      <c r="N206" s="108">
        <v>6.32</v>
      </c>
      <c r="O206" s="108">
        <v>0.28100000000000003</v>
      </c>
      <c r="P206" s="67">
        <v>0.24199999999999999</v>
      </c>
      <c r="Q206" s="108">
        <v>0.22700000000000001</v>
      </c>
      <c r="R206" s="108">
        <v>0.183</v>
      </c>
      <c r="S206" s="108">
        <v>4.3900000000000002E-2</v>
      </c>
      <c r="T206" s="108">
        <v>1.44E-2</v>
      </c>
      <c r="U206" s="67">
        <v>10.3</v>
      </c>
      <c r="V206" s="108">
        <v>10</v>
      </c>
      <c r="W206" s="108">
        <v>3.75</v>
      </c>
      <c r="X206" s="108">
        <v>6.28</v>
      </c>
      <c r="Y206" s="108">
        <v>0.26600000000000001</v>
      </c>
      <c r="Z206" s="70">
        <v>3.24</v>
      </c>
      <c r="AA206" s="69">
        <v>0.90700000000000003</v>
      </c>
      <c r="AB206" s="71">
        <v>2.33</v>
      </c>
      <c r="AC206" s="385">
        <v>0</v>
      </c>
      <c r="AD206" s="418" t="s">
        <v>2046</v>
      </c>
      <c r="AE206" s="61" t="s">
        <v>2029</v>
      </c>
      <c r="AI206" s="330">
        <f t="shared" si="3"/>
        <v>1</v>
      </c>
    </row>
    <row r="207" spans="1:35" s="389" customFormat="1" ht="14.25" customHeight="1" outlineLevel="1">
      <c r="A207" s="434" t="s">
        <v>2056</v>
      </c>
      <c r="B207" s="61" t="s">
        <v>2057</v>
      </c>
      <c r="C207" s="61" t="s">
        <v>2049</v>
      </c>
      <c r="D207" s="62" t="s">
        <v>2026</v>
      </c>
      <c r="E207" s="61" t="s">
        <v>2027</v>
      </c>
      <c r="F207" s="63">
        <v>1256</v>
      </c>
      <c r="G207" s="64" t="s">
        <v>294</v>
      </c>
      <c r="H207" s="65">
        <v>3420</v>
      </c>
      <c r="I207" s="66">
        <v>983</v>
      </c>
      <c r="J207" s="66">
        <v>2430</v>
      </c>
      <c r="K207" s="67">
        <v>5.76</v>
      </c>
      <c r="L207" s="108">
        <v>5.47</v>
      </c>
      <c r="M207" s="108">
        <v>2.52</v>
      </c>
      <c r="N207" s="108">
        <v>2.95</v>
      </c>
      <c r="O207" s="108">
        <v>0.28100000000000003</v>
      </c>
      <c r="P207" s="67">
        <v>0.22</v>
      </c>
      <c r="Q207" s="108">
        <v>0.20599999999999999</v>
      </c>
      <c r="R207" s="108">
        <v>0.157</v>
      </c>
      <c r="S207" s="108">
        <v>4.8800000000000003E-2</v>
      </c>
      <c r="T207" s="108">
        <v>1.44E-2</v>
      </c>
      <c r="U207" s="67">
        <v>5.54</v>
      </c>
      <c r="V207" s="108">
        <v>5.27</v>
      </c>
      <c r="W207" s="108">
        <v>2.37</v>
      </c>
      <c r="X207" s="108">
        <v>2.9</v>
      </c>
      <c r="Y207" s="108">
        <v>0.26600000000000001</v>
      </c>
      <c r="Z207" s="70">
        <v>2.88</v>
      </c>
      <c r="AA207" s="69">
        <v>0.55000000000000004</v>
      </c>
      <c r="AB207" s="71">
        <v>2.33</v>
      </c>
      <c r="AC207" s="385">
        <v>0</v>
      </c>
      <c r="AD207" s="418" t="s">
        <v>2050</v>
      </c>
      <c r="AE207" s="61" t="s">
        <v>2029</v>
      </c>
      <c r="AI207" s="330">
        <f t="shared" si="3"/>
        <v>1</v>
      </c>
    </row>
    <row r="208" spans="1:35" s="389" customFormat="1" ht="14.25" customHeight="1" outlineLevel="1">
      <c r="A208" s="434" t="s">
        <v>713</v>
      </c>
      <c r="B208" s="61" t="s">
        <v>2058</v>
      </c>
      <c r="C208" s="61" t="s">
        <v>2045</v>
      </c>
      <c r="D208" s="62" t="s">
        <v>2026</v>
      </c>
      <c r="E208" s="61" t="s">
        <v>2027</v>
      </c>
      <c r="F208" s="63">
        <v>1269</v>
      </c>
      <c r="G208" s="64" t="s">
        <v>294</v>
      </c>
      <c r="H208" s="65">
        <v>4060</v>
      </c>
      <c r="I208" s="66">
        <v>1630</v>
      </c>
      <c r="J208" s="66">
        <v>2430</v>
      </c>
      <c r="K208" s="67">
        <v>10.5</v>
      </c>
      <c r="L208" s="108">
        <v>10.3</v>
      </c>
      <c r="M208" s="108">
        <v>3.93</v>
      </c>
      <c r="N208" s="108">
        <v>6.32</v>
      </c>
      <c r="O208" s="108">
        <v>0.28100000000000003</v>
      </c>
      <c r="P208" s="67">
        <v>0.24199999999999999</v>
      </c>
      <c r="Q208" s="108">
        <v>0.22700000000000001</v>
      </c>
      <c r="R208" s="108">
        <v>0.183</v>
      </c>
      <c r="S208" s="108">
        <v>4.3900000000000002E-2</v>
      </c>
      <c r="T208" s="108">
        <v>1.44E-2</v>
      </c>
      <c r="U208" s="67">
        <v>10.3</v>
      </c>
      <c r="V208" s="108">
        <v>10</v>
      </c>
      <c r="W208" s="108">
        <v>3.75</v>
      </c>
      <c r="X208" s="108">
        <v>6.28</v>
      </c>
      <c r="Y208" s="108">
        <v>0.26600000000000001</v>
      </c>
      <c r="Z208" s="70">
        <v>3.24</v>
      </c>
      <c r="AA208" s="69">
        <v>0.90700000000000003</v>
      </c>
      <c r="AB208" s="71">
        <v>2.33</v>
      </c>
      <c r="AC208" s="385">
        <v>0</v>
      </c>
      <c r="AD208" s="418" t="s">
        <v>2046</v>
      </c>
      <c r="AE208" s="61" t="s">
        <v>2029</v>
      </c>
      <c r="AI208" s="330">
        <f t="shared" si="3"/>
        <v>1</v>
      </c>
    </row>
    <row r="209" spans="1:35" s="389" customFormat="1" ht="14.25" customHeight="1" outlineLevel="1">
      <c r="A209" s="434" t="s">
        <v>2059</v>
      </c>
      <c r="B209" s="61" t="s">
        <v>2060</v>
      </c>
      <c r="C209" s="61" t="s">
        <v>2049</v>
      </c>
      <c r="D209" s="62" t="s">
        <v>2026</v>
      </c>
      <c r="E209" s="61" t="s">
        <v>2027</v>
      </c>
      <c r="F209" s="63">
        <v>1256</v>
      </c>
      <c r="G209" s="64" t="s">
        <v>294</v>
      </c>
      <c r="H209" s="65">
        <v>3420</v>
      </c>
      <c r="I209" s="66">
        <v>983</v>
      </c>
      <c r="J209" s="66">
        <v>2430</v>
      </c>
      <c r="K209" s="67">
        <v>5.76</v>
      </c>
      <c r="L209" s="108">
        <v>5.47</v>
      </c>
      <c r="M209" s="108">
        <v>2.52</v>
      </c>
      <c r="N209" s="108">
        <v>2.95</v>
      </c>
      <c r="O209" s="108">
        <v>0.28100000000000003</v>
      </c>
      <c r="P209" s="67">
        <v>0.22</v>
      </c>
      <c r="Q209" s="108">
        <v>0.20599999999999999</v>
      </c>
      <c r="R209" s="108">
        <v>0.157</v>
      </c>
      <c r="S209" s="108">
        <v>4.8800000000000003E-2</v>
      </c>
      <c r="T209" s="108">
        <v>1.44E-2</v>
      </c>
      <c r="U209" s="67">
        <v>5.54</v>
      </c>
      <c r="V209" s="108">
        <v>5.27</v>
      </c>
      <c r="W209" s="108">
        <v>2.37</v>
      </c>
      <c r="X209" s="108">
        <v>2.9</v>
      </c>
      <c r="Y209" s="108">
        <v>0.26600000000000001</v>
      </c>
      <c r="Z209" s="70">
        <v>2.88</v>
      </c>
      <c r="AA209" s="69">
        <v>0.55000000000000004</v>
      </c>
      <c r="AB209" s="71">
        <v>2.33</v>
      </c>
      <c r="AC209" s="385">
        <v>0</v>
      </c>
      <c r="AD209" s="418" t="s">
        <v>2050</v>
      </c>
      <c r="AE209" s="61" t="s">
        <v>2029</v>
      </c>
      <c r="AI209" s="330">
        <f t="shared" si="3"/>
        <v>1</v>
      </c>
    </row>
    <row r="210" spans="1:35" s="389" customFormat="1" ht="14.25" customHeight="1" outlineLevel="1">
      <c r="A210" s="434" t="s">
        <v>2061</v>
      </c>
      <c r="B210" s="61" t="s">
        <v>2062</v>
      </c>
      <c r="C210" s="61" t="s">
        <v>2045</v>
      </c>
      <c r="D210" s="62" t="s">
        <v>2026</v>
      </c>
      <c r="E210" s="61" t="s">
        <v>2027</v>
      </c>
      <c r="F210" s="63">
        <v>1269</v>
      </c>
      <c r="G210" s="64" t="s">
        <v>294</v>
      </c>
      <c r="H210" s="65">
        <v>4060</v>
      </c>
      <c r="I210" s="66">
        <v>1630</v>
      </c>
      <c r="J210" s="66">
        <v>2430</v>
      </c>
      <c r="K210" s="67">
        <v>10.5</v>
      </c>
      <c r="L210" s="108">
        <v>10.3</v>
      </c>
      <c r="M210" s="108">
        <v>3.93</v>
      </c>
      <c r="N210" s="108">
        <v>6.32</v>
      </c>
      <c r="O210" s="108">
        <v>0.28100000000000003</v>
      </c>
      <c r="P210" s="67">
        <v>0.24199999999999999</v>
      </c>
      <c r="Q210" s="108">
        <v>0.22700000000000001</v>
      </c>
      <c r="R210" s="108">
        <v>0.183</v>
      </c>
      <c r="S210" s="108">
        <v>4.3900000000000002E-2</v>
      </c>
      <c r="T210" s="108">
        <v>1.44E-2</v>
      </c>
      <c r="U210" s="67">
        <v>10.3</v>
      </c>
      <c r="V210" s="108">
        <v>10</v>
      </c>
      <c r="W210" s="108">
        <v>3.75</v>
      </c>
      <c r="X210" s="108">
        <v>6.28</v>
      </c>
      <c r="Y210" s="108">
        <v>0.26600000000000001</v>
      </c>
      <c r="Z210" s="70">
        <v>3.24</v>
      </c>
      <c r="AA210" s="69">
        <v>0.90700000000000003</v>
      </c>
      <c r="AB210" s="71">
        <v>2.33</v>
      </c>
      <c r="AC210" s="385">
        <v>0</v>
      </c>
      <c r="AD210" s="418" t="s">
        <v>2046</v>
      </c>
      <c r="AE210" s="61" t="s">
        <v>2029</v>
      </c>
      <c r="AI210" s="330">
        <f t="shared" si="3"/>
        <v>1</v>
      </c>
    </row>
    <row r="211" spans="1:35" s="389" customFormat="1" ht="14.25" customHeight="1" outlineLevel="1">
      <c r="A211" s="434" t="s">
        <v>2063</v>
      </c>
      <c r="B211" s="61" t="s">
        <v>2064</v>
      </c>
      <c r="C211" s="61" t="s">
        <v>2049</v>
      </c>
      <c r="D211" s="62" t="s">
        <v>2026</v>
      </c>
      <c r="E211" s="61" t="s">
        <v>2027</v>
      </c>
      <c r="F211" s="63">
        <v>1256</v>
      </c>
      <c r="G211" s="64" t="s">
        <v>294</v>
      </c>
      <c r="H211" s="65">
        <v>3420</v>
      </c>
      <c r="I211" s="66">
        <v>983</v>
      </c>
      <c r="J211" s="66">
        <v>2430</v>
      </c>
      <c r="K211" s="67">
        <v>5.76</v>
      </c>
      <c r="L211" s="108">
        <v>5.47</v>
      </c>
      <c r="M211" s="108">
        <v>2.52</v>
      </c>
      <c r="N211" s="108">
        <v>2.95</v>
      </c>
      <c r="O211" s="108">
        <v>0.28100000000000003</v>
      </c>
      <c r="P211" s="67">
        <v>0.22</v>
      </c>
      <c r="Q211" s="108">
        <v>0.20599999999999999</v>
      </c>
      <c r="R211" s="108">
        <v>0.157</v>
      </c>
      <c r="S211" s="108">
        <v>4.8800000000000003E-2</v>
      </c>
      <c r="T211" s="108">
        <v>1.44E-2</v>
      </c>
      <c r="U211" s="67">
        <v>5.54</v>
      </c>
      <c r="V211" s="108">
        <v>5.27</v>
      </c>
      <c r="W211" s="108">
        <v>2.37</v>
      </c>
      <c r="X211" s="108">
        <v>2.9</v>
      </c>
      <c r="Y211" s="108">
        <v>0.26600000000000001</v>
      </c>
      <c r="Z211" s="70">
        <v>2.88</v>
      </c>
      <c r="AA211" s="69">
        <v>0.55000000000000004</v>
      </c>
      <c r="AB211" s="71">
        <v>2.33</v>
      </c>
      <c r="AC211" s="385">
        <v>0</v>
      </c>
      <c r="AD211" s="418" t="s">
        <v>2050</v>
      </c>
      <c r="AE211" s="61" t="s">
        <v>2029</v>
      </c>
      <c r="AI211" s="330">
        <f t="shared" si="3"/>
        <v>1</v>
      </c>
    </row>
    <row r="212" spans="1:35" s="389" customFormat="1" ht="14.25" customHeight="1" outlineLevel="1">
      <c r="A212" s="434" t="s">
        <v>2065</v>
      </c>
      <c r="B212" s="61" t="s">
        <v>2066</v>
      </c>
      <c r="C212" s="61" t="s">
        <v>2067</v>
      </c>
      <c r="D212" s="62" t="s">
        <v>2026</v>
      </c>
      <c r="E212" s="61" t="s">
        <v>2027</v>
      </c>
      <c r="F212" s="455">
        <v>4.5999999999999996</v>
      </c>
      <c r="G212" s="64" t="s">
        <v>294</v>
      </c>
      <c r="H212" s="65">
        <v>2760</v>
      </c>
      <c r="I212" s="66">
        <v>1320</v>
      </c>
      <c r="J212" s="66">
        <v>1440</v>
      </c>
      <c r="K212" s="67">
        <v>8.49</v>
      </c>
      <c r="L212" s="108">
        <v>8.2799999999999994</v>
      </c>
      <c r="M212" s="108">
        <v>3.77</v>
      </c>
      <c r="N212" s="108">
        <v>4.51</v>
      </c>
      <c r="O212" s="108">
        <v>0.20599999999999999</v>
      </c>
      <c r="P212" s="67">
        <v>0.318</v>
      </c>
      <c r="Q212" s="108">
        <v>0.31</v>
      </c>
      <c r="R212" s="108">
        <v>0.31</v>
      </c>
      <c r="S212" s="108">
        <v>0</v>
      </c>
      <c r="T212" s="108">
        <v>7.7299999999999999E-3</v>
      </c>
      <c r="U212" s="67">
        <v>8.17</v>
      </c>
      <c r="V212" s="108">
        <v>7.97</v>
      </c>
      <c r="W212" s="108">
        <v>3.46</v>
      </c>
      <c r="X212" s="108">
        <v>4.51</v>
      </c>
      <c r="Y212" s="108">
        <v>0.19800000000000001</v>
      </c>
      <c r="Z212" s="70">
        <v>2.06</v>
      </c>
      <c r="AA212" s="69">
        <v>0.71699999999999997</v>
      </c>
      <c r="AB212" s="71">
        <v>1.34</v>
      </c>
      <c r="AC212" s="385">
        <v>0</v>
      </c>
      <c r="AD212" s="418" t="s">
        <v>2068</v>
      </c>
      <c r="AE212" s="61"/>
      <c r="AI212" s="330">
        <f t="shared" si="3"/>
        <v>1</v>
      </c>
    </row>
    <row r="213" spans="1:35" s="389" customFormat="1" ht="14.25" customHeight="1" outlineLevel="1">
      <c r="A213" s="434" t="s">
        <v>2069</v>
      </c>
      <c r="B213" s="61" t="s">
        <v>2070</v>
      </c>
      <c r="C213" s="61" t="s">
        <v>2071</v>
      </c>
      <c r="D213" s="62" t="s">
        <v>2026</v>
      </c>
      <c r="E213" s="61" t="s">
        <v>2027</v>
      </c>
      <c r="F213" s="455">
        <v>4</v>
      </c>
      <c r="G213" s="64" t="s">
        <v>294</v>
      </c>
      <c r="H213" s="65">
        <v>2690</v>
      </c>
      <c r="I213" s="66">
        <v>1250</v>
      </c>
      <c r="J213" s="66">
        <v>1440</v>
      </c>
      <c r="K213" s="67">
        <v>8.2799999999999994</v>
      </c>
      <c r="L213" s="108">
        <v>8.08</v>
      </c>
      <c r="M213" s="108">
        <v>3.63</v>
      </c>
      <c r="N213" s="108">
        <v>4.4400000000000004</v>
      </c>
      <c r="O213" s="108">
        <v>0.20599999999999999</v>
      </c>
      <c r="P213" s="67">
        <v>0.29499999999999998</v>
      </c>
      <c r="Q213" s="108">
        <v>0.28699999999999998</v>
      </c>
      <c r="R213" s="108">
        <v>0.28699999999999998</v>
      </c>
      <c r="S213" s="108">
        <v>0</v>
      </c>
      <c r="T213" s="108">
        <v>7.7299999999999999E-3</v>
      </c>
      <c r="U213" s="67">
        <v>7.99</v>
      </c>
      <c r="V213" s="108">
        <v>7.79</v>
      </c>
      <c r="W213" s="108">
        <v>3.35</v>
      </c>
      <c r="X213" s="108">
        <v>4.4400000000000004</v>
      </c>
      <c r="Y213" s="108">
        <v>0.19800000000000001</v>
      </c>
      <c r="Z213" s="70">
        <v>2.04</v>
      </c>
      <c r="AA213" s="69">
        <v>0.68600000000000005</v>
      </c>
      <c r="AB213" s="71">
        <v>1.35</v>
      </c>
      <c r="AC213" s="385">
        <v>0</v>
      </c>
      <c r="AD213" s="418" t="s">
        <v>2072</v>
      </c>
      <c r="AE213" s="61"/>
      <c r="AI213" s="330">
        <f t="shared" si="3"/>
        <v>1</v>
      </c>
    </row>
    <row r="214" spans="1:35" s="389" customFormat="1" ht="14.25" customHeight="1" outlineLevel="1">
      <c r="A214" s="434" t="s">
        <v>2073</v>
      </c>
      <c r="B214" s="61" t="s">
        <v>2074</v>
      </c>
      <c r="C214" s="61" t="s">
        <v>2075</v>
      </c>
      <c r="D214" s="62" t="s">
        <v>2026</v>
      </c>
      <c r="E214" s="61" t="s">
        <v>2027</v>
      </c>
      <c r="F214" s="455">
        <v>4.8</v>
      </c>
      <c r="G214" s="64" t="s">
        <v>294</v>
      </c>
      <c r="H214" s="65">
        <v>2690</v>
      </c>
      <c r="I214" s="66">
        <v>1230</v>
      </c>
      <c r="J214" s="66">
        <v>1460</v>
      </c>
      <c r="K214" s="67">
        <v>8.2899999999999991</v>
      </c>
      <c r="L214" s="108">
        <v>8.09</v>
      </c>
      <c r="M214" s="108">
        <v>3.56</v>
      </c>
      <c r="N214" s="108">
        <v>4.5199999999999996</v>
      </c>
      <c r="O214" s="108">
        <v>0.20699999999999999</v>
      </c>
      <c r="P214" s="67">
        <v>0.27500000000000002</v>
      </c>
      <c r="Q214" s="108">
        <v>0.26700000000000002</v>
      </c>
      <c r="R214" s="108">
        <v>0.26700000000000002</v>
      </c>
      <c r="S214" s="108">
        <v>0</v>
      </c>
      <c r="T214" s="108">
        <v>7.7600000000000004E-3</v>
      </c>
      <c r="U214" s="67">
        <v>8.02</v>
      </c>
      <c r="V214" s="108">
        <v>7.82</v>
      </c>
      <c r="W214" s="108">
        <v>3.3</v>
      </c>
      <c r="X214" s="108">
        <v>4.5199999999999996</v>
      </c>
      <c r="Y214" s="108">
        <v>0.19900000000000001</v>
      </c>
      <c r="Z214" s="70">
        <v>2.04</v>
      </c>
      <c r="AA214" s="69">
        <v>0.67800000000000005</v>
      </c>
      <c r="AB214" s="71">
        <v>1.36</v>
      </c>
      <c r="AC214" s="385">
        <v>0</v>
      </c>
      <c r="AD214" s="418" t="s">
        <v>2076</v>
      </c>
      <c r="AE214" s="61"/>
      <c r="AI214" s="330">
        <f t="shared" si="3"/>
        <v>1</v>
      </c>
    </row>
    <row r="215" spans="1:35" s="389" customFormat="1" ht="14.25" customHeight="1" outlineLevel="1">
      <c r="A215" s="434" t="s">
        <v>2077</v>
      </c>
      <c r="B215" s="61" t="s">
        <v>2078</v>
      </c>
      <c r="C215" s="61" t="s">
        <v>2079</v>
      </c>
      <c r="D215" s="62" t="s">
        <v>2026</v>
      </c>
      <c r="E215" s="61" t="s">
        <v>2027</v>
      </c>
      <c r="F215" s="455">
        <v>4.8</v>
      </c>
      <c r="G215" s="64" t="s">
        <v>294</v>
      </c>
      <c r="H215" s="65">
        <v>2560</v>
      </c>
      <c r="I215" s="66">
        <v>1260</v>
      </c>
      <c r="J215" s="66">
        <v>1300</v>
      </c>
      <c r="K215" s="67">
        <v>7.87</v>
      </c>
      <c r="L215" s="108">
        <v>7.67</v>
      </c>
      <c r="M215" s="108">
        <v>3.66</v>
      </c>
      <c r="N215" s="108">
        <v>4.01</v>
      </c>
      <c r="O215" s="108">
        <v>0.20100000000000001</v>
      </c>
      <c r="P215" s="67">
        <v>0.31</v>
      </c>
      <c r="Q215" s="108">
        <v>0.30299999999999999</v>
      </c>
      <c r="R215" s="108">
        <v>0.30299999999999999</v>
      </c>
      <c r="S215" s="108">
        <v>0</v>
      </c>
      <c r="T215" s="108">
        <v>7.4900000000000001E-3</v>
      </c>
      <c r="U215" s="67">
        <v>7.56</v>
      </c>
      <c r="V215" s="108">
        <v>7.37</v>
      </c>
      <c r="W215" s="108">
        <v>3.36</v>
      </c>
      <c r="X215" s="108">
        <v>4.01</v>
      </c>
      <c r="Y215" s="108">
        <v>0.19400000000000001</v>
      </c>
      <c r="Z215" s="70">
        <v>1.94</v>
      </c>
      <c r="AA215" s="69">
        <v>0.72799999999999998</v>
      </c>
      <c r="AB215" s="71">
        <v>1.21</v>
      </c>
      <c r="AC215" s="385">
        <v>0</v>
      </c>
      <c r="AD215" s="418" t="s">
        <v>2080</v>
      </c>
      <c r="AE215" s="61"/>
      <c r="AI215" s="330">
        <f t="shared" si="3"/>
        <v>1</v>
      </c>
    </row>
    <row r="216" spans="1:35" s="389" customFormat="1" ht="14.25" customHeight="1" outlineLevel="1">
      <c r="A216" s="434" t="s">
        <v>2081</v>
      </c>
      <c r="B216" s="61" t="s">
        <v>2082</v>
      </c>
      <c r="C216" s="61" t="s">
        <v>2083</v>
      </c>
      <c r="D216" s="62" t="s">
        <v>2026</v>
      </c>
      <c r="E216" s="61" t="s">
        <v>2027</v>
      </c>
      <c r="F216" s="455">
        <v>5.4</v>
      </c>
      <c r="G216" s="64" t="s">
        <v>294</v>
      </c>
      <c r="H216" s="65">
        <v>2590</v>
      </c>
      <c r="I216" s="66">
        <v>1290</v>
      </c>
      <c r="J216" s="66">
        <v>1300</v>
      </c>
      <c r="K216" s="67">
        <v>7.98</v>
      </c>
      <c r="L216" s="108">
        <v>7.78</v>
      </c>
      <c r="M216" s="108">
        <v>3.74</v>
      </c>
      <c r="N216" s="108">
        <v>4.04</v>
      </c>
      <c r="O216" s="108">
        <v>0.20200000000000001</v>
      </c>
      <c r="P216" s="67">
        <v>0.314</v>
      </c>
      <c r="Q216" s="108">
        <v>0.30599999999999999</v>
      </c>
      <c r="R216" s="108">
        <v>0.30599999999999999</v>
      </c>
      <c r="S216" s="108">
        <v>0</v>
      </c>
      <c r="T216" s="108">
        <v>7.4999999999999997E-3</v>
      </c>
      <c r="U216" s="67">
        <v>7.66</v>
      </c>
      <c r="V216" s="108">
        <v>7.47</v>
      </c>
      <c r="W216" s="108">
        <v>3.43</v>
      </c>
      <c r="X216" s="108">
        <v>4.04</v>
      </c>
      <c r="Y216" s="108">
        <v>0.19400000000000001</v>
      </c>
      <c r="Z216" s="70">
        <v>1.96</v>
      </c>
      <c r="AA216" s="69">
        <v>0.74199999999999999</v>
      </c>
      <c r="AB216" s="71">
        <v>1.22</v>
      </c>
      <c r="AC216" s="385">
        <v>0</v>
      </c>
      <c r="AD216" s="418" t="s">
        <v>2084</v>
      </c>
      <c r="AE216" s="61"/>
      <c r="AI216" s="330">
        <f t="shared" si="3"/>
        <v>1</v>
      </c>
    </row>
    <row r="217" spans="1:35" s="389" customFormat="1" ht="14.25" customHeight="1" outlineLevel="1">
      <c r="A217" s="434" t="s">
        <v>2085</v>
      </c>
      <c r="B217" s="61" t="s">
        <v>2086</v>
      </c>
      <c r="C217" s="61" t="s">
        <v>2087</v>
      </c>
      <c r="D217" s="62" t="s">
        <v>2026</v>
      </c>
      <c r="E217" s="61" t="s">
        <v>2027</v>
      </c>
      <c r="F217" s="455">
        <v>5.6</v>
      </c>
      <c r="G217" s="64" t="s">
        <v>294</v>
      </c>
      <c r="H217" s="65">
        <v>3270</v>
      </c>
      <c r="I217" s="66">
        <v>1810</v>
      </c>
      <c r="J217" s="66">
        <v>1460</v>
      </c>
      <c r="K217" s="67">
        <v>10.3</v>
      </c>
      <c r="L217" s="108">
        <v>10.1</v>
      </c>
      <c r="M217" s="108">
        <v>5.05</v>
      </c>
      <c r="N217" s="108">
        <v>5.03</v>
      </c>
      <c r="O217" s="108">
        <v>0.20699999999999999</v>
      </c>
      <c r="P217" s="67">
        <v>0.32400000000000001</v>
      </c>
      <c r="Q217" s="108">
        <v>0.316</v>
      </c>
      <c r="R217" s="108">
        <v>0.316</v>
      </c>
      <c r="S217" s="108">
        <v>0</v>
      </c>
      <c r="T217" s="108">
        <v>7.8600000000000007E-3</v>
      </c>
      <c r="U217" s="67">
        <v>9.9700000000000006</v>
      </c>
      <c r="V217" s="108">
        <v>9.77</v>
      </c>
      <c r="W217" s="108">
        <v>4.74</v>
      </c>
      <c r="X217" s="108">
        <v>5.03</v>
      </c>
      <c r="Y217" s="108">
        <v>0.19900000000000001</v>
      </c>
      <c r="Z217" s="70">
        <v>2.42</v>
      </c>
      <c r="AA217" s="69">
        <v>1.05</v>
      </c>
      <c r="AB217" s="71">
        <v>1.37</v>
      </c>
      <c r="AC217" s="385">
        <v>0</v>
      </c>
      <c r="AD217" s="418" t="s">
        <v>2088</v>
      </c>
      <c r="AE217" s="61"/>
      <c r="AI217" s="330">
        <f t="shared" si="3"/>
        <v>1</v>
      </c>
    </row>
    <row r="218" spans="1:35" s="389" customFormat="1" ht="14.25" customHeight="1" outlineLevel="1">
      <c r="A218" s="434" t="s">
        <v>2089</v>
      </c>
      <c r="B218" s="61" t="s">
        <v>2090</v>
      </c>
      <c r="C218" s="61" t="s">
        <v>2091</v>
      </c>
      <c r="D218" s="62" t="s">
        <v>2026</v>
      </c>
      <c r="E218" s="61" t="s">
        <v>2027</v>
      </c>
      <c r="F218" s="455">
        <v>5.76</v>
      </c>
      <c r="G218" s="64" t="s">
        <v>294</v>
      </c>
      <c r="H218" s="65">
        <v>3080</v>
      </c>
      <c r="I218" s="66">
        <v>1760</v>
      </c>
      <c r="J218" s="66">
        <v>1320</v>
      </c>
      <c r="K218" s="67">
        <v>9.5399999999999991</v>
      </c>
      <c r="L218" s="108">
        <v>9.34</v>
      </c>
      <c r="M218" s="108">
        <v>4.88</v>
      </c>
      <c r="N218" s="108">
        <v>4.46</v>
      </c>
      <c r="O218" s="108">
        <v>0.20200000000000001</v>
      </c>
      <c r="P218" s="67">
        <v>0.318</v>
      </c>
      <c r="Q218" s="108">
        <v>0.31</v>
      </c>
      <c r="R218" s="108">
        <v>0.31</v>
      </c>
      <c r="S218" s="108">
        <v>0</v>
      </c>
      <c r="T218" s="108">
        <v>7.5500000000000003E-3</v>
      </c>
      <c r="U218" s="67">
        <v>9.2200000000000006</v>
      </c>
      <c r="V218" s="108">
        <v>9.0299999999999994</v>
      </c>
      <c r="W218" s="108">
        <v>4.57</v>
      </c>
      <c r="X218" s="108">
        <v>4.46</v>
      </c>
      <c r="Y218" s="108">
        <v>0.19400000000000001</v>
      </c>
      <c r="Z218" s="70">
        <v>2.2799999999999998</v>
      </c>
      <c r="AA218" s="69">
        <v>1.05</v>
      </c>
      <c r="AB218" s="71">
        <v>1.23</v>
      </c>
      <c r="AC218" s="385">
        <v>0</v>
      </c>
      <c r="AD218" s="418" t="s">
        <v>2092</v>
      </c>
      <c r="AE218" s="61"/>
      <c r="AI218" s="330">
        <f t="shared" si="3"/>
        <v>1</v>
      </c>
    </row>
    <row r="219" spans="1:35" s="389" customFormat="1" ht="14.25" customHeight="1" outlineLevel="1">
      <c r="A219" s="434" t="s">
        <v>2093</v>
      </c>
      <c r="B219" s="61" t="s">
        <v>2094</v>
      </c>
      <c r="C219" s="61" t="s">
        <v>2095</v>
      </c>
      <c r="D219" s="62" t="s">
        <v>2026</v>
      </c>
      <c r="E219" s="61" t="s">
        <v>2027</v>
      </c>
      <c r="F219" s="455">
        <v>5.76</v>
      </c>
      <c r="G219" s="64" t="s">
        <v>294</v>
      </c>
      <c r="H219" s="65">
        <v>3080</v>
      </c>
      <c r="I219" s="66">
        <v>1760</v>
      </c>
      <c r="J219" s="66">
        <v>1320</v>
      </c>
      <c r="K219" s="67">
        <v>9.5399999999999991</v>
      </c>
      <c r="L219" s="108">
        <v>9.34</v>
      </c>
      <c r="M219" s="108">
        <v>4.88</v>
      </c>
      <c r="N219" s="108">
        <v>4.46</v>
      </c>
      <c r="O219" s="108">
        <v>0.20300000000000001</v>
      </c>
      <c r="P219" s="67">
        <v>0.318</v>
      </c>
      <c r="Q219" s="108">
        <v>0.31</v>
      </c>
      <c r="R219" s="108">
        <v>0.31</v>
      </c>
      <c r="S219" s="108">
        <v>0</v>
      </c>
      <c r="T219" s="108">
        <v>7.5599999999999999E-3</v>
      </c>
      <c r="U219" s="67">
        <v>9.23</v>
      </c>
      <c r="V219" s="108">
        <v>9.0299999999999994</v>
      </c>
      <c r="W219" s="108">
        <v>4.57</v>
      </c>
      <c r="X219" s="108">
        <v>4.46</v>
      </c>
      <c r="Y219" s="108">
        <v>0.19500000000000001</v>
      </c>
      <c r="Z219" s="70">
        <v>2.29</v>
      </c>
      <c r="AA219" s="69">
        <v>1.05</v>
      </c>
      <c r="AB219" s="71">
        <v>1.24</v>
      </c>
      <c r="AC219" s="385">
        <v>0</v>
      </c>
      <c r="AD219" s="418" t="s">
        <v>2096</v>
      </c>
      <c r="AE219" s="61"/>
      <c r="AI219" s="330">
        <f t="shared" si="3"/>
        <v>1</v>
      </c>
    </row>
    <row r="220" spans="1:35" s="364" customFormat="1" ht="14.25" customHeight="1">
      <c r="A220" s="387" t="s">
        <v>2097</v>
      </c>
      <c r="B220" s="235" t="s">
        <v>2098</v>
      </c>
      <c r="C220" s="45" t="s">
        <v>2099</v>
      </c>
      <c r="D220" s="456" t="s">
        <v>2100</v>
      </c>
      <c r="E220" s="30" t="s">
        <v>2101</v>
      </c>
      <c r="F220" s="72">
        <v>1100</v>
      </c>
      <c r="G220" s="47" t="s">
        <v>294</v>
      </c>
      <c r="H220" s="33">
        <v>8100</v>
      </c>
      <c r="I220" s="86">
        <v>4860</v>
      </c>
      <c r="J220" s="34">
        <v>3240</v>
      </c>
      <c r="K220" s="87">
        <v>25.5</v>
      </c>
      <c r="L220" s="366">
        <v>25.3</v>
      </c>
      <c r="M220" s="39">
        <v>17.100000000000001</v>
      </c>
      <c r="N220" s="39">
        <v>8.14</v>
      </c>
      <c r="O220" s="36">
        <v>0.23699999999999999</v>
      </c>
      <c r="P220" s="87">
        <v>0.82499999999999996</v>
      </c>
      <c r="Q220" s="366">
        <v>0.81200000000000006</v>
      </c>
      <c r="R220" s="36">
        <v>0.81200000000000006</v>
      </c>
      <c r="S220" s="36">
        <v>0</v>
      </c>
      <c r="T220" s="36">
        <v>1.2999999999999999E-2</v>
      </c>
      <c r="U220" s="87">
        <v>24.7</v>
      </c>
      <c r="V220" s="366">
        <v>24.4</v>
      </c>
      <c r="W220" s="36">
        <v>16.3</v>
      </c>
      <c r="X220" s="36">
        <v>8.14</v>
      </c>
      <c r="Y220" s="36">
        <v>0.224</v>
      </c>
      <c r="Z220" s="73">
        <v>5.84</v>
      </c>
      <c r="AA220" s="78">
        <v>2.74</v>
      </c>
      <c r="AB220" s="74">
        <v>3.1</v>
      </c>
      <c r="AC220" s="367">
        <v>0</v>
      </c>
      <c r="AD220" s="110" t="s">
        <v>2102</v>
      </c>
      <c r="AE220" s="30" t="s">
        <v>2103</v>
      </c>
      <c r="AF220" s="398">
        <v>5.15</v>
      </c>
      <c r="AG220" s="399">
        <v>2</v>
      </c>
      <c r="AH220" s="399">
        <v>3.14</v>
      </c>
      <c r="AI220" s="330">
        <f t="shared" si="3"/>
        <v>0.11815068493150677</v>
      </c>
    </row>
    <row r="221" spans="1:35" s="364" customFormat="1" ht="14.25" customHeight="1">
      <c r="A221" s="387" t="s">
        <v>2104</v>
      </c>
      <c r="B221" s="235" t="s">
        <v>2105</v>
      </c>
      <c r="C221" s="45" t="s">
        <v>2106</v>
      </c>
      <c r="D221" s="89" t="s">
        <v>2107</v>
      </c>
      <c r="E221" s="30" t="s">
        <v>2108</v>
      </c>
      <c r="F221" s="72">
        <v>1000</v>
      </c>
      <c r="G221" s="47" t="s">
        <v>294</v>
      </c>
      <c r="H221" s="33">
        <v>7880</v>
      </c>
      <c r="I221" s="86">
        <v>5070</v>
      </c>
      <c r="J221" s="34">
        <v>2810</v>
      </c>
      <c r="K221" s="82">
        <v>23.6</v>
      </c>
      <c r="L221" s="90">
        <v>23.4</v>
      </c>
      <c r="M221" s="39">
        <v>11.5</v>
      </c>
      <c r="N221" s="39">
        <v>11.9</v>
      </c>
      <c r="O221" s="90">
        <v>0.22</v>
      </c>
      <c r="P221" s="87">
        <v>0.42</v>
      </c>
      <c r="Q221" s="90">
        <v>0.41</v>
      </c>
      <c r="R221" s="36">
        <v>0.41</v>
      </c>
      <c r="S221" s="36">
        <v>0</v>
      </c>
      <c r="T221" s="39">
        <v>1.0800000000000001E-2</v>
      </c>
      <c r="U221" s="87">
        <v>23.1</v>
      </c>
      <c r="V221" s="90">
        <v>22.9</v>
      </c>
      <c r="W221" s="36">
        <v>11</v>
      </c>
      <c r="X221" s="36">
        <v>11.9</v>
      </c>
      <c r="Y221" s="39">
        <v>0.20899999999999999</v>
      </c>
      <c r="Z221" s="73">
        <v>5.18</v>
      </c>
      <c r="AA221" s="78">
        <v>2.52</v>
      </c>
      <c r="AB221" s="74">
        <v>2.67</v>
      </c>
      <c r="AC221" s="367">
        <v>0</v>
      </c>
      <c r="AD221" s="110" t="s">
        <v>2109</v>
      </c>
      <c r="AE221" s="30" t="s">
        <v>2110</v>
      </c>
      <c r="AF221" s="398">
        <v>5.54</v>
      </c>
      <c r="AG221" s="399">
        <v>2.52</v>
      </c>
      <c r="AH221" s="399">
        <v>3.02</v>
      </c>
      <c r="AI221" s="330">
        <f t="shared" si="3"/>
        <v>-6.9498069498069567E-2</v>
      </c>
    </row>
    <row r="222" spans="1:35" s="364" customFormat="1" ht="14.25" customHeight="1">
      <c r="A222" s="387" t="s">
        <v>2111</v>
      </c>
      <c r="B222" s="235" t="s">
        <v>2112</v>
      </c>
      <c r="C222" s="45" t="s">
        <v>2113</v>
      </c>
      <c r="D222" s="89" t="s">
        <v>2114</v>
      </c>
      <c r="E222" s="30" t="s">
        <v>2115</v>
      </c>
      <c r="F222" s="72">
        <v>650</v>
      </c>
      <c r="G222" s="47" t="s">
        <v>294</v>
      </c>
      <c r="H222" s="33">
        <v>3450</v>
      </c>
      <c r="I222" s="86">
        <v>3240</v>
      </c>
      <c r="J222" s="457">
        <v>206</v>
      </c>
      <c r="K222" s="87">
        <v>20.7</v>
      </c>
      <c r="L222" s="366">
        <v>20.5</v>
      </c>
      <c r="M222" s="39">
        <v>15.9</v>
      </c>
      <c r="N222" s="39">
        <v>4.6100000000000003</v>
      </c>
      <c r="O222" s="36">
        <v>0.184</v>
      </c>
      <c r="P222" s="87">
        <v>13</v>
      </c>
      <c r="Q222" s="366">
        <v>13</v>
      </c>
      <c r="R222" s="36">
        <v>8.3800000000000008</v>
      </c>
      <c r="S222" s="36">
        <v>4.6100000000000003</v>
      </c>
      <c r="T222" s="36">
        <v>1.2500000000000001E-2</v>
      </c>
      <c r="U222" s="87">
        <v>7.73</v>
      </c>
      <c r="V222" s="366">
        <v>7.55</v>
      </c>
      <c r="W222" s="36">
        <v>7.55</v>
      </c>
      <c r="X222" s="36">
        <v>0</v>
      </c>
      <c r="Y222" s="36">
        <v>0.17199999999999999</v>
      </c>
      <c r="Z222" s="73">
        <v>1.67</v>
      </c>
      <c r="AA222" s="78">
        <v>1.61</v>
      </c>
      <c r="AB222" s="52">
        <v>5.8000000000000003E-2</v>
      </c>
      <c r="AC222" s="367">
        <v>0.40400000000000003</v>
      </c>
      <c r="AD222" s="110" t="s">
        <v>2116</v>
      </c>
      <c r="AE222" s="30" t="s">
        <v>2117</v>
      </c>
      <c r="AF222" s="398">
        <v>1.03</v>
      </c>
      <c r="AG222" s="399">
        <v>1</v>
      </c>
      <c r="AH222" s="380">
        <v>3.1300000000000001E-2</v>
      </c>
      <c r="AI222" s="330">
        <f t="shared" si="3"/>
        <v>0.3832335329341317</v>
      </c>
    </row>
    <row r="223" spans="1:35" s="364" customFormat="1" ht="14.25" customHeight="1">
      <c r="A223" s="387" t="s">
        <v>881</v>
      </c>
      <c r="B223" s="235" t="s">
        <v>2118</v>
      </c>
      <c r="C223" s="45" t="s">
        <v>2119</v>
      </c>
      <c r="D223" s="44" t="s">
        <v>2033</v>
      </c>
      <c r="E223" s="30" t="s">
        <v>2034</v>
      </c>
      <c r="F223" s="72">
        <v>920</v>
      </c>
      <c r="G223" s="47" t="s">
        <v>294</v>
      </c>
      <c r="H223" s="33">
        <v>6930</v>
      </c>
      <c r="I223" s="86">
        <v>4120</v>
      </c>
      <c r="J223" s="34">
        <v>2810</v>
      </c>
      <c r="K223" s="87">
        <v>25.7</v>
      </c>
      <c r="L223" s="366">
        <v>25.4</v>
      </c>
      <c r="M223" s="39">
        <v>13.6</v>
      </c>
      <c r="N223" s="39">
        <v>11.8</v>
      </c>
      <c r="O223" s="36">
        <v>0.22</v>
      </c>
      <c r="P223" s="87">
        <v>0.85499999999999998</v>
      </c>
      <c r="Q223" s="366">
        <v>0.84399999999999997</v>
      </c>
      <c r="R223" s="36">
        <v>0.84399999999999997</v>
      </c>
      <c r="S223" s="36">
        <v>0</v>
      </c>
      <c r="T223" s="36">
        <v>1.0800000000000001E-2</v>
      </c>
      <c r="U223" s="87">
        <v>24.8</v>
      </c>
      <c r="V223" s="366">
        <v>24.6</v>
      </c>
      <c r="W223" s="36">
        <v>12.8</v>
      </c>
      <c r="X223" s="36">
        <v>11.8</v>
      </c>
      <c r="Y223" s="36">
        <v>0.20899999999999999</v>
      </c>
      <c r="Z223" s="73">
        <v>5.42</v>
      </c>
      <c r="AA223" s="78">
        <v>2.75</v>
      </c>
      <c r="AB223" s="74">
        <v>2.67</v>
      </c>
      <c r="AC223" s="367">
        <v>0</v>
      </c>
      <c r="AD223" s="110" t="s">
        <v>2120</v>
      </c>
      <c r="AE223" s="30" t="s">
        <v>2036</v>
      </c>
      <c r="AF223" s="398">
        <v>4.9800000000000004</v>
      </c>
      <c r="AG223" s="399">
        <v>2.42</v>
      </c>
      <c r="AH223" s="380">
        <v>2.57</v>
      </c>
      <c r="AI223" s="330">
        <f t="shared" si="3"/>
        <v>8.1180811808117995E-2</v>
      </c>
    </row>
    <row r="224" spans="1:35" s="364" customFormat="1" ht="14.25" customHeight="1">
      <c r="A224" s="387" t="s">
        <v>715</v>
      </c>
      <c r="B224" s="235" t="s">
        <v>2121</v>
      </c>
      <c r="C224" s="45" t="s">
        <v>2122</v>
      </c>
      <c r="D224" s="44" t="s">
        <v>2033</v>
      </c>
      <c r="E224" s="30" t="s">
        <v>2034</v>
      </c>
      <c r="F224" s="72">
        <v>920</v>
      </c>
      <c r="G224" s="47" t="s">
        <v>294</v>
      </c>
      <c r="H224" s="33">
        <v>7090</v>
      </c>
      <c r="I224" s="86">
        <v>4280</v>
      </c>
      <c r="J224" s="34">
        <v>2810</v>
      </c>
      <c r="K224" s="87">
        <v>26.5</v>
      </c>
      <c r="L224" s="366">
        <v>26.3</v>
      </c>
      <c r="M224" s="39">
        <v>14.4</v>
      </c>
      <c r="N224" s="39">
        <v>11.8</v>
      </c>
      <c r="O224" s="36">
        <v>0.22</v>
      </c>
      <c r="P224" s="87">
        <v>0.54300000000000004</v>
      </c>
      <c r="Q224" s="366">
        <v>0.53200000000000003</v>
      </c>
      <c r="R224" s="36">
        <v>0.53200000000000003</v>
      </c>
      <c r="S224" s="36">
        <v>0</v>
      </c>
      <c r="T224" s="36">
        <v>1.0800000000000001E-2</v>
      </c>
      <c r="U224" s="87">
        <v>26</v>
      </c>
      <c r="V224" s="366">
        <v>25.7</v>
      </c>
      <c r="W224" s="36">
        <v>13.9</v>
      </c>
      <c r="X224" s="36">
        <v>11.8</v>
      </c>
      <c r="Y224" s="36">
        <v>0.20899999999999999</v>
      </c>
      <c r="Z224" s="73">
        <v>5.63</v>
      </c>
      <c r="AA224" s="78">
        <v>2.96</v>
      </c>
      <c r="AB224" s="74">
        <v>2.67</v>
      </c>
      <c r="AC224" s="367">
        <v>0</v>
      </c>
      <c r="AD224" s="110" t="s">
        <v>2123</v>
      </c>
      <c r="AE224" s="30" t="s">
        <v>2036</v>
      </c>
      <c r="AF224" s="398">
        <v>5.36</v>
      </c>
      <c r="AG224" s="399">
        <v>2.8</v>
      </c>
      <c r="AH224" s="380">
        <v>2.57</v>
      </c>
      <c r="AI224" s="330">
        <f t="shared" si="3"/>
        <v>4.7957371225577188E-2</v>
      </c>
    </row>
    <row r="225" spans="1:35" s="364" customFormat="1" ht="14.25" customHeight="1">
      <c r="A225" s="357" t="s">
        <v>2124</v>
      </c>
      <c r="B225" s="807"/>
      <c r="C225" s="41" t="s">
        <v>2125</v>
      </c>
      <c r="D225" s="40"/>
      <c r="E225" s="41"/>
      <c r="F225" s="42" t="s">
        <v>1295</v>
      </c>
      <c r="G225" s="43"/>
      <c r="H225" s="392"/>
      <c r="I225" s="358"/>
      <c r="J225" s="392"/>
      <c r="K225" s="393"/>
      <c r="L225" s="423"/>
      <c r="M225" s="373"/>
      <c r="N225" s="373"/>
      <c r="O225" s="423"/>
      <c r="P225" s="423"/>
      <c r="Q225" s="423"/>
      <c r="R225" s="373"/>
      <c r="S225" s="373"/>
      <c r="T225" s="423"/>
      <c r="U225" s="424"/>
      <c r="V225" s="423"/>
      <c r="W225" s="373"/>
      <c r="X225" s="373"/>
      <c r="Y225" s="454"/>
      <c r="Z225" s="458"/>
      <c r="AA225" s="360"/>
      <c r="AB225" s="444"/>
      <c r="AC225" s="444"/>
      <c r="AD225" s="363" t="s">
        <v>2126</v>
      </c>
      <c r="AE225" s="41"/>
      <c r="AI225" s="330" t="e">
        <f t="shared" si="3"/>
        <v>#DIV/0!</v>
      </c>
    </row>
    <row r="226" spans="1:35" s="364" customFormat="1" ht="14.25" customHeight="1">
      <c r="A226" s="776" t="s">
        <v>2127</v>
      </c>
      <c r="B226" s="235" t="s">
        <v>2128</v>
      </c>
      <c r="C226" s="45" t="s">
        <v>2129</v>
      </c>
      <c r="D226" s="44" t="s">
        <v>2130</v>
      </c>
      <c r="E226" s="30" t="s">
        <v>2131</v>
      </c>
      <c r="F226" s="72">
        <v>150</v>
      </c>
      <c r="G226" s="47" t="s">
        <v>294</v>
      </c>
      <c r="H226" s="55">
        <v>73500</v>
      </c>
      <c r="I226" s="75">
        <v>73100</v>
      </c>
      <c r="J226" s="49">
        <v>408</v>
      </c>
      <c r="K226" s="87">
        <v>242</v>
      </c>
      <c r="L226" s="366">
        <v>241</v>
      </c>
      <c r="M226" s="39">
        <v>241</v>
      </c>
      <c r="N226" s="39">
        <v>0</v>
      </c>
      <c r="O226" s="36">
        <v>0.186</v>
      </c>
      <c r="P226" s="87">
        <v>12.1</v>
      </c>
      <c r="Q226" s="366">
        <v>12.1</v>
      </c>
      <c r="R226" s="36">
        <v>12.1</v>
      </c>
      <c r="S226" s="36">
        <v>0</v>
      </c>
      <c r="T226" s="36">
        <v>1.17E-2</v>
      </c>
      <c r="U226" s="73">
        <v>229</v>
      </c>
      <c r="V226" s="366">
        <v>229</v>
      </c>
      <c r="W226" s="36">
        <v>229</v>
      </c>
      <c r="X226" s="36">
        <v>0</v>
      </c>
      <c r="Y226" s="36">
        <v>0.17399999999999999</v>
      </c>
      <c r="Z226" s="50">
        <v>48.7</v>
      </c>
      <c r="AA226" s="79">
        <v>48.4</v>
      </c>
      <c r="AB226" s="52">
        <v>0.28899999999999998</v>
      </c>
      <c r="AC226" s="367">
        <v>0</v>
      </c>
      <c r="AD226" s="110" t="s">
        <v>2132</v>
      </c>
      <c r="AE226" s="30" t="s">
        <v>2133</v>
      </c>
      <c r="AF226" s="379">
        <v>46.8</v>
      </c>
      <c r="AG226" s="390">
        <v>46.5</v>
      </c>
      <c r="AH226" s="380">
        <v>0.28999999999999998</v>
      </c>
      <c r="AI226" s="330">
        <f t="shared" si="3"/>
        <v>3.9014373716632557E-2</v>
      </c>
    </row>
    <row r="227" spans="1:35" s="364" customFormat="1" ht="14.25" customHeight="1">
      <c r="A227" s="387" t="s">
        <v>746</v>
      </c>
      <c r="B227" s="235" t="s">
        <v>2134</v>
      </c>
      <c r="C227" s="45" t="s">
        <v>2135</v>
      </c>
      <c r="D227" s="89" t="s">
        <v>1338</v>
      </c>
      <c r="E227" s="30" t="s">
        <v>1339</v>
      </c>
      <c r="F227" s="47" t="s">
        <v>2136</v>
      </c>
      <c r="G227" s="47" t="s">
        <v>294</v>
      </c>
      <c r="H227" s="55">
        <v>1460</v>
      </c>
      <c r="I227" s="75">
        <v>1410</v>
      </c>
      <c r="J227" s="49">
        <v>42.5</v>
      </c>
      <c r="K227" s="87">
        <v>4.62</v>
      </c>
      <c r="L227" s="366">
        <v>4.57</v>
      </c>
      <c r="M227" s="39">
        <v>4.57</v>
      </c>
      <c r="N227" s="39">
        <v>0</v>
      </c>
      <c r="O227" s="36">
        <v>5.4800000000000001E-2</v>
      </c>
      <c r="P227" s="87">
        <v>0.16400000000000001</v>
      </c>
      <c r="Q227" s="366">
        <v>0.16200000000000001</v>
      </c>
      <c r="R227" s="36">
        <v>0.16200000000000001</v>
      </c>
      <c r="S227" s="36">
        <v>0</v>
      </c>
      <c r="T227" s="36">
        <v>2.16E-3</v>
      </c>
      <c r="U227" s="87">
        <v>4.46</v>
      </c>
      <c r="V227" s="366">
        <v>4.4000000000000004</v>
      </c>
      <c r="W227" s="36">
        <v>4.4000000000000004</v>
      </c>
      <c r="X227" s="36">
        <v>0</v>
      </c>
      <c r="Y227" s="36">
        <v>5.2600000000000001E-2</v>
      </c>
      <c r="Z227" s="50">
        <v>1.05</v>
      </c>
      <c r="AA227" s="79">
        <v>1.04</v>
      </c>
      <c r="AB227" s="52">
        <v>1.2699999999999999E-2</v>
      </c>
      <c r="AC227" s="367">
        <v>0</v>
      </c>
      <c r="AD227" s="110" t="s">
        <v>2137</v>
      </c>
      <c r="AE227" s="30" t="s">
        <v>2138</v>
      </c>
      <c r="AF227" s="379">
        <v>0.90200000000000002</v>
      </c>
      <c r="AG227" s="390">
        <v>0.89800000000000002</v>
      </c>
      <c r="AH227" s="380">
        <v>3.48E-3</v>
      </c>
      <c r="AI227" s="330">
        <f t="shared" si="3"/>
        <v>0.14095238095238097</v>
      </c>
    </row>
    <row r="228" spans="1:35" s="364" customFormat="1" ht="14.25" customHeight="1">
      <c r="A228" s="387" t="s">
        <v>2139</v>
      </c>
      <c r="B228" s="235" t="s">
        <v>2140</v>
      </c>
      <c r="C228" s="45" t="s">
        <v>2141</v>
      </c>
      <c r="D228" s="89" t="s">
        <v>1338</v>
      </c>
      <c r="E228" s="30" t="s">
        <v>1339</v>
      </c>
      <c r="F228" s="47" t="s">
        <v>2136</v>
      </c>
      <c r="G228" s="47" t="s">
        <v>294</v>
      </c>
      <c r="H228" s="55">
        <v>687</v>
      </c>
      <c r="I228" s="75">
        <v>644</v>
      </c>
      <c r="J228" s="49">
        <v>42.5</v>
      </c>
      <c r="K228" s="87">
        <v>1.61</v>
      </c>
      <c r="L228" s="366">
        <v>1.56</v>
      </c>
      <c r="M228" s="39">
        <v>1.56</v>
      </c>
      <c r="N228" s="39">
        <v>0</v>
      </c>
      <c r="O228" s="36">
        <v>5.4800000000000001E-2</v>
      </c>
      <c r="P228" s="87">
        <v>4.9500000000000002E-2</v>
      </c>
      <c r="Q228" s="366">
        <v>4.7300000000000002E-2</v>
      </c>
      <c r="R228" s="36">
        <v>4.7300000000000002E-2</v>
      </c>
      <c r="S228" s="36">
        <v>0</v>
      </c>
      <c r="T228" s="36">
        <v>2.16E-3</v>
      </c>
      <c r="U228" s="73">
        <v>1.56</v>
      </c>
      <c r="V228" s="366">
        <v>1.51</v>
      </c>
      <c r="W228" s="36">
        <v>1.51</v>
      </c>
      <c r="X228" s="36">
        <v>0</v>
      </c>
      <c r="Y228" s="36">
        <v>5.2600000000000001E-2</v>
      </c>
      <c r="Z228" s="50">
        <v>0.39400000000000002</v>
      </c>
      <c r="AA228" s="79">
        <v>0.38200000000000001</v>
      </c>
      <c r="AB228" s="52">
        <v>1.2699999999999999E-2</v>
      </c>
      <c r="AC228" s="367">
        <v>0</v>
      </c>
      <c r="AD228" s="110" t="s">
        <v>2142</v>
      </c>
      <c r="AE228" s="30" t="s">
        <v>2138</v>
      </c>
      <c r="AF228" s="379">
        <v>0.23400000000000001</v>
      </c>
      <c r="AG228" s="390">
        <v>0.23200000000000001</v>
      </c>
      <c r="AH228" s="380">
        <v>2.5500000000000002E-3</v>
      </c>
      <c r="AI228" s="330">
        <f t="shared" si="3"/>
        <v>0.40609137055837563</v>
      </c>
    </row>
    <row r="229" spans="1:35" s="364" customFormat="1" ht="14.25" customHeight="1">
      <c r="A229" s="776" t="s">
        <v>2143</v>
      </c>
      <c r="B229" s="235" t="s">
        <v>2144</v>
      </c>
      <c r="C229" s="45" t="s">
        <v>2145</v>
      </c>
      <c r="D229" s="44" t="s">
        <v>2146</v>
      </c>
      <c r="E229" s="30" t="s">
        <v>2147</v>
      </c>
      <c r="F229" s="47">
        <v>30</v>
      </c>
      <c r="G229" s="47" t="s">
        <v>294</v>
      </c>
      <c r="H229" s="33">
        <v>2940</v>
      </c>
      <c r="I229" s="86">
        <v>2570</v>
      </c>
      <c r="J229" s="49">
        <v>370</v>
      </c>
      <c r="K229" s="87">
        <v>11.3</v>
      </c>
      <c r="L229" s="366">
        <v>11.1</v>
      </c>
      <c r="M229" s="39">
        <v>6.12</v>
      </c>
      <c r="N229" s="36">
        <v>5</v>
      </c>
      <c r="O229" s="36">
        <v>0.16600000000000001</v>
      </c>
      <c r="P229" s="87">
        <v>5.97</v>
      </c>
      <c r="Q229" s="366">
        <v>5.96</v>
      </c>
      <c r="R229" s="36">
        <v>0.95599999999999996</v>
      </c>
      <c r="S229" s="36">
        <v>5</v>
      </c>
      <c r="T229" s="36">
        <v>1.23E-2</v>
      </c>
      <c r="U229" s="87">
        <v>5.32</v>
      </c>
      <c r="V229" s="366">
        <v>5.17</v>
      </c>
      <c r="W229" s="36">
        <v>5.17</v>
      </c>
      <c r="X229" s="36">
        <v>0</v>
      </c>
      <c r="Y229" s="36">
        <v>0.154</v>
      </c>
      <c r="Z229" s="73">
        <v>1.01</v>
      </c>
      <c r="AA229" s="78">
        <v>0.77700000000000002</v>
      </c>
      <c r="AB229" s="52">
        <v>0.23499999999999999</v>
      </c>
      <c r="AC229" s="367">
        <v>0.44</v>
      </c>
      <c r="AD229" s="397" t="s">
        <v>2148</v>
      </c>
      <c r="AE229" s="30" t="s">
        <v>2149</v>
      </c>
      <c r="AF229" s="398">
        <v>0.97099999999999997</v>
      </c>
      <c r="AG229" s="399">
        <v>0.753</v>
      </c>
      <c r="AH229" s="380">
        <v>0.218</v>
      </c>
      <c r="AI229" s="330">
        <f t="shared" si="3"/>
        <v>3.8613861386138648E-2</v>
      </c>
    </row>
    <row r="230" spans="1:35" s="364" customFormat="1" ht="14.25" customHeight="1" outlineLevel="1">
      <c r="A230" s="382" t="s">
        <v>2150</v>
      </c>
      <c r="B230" s="61" t="s">
        <v>2151</v>
      </c>
      <c r="C230" s="95" t="s">
        <v>2152</v>
      </c>
      <c r="D230" s="96" t="s">
        <v>2146</v>
      </c>
      <c r="E230" s="61" t="s">
        <v>2147</v>
      </c>
      <c r="F230" s="98">
        <v>30</v>
      </c>
      <c r="G230" s="98" t="s">
        <v>294</v>
      </c>
      <c r="H230" s="65">
        <v>2880</v>
      </c>
      <c r="I230" s="100">
        <v>2510</v>
      </c>
      <c r="J230" s="106">
        <v>370</v>
      </c>
      <c r="K230" s="67">
        <v>11.1</v>
      </c>
      <c r="L230" s="383">
        <v>10.9</v>
      </c>
      <c r="M230" s="108">
        <v>5.92</v>
      </c>
      <c r="N230" s="108">
        <v>5</v>
      </c>
      <c r="O230" s="108">
        <v>0.16600000000000001</v>
      </c>
      <c r="P230" s="67">
        <v>5.9</v>
      </c>
      <c r="Q230" s="383">
        <v>5.89</v>
      </c>
      <c r="R230" s="108">
        <v>0.89300000000000002</v>
      </c>
      <c r="S230" s="108">
        <v>5</v>
      </c>
      <c r="T230" s="108">
        <v>1.23E-2</v>
      </c>
      <c r="U230" s="67">
        <v>5.18</v>
      </c>
      <c r="V230" s="383">
        <v>5.03</v>
      </c>
      <c r="W230" s="108">
        <v>5.03</v>
      </c>
      <c r="X230" s="108">
        <v>0</v>
      </c>
      <c r="Y230" s="108">
        <v>0.154</v>
      </c>
      <c r="Z230" s="70">
        <v>0.98299999999999998</v>
      </c>
      <c r="AA230" s="105">
        <v>0.749</v>
      </c>
      <c r="AB230" s="107">
        <v>0.23499999999999999</v>
      </c>
      <c r="AC230" s="417">
        <v>0.44</v>
      </c>
      <c r="AD230" s="418" t="s">
        <v>2153</v>
      </c>
      <c r="AE230" s="61" t="s">
        <v>2149</v>
      </c>
      <c r="AF230" s="37"/>
      <c r="AG230" s="37"/>
      <c r="AH230" s="37"/>
      <c r="AI230" s="330">
        <f t="shared" si="3"/>
        <v>1</v>
      </c>
    </row>
    <row r="231" spans="1:35" s="364" customFormat="1" ht="14.25" customHeight="1">
      <c r="A231" s="776" t="s">
        <v>2154</v>
      </c>
      <c r="B231" s="235" t="s">
        <v>2155</v>
      </c>
      <c r="C231" s="45" t="s">
        <v>2156</v>
      </c>
      <c r="D231" s="44" t="s">
        <v>2146</v>
      </c>
      <c r="E231" s="30" t="s">
        <v>2147</v>
      </c>
      <c r="F231" s="47">
        <v>30</v>
      </c>
      <c r="G231" s="47" t="s">
        <v>294</v>
      </c>
      <c r="H231" s="33">
        <v>3530</v>
      </c>
      <c r="I231" s="86">
        <v>3160</v>
      </c>
      <c r="J231" s="49">
        <v>370</v>
      </c>
      <c r="K231" s="87">
        <v>13</v>
      </c>
      <c r="L231" s="366">
        <v>12.8</v>
      </c>
      <c r="M231" s="39">
        <v>7.82</v>
      </c>
      <c r="N231" s="36">
        <v>5</v>
      </c>
      <c r="O231" s="36">
        <v>0.16600000000000001</v>
      </c>
      <c r="P231" s="87">
        <v>5.47</v>
      </c>
      <c r="Q231" s="366">
        <v>5.46</v>
      </c>
      <c r="R231" s="36">
        <v>0.45600000000000002</v>
      </c>
      <c r="S231" s="36">
        <v>5</v>
      </c>
      <c r="T231" s="36">
        <v>1.23E-2</v>
      </c>
      <c r="U231" s="87">
        <v>7.51</v>
      </c>
      <c r="V231" s="366">
        <v>7.36</v>
      </c>
      <c r="W231" s="36">
        <v>7.36</v>
      </c>
      <c r="X231" s="36">
        <v>0</v>
      </c>
      <c r="Y231" s="36">
        <v>0.154</v>
      </c>
      <c r="Z231" s="73">
        <v>1.45</v>
      </c>
      <c r="AA231" s="78">
        <v>1.22</v>
      </c>
      <c r="AB231" s="52">
        <v>0.23499999999999999</v>
      </c>
      <c r="AC231" s="408">
        <v>0.44</v>
      </c>
      <c r="AD231" s="397" t="s">
        <v>2157</v>
      </c>
      <c r="AE231" s="30" t="s">
        <v>2149</v>
      </c>
      <c r="AF231" s="398">
        <v>1.4</v>
      </c>
      <c r="AG231" s="399">
        <v>1.18</v>
      </c>
      <c r="AH231" s="380">
        <v>0.218</v>
      </c>
      <c r="AI231" s="330">
        <f t="shared" si="3"/>
        <v>3.4482758620689689E-2</v>
      </c>
    </row>
    <row r="232" spans="1:35" s="364" customFormat="1" ht="14.25" customHeight="1" outlineLevel="1">
      <c r="A232" s="382" t="s">
        <v>2158</v>
      </c>
      <c r="B232" s="61" t="s">
        <v>2159</v>
      </c>
      <c r="C232" s="95" t="s">
        <v>2160</v>
      </c>
      <c r="D232" s="96" t="s">
        <v>2146</v>
      </c>
      <c r="E232" s="61" t="s">
        <v>2147</v>
      </c>
      <c r="F232" s="98">
        <v>30</v>
      </c>
      <c r="G232" s="98" t="s">
        <v>294</v>
      </c>
      <c r="H232" s="65">
        <v>3460</v>
      </c>
      <c r="I232" s="100">
        <v>3090</v>
      </c>
      <c r="J232" s="106">
        <v>370</v>
      </c>
      <c r="K232" s="67">
        <v>12.8</v>
      </c>
      <c r="L232" s="383">
        <v>12.6</v>
      </c>
      <c r="M232" s="108">
        <v>7.6</v>
      </c>
      <c r="N232" s="108">
        <v>5</v>
      </c>
      <c r="O232" s="108">
        <v>0.16600000000000001</v>
      </c>
      <c r="P232" s="67">
        <v>5.41</v>
      </c>
      <c r="Q232" s="383">
        <v>5.4</v>
      </c>
      <c r="R232" s="108">
        <v>0.39700000000000002</v>
      </c>
      <c r="S232" s="108">
        <v>5</v>
      </c>
      <c r="T232" s="108">
        <v>1.23E-2</v>
      </c>
      <c r="U232" s="67">
        <v>7.35</v>
      </c>
      <c r="V232" s="383">
        <v>7.2</v>
      </c>
      <c r="W232" s="108">
        <v>7.2</v>
      </c>
      <c r="X232" s="108">
        <v>0</v>
      </c>
      <c r="Y232" s="108">
        <v>0.154</v>
      </c>
      <c r="Z232" s="70">
        <v>1.42</v>
      </c>
      <c r="AA232" s="105">
        <v>1.18</v>
      </c>
      <c r="AB232" s="107">
        <v>0.23499999999999999</v>
      </c>
      <c r="AC232" s="417">
        <v>0.44</v>
      </c>
      <c r="AD232" s="418" t="s">
        <v>2161</v>
      </c>
      <c r="AE232" s="61" t="s">
        <v>2149</v>
      </c>
      <c r="AF232" s="37"/>
      <c r="AG232" s="37"/>
      <c r="AH232" s="37"/>
      <c r="AI232" s="330">
        <f t="shared" si="3"/>
        <v>1</v>
      </c>
    </row>
    <row r="233" spans="1:35" s="475" customFormat="1" ht="14.25" customHeight="1">
      <c r="A233" s="459" t="s">
        <v>819</v>
      </c>
      <c r="B233" s="809" t="s">
        <v>2162</v>
      </c>
      <c r="C233" s="460" t="s">
        <v>2163</v>
      </c>
      <c r="D233" s="461" t="s">
        <v>2164</v>
      </c>
      <c r="E233" s="462" t="s">
        <v>2165</v>
      </c>
      <c r="F233" s="463" t="s">
        <v>2166</v>
      </c>
      <c r="G233" s="463" t="s">
        <v>294</v>
      </c>
      <c r="H233" s="464">
        <v>1960</v>
      </c>
      <c r="I233" s="465">
        <v>1850</v>
      </c>
      <c r="J233" s="466">
        <v>116</v>
      </c>
      <c r="K233" s="467">
        <v>7.82</v>
      </c>
      <c r="L233" s="468">
        <v>7.67</v>
      </c>
      <c r="M233" s="469">
        <v>7.67</v>
      </c>
      <c r="N233" s="469">
        <v>0</v>
      </c>
      <c r="O233" s="469">
        <v>0.14299999999999999</v>
      </c>
      <c r="P233" s="467">
        <v>2.35</v>
      </c>
      <c r="Q233" s="468">
        <v>2.34</v>
      </c>
      <c r="R233" s="469">
        <v>2.34</v>
      </c>
      <c r="S233" s="469">
        <v>0</v>
      </c>
      <c r="T233" s="469">
        <v>1.04E-2</v>
      </c>
      <c r="U233" s="467">
        <v>5.46</v>
      </c>
      <c r="V233" s="468">
        <v>5.33</v>
      </c>
      <c r="W233" s="469">
        <v>5.33</v>
      </c>
      <c r="X233" s="469">
        <v>0</v>
      </c>
      <c r="Y233" s="469">
        <v>0.13300000000000001</v>
      </c>
      <c r="Z233" s="470">
        <v>1.1000000000000001</v>
      </c>
      <c r="AA233" s="471">
        <v>1.04</v>
      </c>
      <c r="AB233" s="472">
        <v>5.9200000000000003E-2</v>
      </c>
      <c r="AC233" s="473">
        <v>0</v>
      </c>
      <c r="AD233" s="474" t="s">
        <v>817</v>
      </c>
      <c r="AE233" s="462" t="s">
        <v>2167</v>
      </c>
      <c r="AF233" s="448">
        <v>0.42499999999999999</v>
      </c>
      <c r="AG233" s="449">
        <v>0.42199999999999999</v>
      </c>
      <c r="AH233" s="326">
        <v>3.48E-3</v>
      </c>
      <c r="AI233" s="330">
        <f t="shared" si="3"/>
        <v>0.61363636363636365</v>
      </c>
    </row>
    <row r="234" spans="1:35" s="364" customFormat="1" ht="14.25" customHeight="1" outlineLevel="1">
      <c r="A234" s="476" t="s">
        <v>2168</v>
      </c>
      <c r="B234" s="61" t="s">
        <v>2169</v>
      </c>
      <c r="C234" s="61" t="s">
        <v>2170</v>
      </c>
      <c r="D234" s="62" t="s">
        <v>2164</v>
      </c>
      <c r="E234" s="61" t="s">
        <v>2165</v>
      </c>
      <c r="F234" s="98" t="s">
        <v>2166</v>
      </c>
      <c r="G234" s="98" t="s">
        <v>294</v>
      </c>
      <c r="H234" s="65">
        <v>1830</v>
      </c>
      <c r="I234" s="66">
        <v>1710</v>
      </c>
      <c r="J234" s="106">
        <v>116</v>
      </c>
      <c r="K234" s="67">
        <v>7.4</v>
      </c>
      <c r="L234" s="108">
        <v>7.26</v>
      </c>
      <c r="M234" s="108">
        <v>7.26</v>
      </c>
      <c r="N234" s="108">
        <v>0</v>
      </c>
      <c r="O234" s="108">
        <v>0.14299999999999999</v>
      </c>
      <c r="P234" s="67">
        <v>2.2799999999999998</v>
      </c>
      <c r="Q234" s="108">
        <v>2.27</v>
      </c>
      <c r="R234" s="108">
        <v>2.27</v>
      </c>
      <c r="S234" s="108">
        <v>0</v>
      </c>
      <c r="T234" s="108">
        <v>1.04E-2</v>
      </c>
      <c r="U234" s="67">
        <v>5.13</v>
      </c>
      <c r="V234" s="108">
        <v>4.99</v>
      </c>
      <c r="W234" s="108">
        <v>4.99</v>
      </c>
      <c r="X234" s="108">
        <v>0</v>
      </c>
      <c r="Y234" s="108">
        <v>0.13300000000000001</v>
      </c>
      <c r="Z234" s="70">
        <v>1.03</v>
      </c>
      <c r="AA234" s="71">
        <v>0.97</v>
      </c>
      <c r="AB234" s="107">
        <v>5.9200000000000003E-2</v>
      </c>
      <c r="AC234" s="417">
        <v>0</v>
      </c>
      <c r="AD234" s="418" t="s">
        <v>2171</v>
      </c>
      <c r="AE234" s="61" t="s">
        <v>2167</v>
      </c>
      <c r="AI234" s="330">
        <f t="shared" si="3"/>
        <v>1</v>
      </c>
    </row>
    <row r="235" spans="1:35" s="389" customFormat="1" ht="14.25" customHeight="1" outlineLevel="1">
      <c r="A235" s="434" t="s">
        <v>2172</v>
      </c>
      <c r="B235" s="61" t="s">
        <v>2173</v>
      </c>
      <c r="C235" s="61" t="s">
        <v>2174</v>
      </c>
      <c r="D235" s="62" t="s">
        <v>2164</v>
      </c>
      <c r="E235" s="61" t="s">
        <v>2165</v>
      </c>
      <c r="F235" s="64" t="s">
        <v>2166</v>
      </c>
      <c r="G235" s="64" t="s">
        <v>294</v>
      </c>
      <c r="H235" s="65">
        <v>1700</v>
      </c>
      <c r="I235" s="66">
        <v>1580</v>
      </c>
      <c r="J235" s="106">
        <v>116</v>
      </c>
      <c r="K235" s="67">
        <v>6.11</v>
      </c>
      <c r="L235" s="108">
        <v>5.97</v>
      </c>
      <c r="M235" s="108">
        <v>5.97</v>
      </c>
      <c r="N235" s="108">
        <v>0</v>
      </c>
      <c r="O235" s="108">
        <v>0.14299999999999999</v>
      </c>
      <c r="P235" s="67">
        <v>2.4500000000000002</v>
      </c>
      <c r="Q235" s="108">
        <v>2.44</v>
      </c>
      <c r="R235" s="108">
        <v>2.44</v>
      </c>
      <c r="S235" s="108">
        <v>0</v>
      </c>
      <c r="T235" s="108">
        <v>1.04E-2</v>
      </c>
      <c r="U235" s="67">
        <v>3.66</v>
      </c>
      <c r="V235" s="108">
        <v>3.53</v>
      </c>
      <c r="W235" s="108">
        <v>3.53</v>
      </c>
      <c r="X235" s="108">
        <v>0</v>
      </c>
      <c r="Y235" s="108">
        <v>0.13300000000000001</v>
      </c>
      <c r="Z235" s="70">
        <v>0.89</v>
      </c>
      <c r="AA235" s="71">
        <v>0.83099999999999996</v>
      </c>
      <c r="AB235" s="107">
        <v>5.9200000000000003E-2</v>
      </c>
      <c r="AC235" s="417">
        <v>0</v>
      </c>
      <c r="AD235" s="418" t="s">
        <v>2175</v>
      </c>
      <c r="AE235" s="61" t="s">
        <v>2167</v>
      </c>
      <c r="AI235" s="330">
        <f t="shared" si="3"/>
        <v>1</v>
      </c>
    </row>
    <row r="236" spans="1:35" s="389" customFormat="1" ht="14.25" customHeight="1" outlineLevel="1">
      <c r="A236" s="434" t="s">
        <v>2176</v>
      </c>
      <c r="B236" s="61" t="s">
        <v>2177</v>
      </c>
      <c r="C236" s="61" t="s">
        <v>2178</v>
      </c>
      <c r="D236" s="62" t="s">
        <v>2164</v>
      </c>
      <c r="E236" s="61" t="s">
        <v>2165</v>
      </c>
      <c r="F236" s="64">
        <v>35</v>
      </c>
      <c r="G236" s="64" t="s">
        <v>294</v>
      </c>
      <c r="H236" s="65">
        <v>2060</v>
      </c>
      <c r="I236" s="66">
        <v>1940</v>
      </c>
      <c r="J236" s="106">
        <v>116</v>
      </c>
      <c r="K236" s="67">
        <v>6.21</v>
      </c>
      <c r="L236" s="108">
        <v>6.07</v>
      </c>
      <c r="M236" s="108">
        <v>6.07</v>
      </c>
      <c r="N236" s="108">
        <v>0</v>
      </c>
      <c r="O236" s="108">
        <v>0.14299999999999999</v>
      </c>
      <c r="P236" s="67">
        <v>0.317</v>
      </c>
      <c r="Q236" s="108">
        <v>0.30599999999999999</v>
      </c>
      <c r="R236" s="108">
        <v>0.30599999999999999</v>
      </c>
      <c r="S236" s="108">
        <v>0</v>
      </c>
      <c r="T236" s="108">
        <v>1.04E-2</v>
      </c>
      <c r="U236" s="67">
        <v>5.89</v>
      </c>
      <c r="V236" s="108">
        <v>5.76</v>
      </c>
      <c r="W236" s="108">
        <v>5.76</v>
      </c>
      <c r="X236" s="108">
        <v>0</v>
      </c>
      <c r="Y236" s="108">
        <v>0.13300000000000001</v>
      </c>
      <c r="Z236" s="70">
        <v>1.1399999999999999</v>
      </c>
      <c r="AA236" s="71">
        <v>1.08</v>
      </c>
      <c r="AB236" s="107">
        <v>5.9200000000000003E-2</v>
      </c>
      <c r="AC236" s="417">
        <v>0</v>
      </c>
      <c r="AD236" s="418" t="s">
        <v>2179</v>
      </c>
      <c r="AE236" s="61" t="s">
        <v>2167</v>
      </c>
      <c r="AI236" s="330">
        <f t="shared" si="3"/>
        <v>1</v>
      </c>
    </row>
    <row r="237" spans="1:35" s="364" customFormat="1" ht="14.25" customHeight="1">
      <c r="A237" s="387" t="s">
        <v>2180</v>
      </c>
      <c r="B237" s="235" t="s">
        <v>2181</v>
      </c>
      <c r="C237" s="45" t="s">
        <v>2182</v>
      </c>
      <c r="D237" s="89" t="s">
        <v>2183</v>
      </c>
      <c r="E237" s="30" t="s">
        <v>2184</v>
      </c>
      <c r="F237" s="47">
        <v>120</v>
      </c>
      <c r="G237" s="47" t="s">
        <v>294</v>
      </c>
      <c r="H237" s="33">
        <v>2170</v>
      </c>
      <c r="I237" s="86">
        <v>1990</v>
      </c>
      <c r="J237" s="34">
        <v>172</v>
      </c>
      <c r="K237" s="87">
        <v>14.2</v>
      </c>
      <c r="L237" s="366">
        <v>14</v>
      </c>
      <c r="M237" s="39">
        <v>8.86</v>
      </c>
      <c r="N237" s="39">
        <v>5.15</v>
      </c>
      <c r="O237" s="36">
        <v>0.16</v>
      </c>
      <c r="P237" s="87">
        <v>7.94</v>
      </c>
      <c r="Q237" s="366">
        <v>7.92</v>
      </c>
      <c r="R237" s="36">
        <v>3.77</v>
      </c>
      <c r="S237" s="36">
        <v>4.1500000000000004</v>
      </c>
      <c r="T237" s="36">
        <v>1.2200000000000001E-2</v>
      </c>
      <c r="U237" s="87">
        <v>6.23</v>
      </c>
      <c r="V237" s="366">
        <v>6.09</v>
      </c>
      <c r="W237" s="36">
        <v>5.08</v>
      </c>
      <c r="X237" s="36">
        <v>1</v>
      </c>
      <c r="Y237" s="36">
        <v>0.14799999999999999</v>
      </c>
      <c r="Z237" s="73">
        <v>1.1100000000000001</v>
      </c>
      <c r="AA237" s="78">
        <v>1.07</v>
      </c>
      <c r="AB237" s="31">
        <v>3.8699999999999998E-2</v>
      </c>
      <c r="AC237" s="407">
        <v>0.496</v>
      </c>
      <c r="AD237" s="110" t="s">
        <v>2185</v>
      </c>
      <c r="AE237" s="30" t="s">
        <v>2186</v>
      </c>
      <c r="AF237" s="398">
        <v>0.67300000000000004</v>
      </c>
      <c r="AG237" s="399">
        <v>0.59499999999999997</v>
      </c>
      <c r="AH237" s="390">
        <v>7.7700000000000005E-2</v>
      </c>
      <c r="AI237" s="330">
        <f t="shared" si="3"/>
        <v>0.39369369369369372</v>
      </c>
    </row>
    <row r="238" spans="1:35" s="364" customFormat="1" ht="14.25" customHeight="1">
      <c r="A238" s="387" t="s">
        <v>2187</v>
      </c>
      <c r="B238" s="235" t="s">
        <v>2188</v>
      </c>
      <c r="C238" s="45" t="s">
        <v>2189</v>
      </c>
      <c r="D238" s="89" t="s">
        <v>2190</v>
      </c>
      <c r="E238" s="30" t="s">
        <v>2191</v>
      </c>
      <c r="F238" s="47">
        <v>40</v>
      </c>
      <c r="G238" s="47" t="s">
        <v>294</v>
      </c>
      <c r="H238" s="33">
        <v>10000</v>
      </c>
      <c r="I238" s="86">
        <v>6730</v>
      </c>
      <c r="J238" s="34">
        <v>3280</v>
      </c>
      <c r="K238" s="38">
        <v>34.1</v>
      </c>
      <c r="L238" s="366">
        <v>33.9</v>
      </c>
      <c r="M238" s="39">
        <v>26.9</v>
      </c>
      <c r="N238" s="39">
        <v>7</v>
      </c>
      <c r="O238" s="36">
        <v>0.21299999999999999</v>
      </c>
      <c r="P238" s="38">
        <v>0.59699999999999998</v>
      </c>
      <c r="Q238" s="366">
        <v>0.58499999999999996</v>
      </c>
      <c r="R238" s="36">
        <v>0.58499999999999996</v>
      </c>
      <c r="S238" s="36">
        <v>0</v>
      </c>
      <c r="T238" s="36">
        <v>1.14E-2</v>
      </c>
      <c r="U238" s="38">
        <v>33.5</v>
      </c>
      <c r="V238" s="366">
        <v>33.299999999999997</v>
      </c>
      <c r="W238" s="36">
        <v>26.3</v>
      </c>
      <c r="X238" s="36">
        <v>7</v>
      </c>
      <c r="Y238" s="36">
        <v>0.20200000000000001</v>
      </c>
      <c r="Z238" s="73">
        <v>7.26</v>
      </c>
      <c r="AA238" s="78">
        <v>4.17</v>
      </c>
      <c r="AB238" s="74">
        <v>3.09</v>
      </c>
      <c r="AC238" s="477">
        <v>0</v>
      </c>
      <c r="AD238" s="110" t="s">
        <v>2192</v>
      </c>
      <c r="AE238" s="30" t="s">
        <v>2193</v>
      </c>
      <c r="AF238" s="398">
        <v>4.09</v>
      </c>
      <c r="AG238" s="399">
        <v>3.43</v>
      </c>
      <c r="AH238" s="399">
        <v>0.65800000000000003</v>
      </c>
      <c r="AI238" s="330">
        <f t="shared" si="3"/>
        <v>0.4366391184573003</v>
      </c>
    </row>
    <row r="239" spans="1:35" s="364" customFormat="1" ht="14.25" customHeight="1">
      <c r="A239" s="387" t="s">
        <v>811</v>
      </c>
      <c r="B239" s="235" t="s">
        <v>2194</v>
      </c>
      <c r="C239" s="45" t="s">
        <v>2195</v>
      </c>
      <c r="D239" s="89" t="s">
        <v>2190</v>
      </c>
      <c r="E239" s="30" t="s">
        <v>2191</v>
      </c>
      <c r="F239" s="47" t="s">
        <v>2196</v>
      </c>
      <c r="G239" s="47" t="s">
        <v>294</v>
      </c>
      <c r="H239" s="33">
        <v>9800</v>
      </c>
      <c r="I239" s="86">
        <v>6520</v>
      </c>
      <c r="J239" s="34">
        <v>3280</v>
      </c>
      <c r="K239" s="38">
        <v>30.5</v>
      </c>
      <c r="L239" s="366">
        <v>30.3</v>
      </c>
      <c r="M239" s="39">
        <v>21.1</v>
      </c>
      <c r="N239" s="39">
        <v>9.2200000000000006</v>
      </c>
      <c r="O239" s="36">
        <v>0.21299999999999999</v>
      </c>
      <c r="P239" s="38">
        <v>0.51300000000000001</v>
      </c>
      <c r="Q239" s="366">
        <v>0.502</v>
      </c>
      <c r="R239" s="36">
        <v>0.502</v>
      </c>
      <c r="S239" s="36">
        <v>0</v>
      </c>
      <c r="T239" s="36">
        <v>1.14E-2</v>
      </c>
      <c r="U239" s="38">
        <v>30</v>
      </c>
      <c r="V239" s="366">
        <v>29.8</v>
      </c>
      <c r="W239" s="36">
        <v>20.6</v>
      </c>
      <c r="X239" s="36">
        <v>9.2200000000000006</v>
      </c>
      <c r="Y239" s="36">
        <v>0.20200000000000001</v>
      </c>
      <c r="Z239" s="73">
        <v>7.6</v>
      </c>
      <c r="AA239" s="78">
        <v>4.51</v>
      </c>
      <c r="AB239" s="74">
        <v>3.09</v>
      </c>
      <c r="AC239" s="477">
        <v>0</v>
      </c>
      <c r="AD239" s="110" t="s">
        <v>2197</v>
      </c>
      <c r="AE239" s="30" t="s">
        <v>2193</v>
      </c>
      <c r="AF239" s="448">
        <v>2.7</v>
      </c>
      <c r="AG239" s="449">
        <v>1.99</v>
      </c>
      <c r="AH239" s="449">
        <v>0.70599999999999996</v>
      </c>
      <c r="AI239" s="330">
        <f t="shared" si="3"/>
        <v>0.64473684210526316</v>
      </c>
    </row>
    <row r="240" spans="1:35" s="389" customFormat="1" ht="14.25" customHeight="1" outlineLevel="1">
      <c r="A240" s="434" t="s">
        <v>2198</v>
      </c>
      <c r="B240" s="61" t="s">
        <v>2199</v>
      </c>
      <c r="C240" s="61" t="s">
        <v>2200</v>
      </c>
      <c r="D240" s="62" t="s">
        <v>2190</v>
      </c>
      <c r="E240" s="61" t="s">
        <v>2191</v>
      </c>
      <c r="F240" s="64">
        <v>16.8</v>
      </c>
      <c r="G240" s="64" t="s">
        <v>294</v>
      </c>
      <c r="H240" s="65">
        <v>8790</v>
      </c>
      <c r="I240" s="66">
        <v>5510</v>
      </c>
      <c r="J240" s="106">
        <v>3280</v>
      </c>
      <c r="K240" s="67">
        <v>27.4</v>
      </c>
      <c r="L240" s="108">
        <v>27.2</v>
      </c>
      <c r="M240" s="108">
        <v>18</v>
      </c>
      <c r="N240" s="108">
        <v>9.18</v>
      </c>
      <c r="O240" s="108">
        <v>0.21299999999999999</v>
      </c>
      <c r="P240" s="67">
        <v>0.72899999999999998</v>
      </c>
      <c r="Q240" s="108">
        <v>0.71799999999999997</v>
      </c>
      <c r="R240" s="108">
        <v>0.69399999999999995</v>
      </c>
      <c r="S240" s="108">
        <v>2.4E-2</v>
      </c>
      <c r="T240" s="108">
        <v>1.14E-2</v>
      </c>
      <c r="U240" s="67">
        <v>26.7</v>
      </c>
      <c r="V240" s="108">
        <v>26.5</v>
      </c>
      <c r="W240" s="108">
        <v>17.3</v>
      </c>
      <c r="X240" s="108">
        <v>9.15</v>
      </c>
      <c r="Y240" s="108">
        <v>0.20200000000000001</v>
      </c>
      <c r="Z240" s="70">
        <v>6.95</v>
      </c>
      <c r="AA240" s="71">
        <v>3.86</v>
      </c>
      <c r="AB240" s="107">
        <v>3.09</v>
      </c>
      <c r="AC240" s="417">
        <v>0</v>
      </c>
      <c r="AD240" s="478" t="s">
        <v>2201</v>
      </c>
      <c r="AE240" s="61" t="s">
        <v>2193</v>
      </c>
      <c r="AF240" s="14"/>
      <c r="AG240" s="14"/>
      <c r="AH240" s="14"/>
      <c r="AI240" s="330"/>
    </row>
    <row r="241" spans="1:35" s="389" customFormat="1" ht="14.25" customHeight="1" outlineLevel="1">
      <c r="A241" s="434" t="s">
        <v>2202</v>
      </c>
      <c r="B241" s="61" t="s">
        <v>2203</v>
      </c>
      <c r="C241" s="61" t="s">
        <v>2204</v>
      </c>
      <c r="D241" s="62" t="s">
        <v>2190</v>
      </c>
      <c r="E241" s="61" t="s">
        <v>2191</v>
      </c>
      <c r="F241" s="64">
        <v>26</v>
      </c>
      <c r="G241" s="64" t="s">
        <v>294</v>
      </c>
      <c r="H241" s="65"/>
      <c r="I241" s="66"/>
      <c r="J241" s="106"/>
      <c r="K241" s="67"/>
      <c r="L241" s="108"/>
      <c r="M241" s="108"/>
      <c r="N241" s="108"/>
      <c r="O241" s="108"/>
      <c r="P241" s="67"/>
      <c r="Q241" s="108"/>
      <c r="R241" s="108"/>
      <c r="S241" s="108"/>
      <c r="T241" s="108"/>
      <c r="U241" s="67"/>
      <c r="V241" s="108"/>
      <c r="W241" s="108"/>
      <c r="X241" s="108"/>
      <c r="Y241" s="108"/>
      <c r="Z241" s="70"/>
      <c r="AA241" s="71"/>
      <c r="AB241" s="107"/>
      <c r="AC241" s="417"/>
      <c r="AD241" s="478" t="s">
        <v>2205</v>
      </c>
      <c r="AE241" s="61" t="s">
        <v>2193</v>
      </c>
      <c r="AF241" s="14"/>
      <c r="AG241" s="14"/>
      <c r="AH241" s="14"/>
      <c r="AI241" s="330"/>
    </row>
    <row r="242" spans="1:35" s="389" customFormat="1" ht="14.25" customHeight="1" outlineLevel="1">
      <c r="A242" s="434" t="s">
        <v>2206</v>
      </c>
      <c r="B242" s="61" t="s">
        <v>2207</v>
      </c>
      <c r="C242" s="61" t="s">
        <v>2208</v>
      </c>
      <c r="D242" s="62" t="s">
        <v>2190</v>
      </c>
      <c r="E242" s="61" t="s">
        <v>2191</v>
      </c>
      <c r="F242" s="64">
        <v>27</v>
      </c>
      <c r="G242" s="64" t="s">
        <v>294</v>
      </c>
      <c r="H242" s="65"/>
      <c r="I242" s="66"/>
      <c r="J242" s="106"/>
      <c r="K242" s="67"/>
      <c r="L242" s="108"/>
      <c r="M242" s="108"/>
      <c r="N242" s="108"/>
      <c r="O242" s="108"/>
      <c r="P242" s="67"/>
      <c r="Q242" s="108"/>
      <c r="R242" s="108"/>
      <c r="S242" s="108"/>
      <c r="T242" s="108"/>
      <c r="U242" s="67"/>
      <c r="V242" s="108"/>
      <c r="W242" s="108"/>
      <c r="X242" s="108"/>
      <c r="Y242" s="108"/>
      <c r="Z242" s="70"/>
      <c r="AA242" s="71"/>
      <c r="AB242" s="107"/>
      <c r="AC242" s="417"/>
      <c r="AD242" s="478" t="s">
        <v>2209</v>
      </c>
      <c r="AE242" s="61" t="s">
        <v>2193</v>
      </c>
      <c r="AF242" s="14"/>
      <c r="AG242" s="14"/>
      <c r="AH242" s="14"/>
      <c r="AI242" s="330"/>
    </row>
    <row r="243" spans="1:35" s="364" customFormat="1" ht="14.25" customHeight="1">
      <c r="A243" s="387" t="s">
        <v>696</v>
      </c>
      <c r="B243" s="235" t="s">
        <v>2210</v>
      </c>
      <c r="C243" s="45" t="s">
        <v>2211</v>
      </c>
      <c r="D243" s="89" t="s">
        <v>2190</v>
      </c>
      <c r="E243" s="30" t="s">
        <v>2191</v>
      </c>
      <c r="F243" s="47" t="s">
        <v>2212</v>
      </c>
      <c r="G243" s="47" t="s">
        <v>294</v>
      </c>
      <c r="H243" s="33">
        <v>19700</v>
      </c>
      <c r="I243" s="86">
        <v>16500</v>
      </c>
      <c r="J243" s="34">
        <v>3280</v>
      </c>
      <c r="K243" s="38">
        <v>30</v>
      </c>
      <c r="L243" s="366">
        <v>29.8</v>
      </c>
      <c r="M243" s="39">
        <v>20.6</v>
      </c>
      <c r="N243" s="39">
        <v>9.2200000000000006</v>
      </c>
      <c r="O243" s="36">
        <v>0.21299999999999999</v>
      </c>
      <c r="P243" s="38">
        <v>0.65400000000000003</v>
      </c>
      <c r="Q243" s="366">
        <v>0.64300000000000002</v>
      </c>
      <c r="R243" s="36">
        <v>0.64300000000000002</v>
      </c>
      <c r="S243" s="36">
        <v>0</v>
      </c>
      <c r="T243" s="36">
        <v>1.14E-2</v>
      </c>
      <c r="U243" s="87">
        <v>29.4</v>
      </c>
      <c r="V243" s="366">
        <v>29.2</v>
      </c>
      <c r="W243" s="36">
        <v>20</v>
      </c>
      <c r="X243" s="36">
        <v>9.2200000000000006</v>
      </c>
      <c r="Y243" s="36">
        <v>0.20200000000000001</v>
      </c>
      <c r="Z243" s="87">
        <v>14.4</v>
      </c>
      <c r="AA243" s="83">
        <v>11.3</v>
      </c>
      <c r="AB243" s="74">
        <v>3.09</v>
      </c>
      <c r="AC243" s="477">
        <v>0</v>
      </c>
      <c r="AD243" s="110" t="s">
        <v>2213</v>
      </c>
      <c r="AE243" s="30" t="s">
        <v>2193</v>
      </c>
      <c r="AF243" s="479">
        <v>2.46</v>
      </c>
      <c r="AG243" s="480">
        <v>1.75</v>
      </c>
      <c r="AH243" s="449">
        <v>0.70599999999999996</v>
      </c>
      <c r="AI243" s="330">
        <f>(Z243-AF243)/Z243</f>
        <v>0.82916666666666672</v>
      </c>
    </row>
    <row r="244" spans="1:35" s="389" customFormat="1" ht="14.25" customHeight="1" outlineLevel="1">
      <c r="A244" s="434" t="s">
        <v>2214</v>
      </c>
      <c r="B244" s="61" t="s">
        <v>2215</v>
      </c>
      <c r="C244" s="61" t="s">
        <v>2216</v>
      </c>
      <c r="D244" s="62" t="s">
        <v>2190</v>
      </c>
      <c r="E244" s="61" t="s">
        <v>2191</v>
      </c>
      <c r="F244" s="64">
        <v>34.299999999999997</v>
      </c>
      <c r="G244" s="64" t="s">
        <v>294</v>
      </c>
      <c r="H244" s="65">
        <v>8880</v>
      </c>
      <c r="I244" s="66">
        <v>5600</v>
      </c>
      <c r="J244" s="106">
        <v>3280</v>
      </c>
      <c r="K244" s="67">
        <v>26.9</v>
      </c>
      <c r="L244" s="108">
        <v>26.7</v>
      </c>
      <c r="M244" s="108">
        <v>17.3</v>
      </c>
      <c r="N244" s="108">
        <v>9.4</v>
      </c>
      <c r="O244" s="108">
        <v>0.21299999999999999</v>
      </c>
      <c r="P244" s="67">
        <v>1.37</v>
      </c>
      <c r="Q244" s="108">
        <v>1.36</v>
      </c>
      <c r="R244" s="108">
        <v>1.36</v>
      </c>
      <c r="S244" s="108">
        <v>1.6900000000000001E-3</v>
      </c>
      <c r="T244" s="108">
        <v>1.14E-2</v>
      </c>
      <c r="U244" s="67">
        <v>25.5</v>
      </c>
      <c r="V244" s="108">
        <v>25.3</v>
      </c>
      <c r="W244" s="108">
        <v>15.9</v>
      </c>
      <c r="X244" s="108">
        <v>9.4</v>
      </c>
      <c r="Y244" s="108">
        <v>0.20200000000000001</v>
      </c>
      <c r="Z244" s="70">
        <v>6.96</v>
      </c>
      <c r="AA244" s="71">
        <v>3.87</v>
      </c>
      <c r="AB244" s="107">
        <v>3.09</v>
      </c>
      <c r="AC244" s="417">
        <v>0</v>
      </c>
      <c r="AD244" s="418" t="s">
        <v>2217</v>
      </c>
      <c r="AE244" s="61" t="s">
        <v>2193</v>
      </c>
      <c r="AF244" s="14"/>
      <c r="AG244" s="14"/>
      <c r="AH244" s="14"/>
      <c r="AI244" s="330"/>
    </row>
    <row r="245" spans="1:35" s="364" customFormat="1" ht="14.25" customHeight="1">
      <c r="A245" s="387" t="s">
        <v>895</v>
      </c>
      <c r="B245" s="235" t="s">
        <v>2218</v>
      </c>
      <c r="C245" s="45" t="s">
        <v>2219</v>
      </c>
      <c r="D245" s="44" t="s">
        <v>2220</v>
      </c>
      <c r="E245" s="30" t="s">
        <v>2221</v>
      </c>
      <c r="F245" s="47">
        <v>30</v>
      </c>
      <c r="G245" s="47" t="s">
        <v>294</v>
      </c>
      <c r="H245" s="33">
        <v>10400</v>
      </c>
      <c r="I245" s="86">
        <v>7490</v>
      </c>
      <c r="J245" s="34">
        <v>2920</v>
      </c>
      <c r="K245" s="38">
        <v>31</v>
      </c>
      <c r="L245" s="366">
        <v>30.3</v>
      </c>
      <c r="M245" s="39">
        <v>21.7</v>
      </c>
      <c r="N245" s="39">
        <v>8.58</v>
      </c>
      <c r="O245" s="36">
        <v>0.69899999999999995</v>
      </c>
      <c r="P245" s="38">
        <v>0.82299999999999995</v>
      </c>
      <c r="Q245" s="366">
        <v>0.80600000000000005</v>
      </c>
      <c r="R245" s="36">
        <v>0.80600000000000005</v>
      </c>
      <c r="S245" s="36">
        <v>0</v>
      </c>
      <c r="T245" s="36">
        <v>1.72E-2</v>
      </c>
      <c r="U245" s="38">
        <v>30.1</v>
      </c>
      <c r="V245" s="366">
        <v>29.5</v>
      </c>
      <c r="W245" s="36">
        <v>20.9</v>
      </c>
      <c r="X245" s="36">
        <v>8.58</v>
      </c>
      <c r="Y245" s="36">
        <v>0.68200000000000005</v>
      </c>
      <c r="Z245" s="73">
        <v>7.44</v>
      </c>
      <c r="AA245" s="78">
        <v>4.79</v>
      </c>
      <c r="AB245" s="74">
        <v>2.65</v>
      </c>
      <c r="AC245" s="477">
        <v>0</v>
      </c>
      <c r="AD245" s="110" t="s">
        <v>2222</v>
      </c>
      <c r="AE245" s="30" t="s">
        <v>2223</v>
      </c>
      <c r="AF245" s="448">
        <v>2.76</v>
      </c>
      <c r="AG245" s="449">
        <v>1.89</v>
      </c>
      <c r="AH245" s="449">
        <v>0.872</v>
      </c>
      <c r="AI245" s="330">
        <f>(Z245-AF245)/Z245</f>
        <v>0.62903225806451613</v>
      </c>
    </row>
    <row r="246" spans="1:35" s="389" customFormat="1" ht="14.25" customHeight="1" outlineLevel="1">
      <c r="A246" s="434" t="s">
        <v>2224</v>
      </c>
      <c r="B246" s="61" t="s">
        <v>2225</v>
      </c>
      <c r="C246" s="61" t="s">
        <v>2226</v>
      </c>
      <c r="D246" s="62" t="s">
        <v>2220</v>
      </c>
      <c r="E246" s="61" t="s">
        <v>2221</v>
      </c>
      <c r="F246" s="64">
        <v>30</v>
      </c>
      <c r="G246" s="64" t="s">
        <v>294</v>
      </c>
      <c r="H246" s="65">
        <v>9830</v>
      </c>
      <c r="I246" s="66">
        <v>6910</v>
      </c>
      <c r="J246" s="106">
        <v>2920</v>
      </c>
      <c r="K246" s="67">
        <v>29</v>
      </c>
      <c r="L246" s="108">
        <v>28.3</v>
      </c>
      <c r="M246" s="108">
        <v>20.3</v>
      </c>
      <c r="N246" s="108">
        <v>7.98</v>
      </c>
      <c r="O246" s="108">
        <v>0.69899999999999995</v>
      </c>
      <c r="P246" s="67">
        <v>1.03</v>
      </c>
      <c r="Q246" s="108">
        <v>1.02</v>
      </c>
      <c r="R246" s="108">
        <v>0.97299999999999998</v>
      </c>
      <c r="S246" s="108">
        <v>4.3999999999999997E-2</v>
      </c>
      <c r="T246" s="108">
        <v>1.72E-2</v>
      </c>
      <c r="U246" s="67">
        <v>28</v>
      </c>
      <c r="V246" s="108">
        <v>27.3</v>
      </c>
      <c r="W246" s="108">
        <v>19.3</v>
      </c>
      <c r="X246" s="108">
        <v>7.94</v>
      </c>
      <c r="Y246" s="108">
        <v>0.68200000000000005</v>
      </c>
      <c r="Z246" s="70">
        <v>7.08</v>
      </c>
      <c r="AA246" s="71">
        <v>4.43</v>
      </c>
      <c r="AB246" s="107">
        <v>2.65</v>
      </c>
      <c r="AC246" s="417">
        <v>0</v>
      </c>
      <c r="AD246" s="418" t="s">
        <v>2227</v>
      </c>
      <c r="AE246" s="61" t="s">
        <v>2223</v>
      </c>
      <c r="AF246" s="14"/>
      <c r="AG246" s="14"/>
      <c r="AH246" s="14"/>
      <c r="AI246" s="330"/>
    </row>
    <row r="247" spans="1:35" s="364" customFormat="1" ht="14.25" customHeight="1">
      <c r="A247" s="387" t="s">
        <v>700</v>
      </c>
      <c r="B247" s="235" t="s">
        <v>2228</v>
      </c>
      <c r="C247" s="45" t="s">
        <v>2229</v>
      </c>
      <c r="D247" s="89" t="s">
        <v>1338</v>
      </c>
      <c r="E247" s="30" t="s">
        <v>1339</v>
      </c>
      <c r="F247" s="47" t="s">
        <v>2230</v>
      </c>
      <c r="G247" s="47" t="s">
        <v>294</v>
      </c>
      <c r="H247" s="33">
        <v>1760</v>
      </c>
      <c r="I247" s="86">
        <v>1710</v>
      </c>
      <c r="J247" s="49">
        <v>42.5</v>
      </c>
      <c r="K247" s="87">
        <v>7.04</v>
      </c>
      <c r="L247" s="366">
        <v>6.99</v>
      </c>
      <c r="M247" s="39">
        <v>6.99</v>
      </c>
      <c r="N247" s="39">
        <v>0</v>
      </c>
      <c r="O247" s="36">
        <v>5.4800000000000001E-2</v>
      </c>
      <c r="P247" s="87">
        <v>1.88</v>
      </c>
      <c r="Q247" s="366">
        <v>1.88</v>
      </c>
      <c r="R247" s="36">
        <v>1.88</v>
      </c>
      <c r="S247" s="36">
        <v>0</v>
      </c>
      <c r="T247" s="36">
        <v>2.16E-3</v>
      </c>
      <c r="U247" s="87">
        <v>5.16</v>
      </c>
      <c r="V247" s="366">
        <v>5.1100000000000003</v>
      </c>
      <c r="W247" s="36">
        <v>5.1100000000000003</v>
      </c>
      <c r="X247" s="36">
        <v>0</v>
      </c>
      <c r="Y247" s="36">
        <v>5.2600000000000001E-2</v>
      </c>
      <c r="Z247" s="73">
        <v>1.19</v>
      </c>
      <c r="AA247" s="78">
        <v>1.17</v>
      </c>
      <c r="AB247" s="52">
        <v>1.2699999999999999E-2</v>
      </c>
      <c r="AC247" s="408">
        <v>0</v>
      </c>
      <c r="AD247" s="110" t="s">
        <v>228</v>
      </c>
      <c r="AE247" s="30" t="s">
        <v>2138</v>
      </c>
      <c r="AF247" s="398">
        <v>1</v>
      </c>
      <c r="AG247" s="399">
        <v>0.997</v>
      </c>
      <c r="AH247" s="380">
        <v>3.48E-3</v>
      </c>
      <c r="AI247" s="330">
        <f>(Z247-AF247)/Z247</f>
        <v>0.15966386554621845</v>
      </c>
    </row>
    <row r="248" spans="1:35" s="389" customFormat="1" ht="14.25" customHeight="1" outlineLevel="1">
      <c r="A248" s="434" t="s">
        <v>2231</v>
      </c>
      <c r="B248" s="61" t="s">
        <v>2232</v>
      </c>
      <c r="C248" s="61" t="s">
        <v>2233</v>
      </c>
      <c r="D248" s="62" t="s">
        <v>1338</v>
      </c>
      <c r="E248" s="61" t="s">
        <v>1339</v>
      </c>
      <c r="F248" s="64">
        <v>120</v>
      </c>
      <c r="G248" s="64" t="s">
        <v>294</v>
      </c>
      <c r="H248" s="65">
        <v>1020</v>
      </c>
      <c r="I248" s="66">
        <v>979</v>
      </c>
      <c r="J248" s="106">
        <v>42.5</v>
      </c>
      <c r="K248" s="67">
        <v>3.35</v>
      </c>
      <c r="L248" s="108">
        <v>3.3</v>
      </c>
      <c r="M248" s="108">
        <v>3.3</v>
      </c>
      <c r="N248" s="108">
        <v>0</v>
      </c>
      <c r="O248" s="108">
        <v>5.4800000000000001E-2</v>
      </c>
      <c r="P248" s="67">
        <v>0.20499999999999999</v>
      </c>
      <c r="Q248" s="108">
        <v>0.20300000000000001</v>
      </c>
      <c r="R248" s="108">
        <v>0.20300000000000001</v>
      </c>
      <c r="S248" s="108">
        <v>0</v>
      </c>
      <c r="T248" s="108">
        <v>2.16E-3</v>
      </c>
      <c r="U248" s="67">
        <v>3.15</v>
      </c>
      <c r="V248" s="108">
        <v>3.1</v>
      </c>
      <c r="W248" s="108">
        <v>3.1</v>
      </c>
      <c r="X248" s="108">
        <v>0</v>
      </c>
      <c r="Y248" s="108">
        <v>5.2600000000000001E-2</v>
      </c>
      <c r="Z248" s="70">
        <v>0.70699999999999996</v>
      </c>
      <c r="AA248" s="71">
        <v>0.69399999999999995</v>
      </c>
      <c r="AB248" s="107">
        <v>1.2699999999999999E-2</v>
      </c>
      <c r="AC248" s="417">
        <v>0</v>
      </c>
      <c r="AD248" s="418" t="s">
        <v>2234</v>
      </c>
      <c r="AE248" s="61" t="s">
        <v>2138</v>
      </c>
      <c r="AF248" s="37"/>
      <c r="AG248" s="37"/>
      <c r="AH248" s="37"/>
      <c r="AI248" s="330"/>
    </row>
    <row r="249" spans="1:35" s="364" customFormat="1" ht="14.25" customHeight="1">
      <c r="A249" s="776" t="s">
        <v>2235</v>
      </c>
      <c r="B249" s="235" t="s">
        <v>2236</v>
      </c>
      <c r="C249" s="45" t="s">
        <v>2237</v>
      </c>
      <c r="D249" s="89" t="s">
        <v>1338</v>
      </c>
      <c r="E249" s="30" t="s">
        <v>1339</v>
      </c>
      <c r="F249" s="47" t="s">
        <v>2238</v>
      </c>
      <c r="G249" s="47" t="s">
        <v>294</v>
      </c>
      <c r="H249" s="33">
        <v>499</v>
      </c>
      <c r="I249" s="86">
        <v>457</v>
      </c>
      <c r="J249" s="49">
        <v>42.5</v>
      </c>
      <c r="K249" s="87">
        <v>2</v>
      </c>
      <c r="L249" s="366">
        <v>1.95</v>
      </c>
      <c r="M249" s="39">
        <v>1.95</v>
      </c>
      <c r="N249" s="39">
        <v>0</v>
      </c>
      <c r="O249" s="36">
        <v>5.4800000000000001E-2</v>
      </c>
      <c r="P249" s="87">
        <v>0.26200000000000001</v>
      </c>
      <c r="Q249" s="366">
        <v>0.26</v>
      </c>
      <c r="R249" s="36">
        <v>0.26</v>
      </c>
      <c r="S249" s="36">
        <v>0</v>
      </c>
      <c r="T249" s="36">
        <v>2.16E-3</v>
      </c>
      <c r="U249" s="87">
        <v>1.74</v>
      </c>
      <c r="V249" s="366">
        <v>1.69</v>
      </c>
      <c r="W249" s="36">
        <v>1.69</v>
      </c>
      <c r="X249" s="36">
        <v>0</v>
      </c>
      <c r="Y249" s="36">
        <v>5.2600000000000001E-2</v>
      </c>
      <c r="Z249" s="73">
        <v>0.16</v>
      </c>
      <c r="AA249" s="78">
        <v>0.14799999999999999</v>
      </c>
      <c r="AB249" s="52">
        <v>1.2699999999999999E-2</v>
      </c>
      <c r="AC249" s="408">
        <v>0</v>
      </c>
      <c r="AD249" s="110" t="s">
        <v>2239</v>
      </c>
      <c r="AE249" s="30" t="s">
        <v>2138</v>
      </c>
      <c r="AF249" s="398">
        <v>0.15</v>
      </c>
      <c r="AG249" s="399">
        <v>0.14799999999999999</v>
      </c>
      <c r="AH249" s="380">
        <v>2.8400000000000001E-3</v>
      </c>
      <c r="AI249" s="330">
        <f>(Z249-AF249)/Z249</f>
        <v>6.2500000000000056E-2</v>
      </c>
    </row>
    <row r="250" spans="1:35" s="364" customFormat="1" ht="14.25" customHeight="1" outlineLevel="1">
      <c r="A250" s="382" t="s">
        <v>2240</v>
      </c>
      <c r="B250" s="61" t="s">
        <v>2241</v>
      </c>
      <c r="C250" s="95" t="s">
        <v>2242</v>
      </c>
      <c r="D250" s="62" t="s">
        <v>1338</v>
      </c>
      <c r="E250" s="61" t="s">
        <v>1339</v>
      </c>
      <c r="F250" s="98" t="s">
        <v>2238</v>
      </c>
      <c r="G250" s="98" t="s">
        <v>294</v>
      </c>
      <c r="H250" s="65">
        <v>434</v>
      </c>
      <c r="I250" s="100">
        <v>392</v>
      </c>
      <c r="J250" s="106">
        <v>42.5</v>
      </c>
      <c r="K250" s="67">
        <v>1.8</v>
      </c>
      <c r="L250" s="383">
        <v>1.74</v>
      </c>
      <c r="M250" s="108">
        <v>1.74</v>
      </c>
      <c r="N250" s="108">
        <v>0</v>
      </c>
      <c r="O250" s="108">
        <v>5.4800000000000001E-2</v>
      </c>
      <c r="P250" s="67">
        <v>0.246</v>
      </c>
      <c r="Q250" s="383">
        <v>0.24299999999999999</v>
      </c>
      <c r="R250" s="108">
        <v>0.24299999999999999</v>
      </c>
      <c r="S250" s="108">
        <v>0</v>
      </c>
      <c r="T250" s="108">
        <v>2.16E-3</v>
      </c>
      <c r="U250" s="67">
        <v>1.55</v>
      </c>
      <c r="V250" s="383">
        <v>1.5</v>
      </c>
      <c r="W250" s="108">
        <v>1.5</v>
      </c>
      <c r="X250" s="108">
        <v>0</v>
      </c>
      <c r="Y250" s="108">
        <v>5.2600000000000001E-2</v>
      </c>
      <c r="Z250" s="70">
        <v>0.13200000000000001</v>
      </c>
      <c r="AA250" s="105">
        <v>0.12</v>
      </c>
      <c r="AB250" s="107">
        <v>1.2699999999999999E-2</v>
      </c>
      <c r="AC250" s="417">
        <v>0</v>
      </c>
      <c r="AD250" s="447" t="s">
        <v>2243</v>
      </c>
      <c r="AE250" s="61" t="s">
        <v>2138</v>
      </c>
      <c r="AF250" s="14"/>
      <c r="AG250" s="14"/>
      <c r="AH250" s="14"/>
      <c r="AI250" s="330"/>
    </row>
    <row r="251" spans="1:35" s="364" customFormat="1" ht="14.25" customHeight="1">
      <c r="A251" s="387" t="s">
        <v>814</v>
      </c>
      <c r="B251" s="235" t="s">
        <v>2244</v>
      </c>
      <c r="C251" s="45" t="s">
        <v>2245</v>
      </c>
      <c r="D251" s="89" t="s">
        <v>2164</v>
      </c>
      <c r="E251" s="30" t="s">
        <v>2165</v>
      </c>
      <c r="F251" s="47" t="s">
        <v>2246</v>
      </c>
      <c r="G251" s="47" t="s">
        <v>294</v>
      </c>
      <c r="H251" s="33">
        <v>1790</v>
      </c>
      <c r="I251" s="86">
        <v>1670</v>
      </c>
      <c r="J251" s="49">
        <v>116</v>
      </c>
      <c r="K251" s="87">
        <v>4.97</v>
      </c>
      <c r="L251" s="366">
        <v>4.83</v>
      </c>
      <c r="M251" s="39">
        <v>4.83</v>
      </c>
      <c r="N251" s="39">
        <v>0</v>
      </c>
      <c r="O251" s="36">
        <v>0.14299999999999999</v>
      </c>
      <c r="P251" s="87">
        <v>0.51100000000000001</v>
      </c>
      <c r="Q251" s="366">
        <v>0.5</v>
      </c>
      <c r="R251" s="36">
        <v>0.5</v>
      </c>
      <c r="S251" s="36">
        <v>0</v>
      </c>
      <c r="T251" s="36">
        <v>1.04E-2</v>
      </c>
      <c r="U251" s="87">
        <v>4.46</v>
      </c>
      <c r="V251" s="366">
        <v>4.32</v>
      </c>
      <c r="W251" s="36">
        <v>4.32</v>
      </c>
      <c r="X251" s="36">
        <v>0</v>
      </c>
      <c r="Y251" s="36">
        <v>0.13300000000000001</v>
      </c>
      <c r="Z251" s="73">
        <v>1.19</v>
      </c>
      <c r="AA251" s="78">
        <v>1.1299999999999999</v>
      </c>
      <c r="AB251" s="52">
        <v>5.9200000000000003E-2</v>
      </c>
      <c r="AC251" s="408">
        <v>0</v>
      </c>
      <c r="AD251" s="110" t="s">
        <v>812</v>
      </c>
      <c r="AE251" s="30" t="s">
        <v>2167</v>
      </c>
      <c r="AF251" s="448">
        <v>0.57299999999999995</v>
      </c>
      <c r="AG251" s="449">
        <v>0.56999999999999995</v>
      </c>
      <c r="AH251" s="326">
        <v>3.48E-3</v>
      </c>
      <c r="AI251" s="330">
        <f>(Z251-AF251)/Z251</f>
        <v>0.51848739495798324</v>
      </c>
    </row>
    <row r="252" spans="1:35" s="364" customFormat="1" ht="14.25" customHeight="1" outlineLevel="1">
      <c r="A252" s="476" t="s">
        <v>2247</v>
      </c>
      <c r="B252" s="61" t="s">
        <v>2248</v>
      </c>
      <c r="C252" s="95" t="s">
        <v>2249</v>
      </c>
      <c r="D252" s="62" t="s">
        <v>2164</v>
      </c>
      <c r="E252" s="61" t="s">
        <v>2165</v>
      </c>
      <c r="F252" s="98" t="s">
        <v>2246</v>
      </c>
      <c r="G252" s="98" t="s">
        <v>294</v>
      </c>
      <c r="H252" s="65">
        <v>1620</v>
      </c>
      <c r="I252" s="100">
        <v>1500</v>
      </c>
      <c r="J252" s="106">
        <v>116</v>
      </c>
      <c r="K252" s="67">
        <v>4.29</v>
      </c>
      <c r="L252" s="383">
        <v>4.1500000000000004</v>
      </c>
      <c r="M252" s="108">
        <v>4.1500000000000004</v>
      </c>
      <c r="N252" s="108">
        <v>0</v>
      </c>
      <c r="O252" s="108">
        <v>0.14299999999999999</v>
      </c>
      <c r="P252" s="67">
        <v>0.33900000000000002</v>
      </c>
      <c r="Q252" s="383">
        <v>0.32800000000000001</v>
      </c>
      <c r="R252" s="108">
        <v>0.32800000000000001</v>
      </c>
      <c r="S252" s="108">
        <v>0</v>
      </c>
      <c r="T252" s="108">
        <v>1.04E-2</v>
      </c>
      <c r="U252" s="67">
        <v>3.95</v>
      </c>
      <c r="V252" s="383">
        <v>3.82</v>
      </c>
      <c r="W252" s="108">
        <v>3.82</v>
      </c>
      <c r="X252" s="108">
        <v>0</v>
      </c>
      <c r="Y252" s="108">
        <v>0.13300000000000001</v>
      </c>
      <c r="Z252" s="70">
        <v>1.0900000000000001</v>
      </c>
      <c r="AA252" s="105">
        <v>1.03</v>
      </c>
      <c r="AB252" s="107">
        <v>5.9200000000000003E-2</v>
      </c>
      <c r="AC252" s="417">
        <v>0</v>
      </c>
      <c r="AD252" s="447" t="s">
        <v>2250</v>
      </c>
      <c r="AE252" s="61" t="s">
        <v>2167</v>
      </c>
      <c r="AF252" s="37"/>
      <c r="AG252" s="37"/>
      <c r="AH252" s="37"/>
      <c r="AI252" s="330"/>
    </row>
    <row r="253" spans="1:35" s="364" customFormat="1" ht="14.25" customHeight="1">
      <c r="A253" s="776" t="s">
        <v>2251</v>
      </c>
      <c r="B253" s="235" t="s">
        <v>2252</v>
      </c>
      <c r="C253" s="45" t="s">
        <v>2253</v>
      </c>
      <c r="D253" s="44" t="s">
        <v>2254</v>
      </c>
      <c r="E253" s="45" t="s">
        <v>2255</v>
      </c>
      <c r="F253" s="47">
        <v>215</v>
      </c>
      <c r="G253" s="47" t="s">
        <v>294</v>
      </c>
      <c r="H253" s="85">
        <v>586</v>
      </c>
      <c r="I253" s="86">
        <v>586</v>
      </c>
      <c r="J253" s="76">
        <v>0</v>
      </c>
      <c r="K253" s="82">
        <v>5.0999999999999996</v>
      </c>
      <c r="L253" s="366">
        <v>5.0999999999999996</v>
      </c>
      <c r="M253" s="39">
        <v>0.32400000000000001</v>
      </c>
      <c r="N253" s="36">
        <v>4.78</v>
      </c>
      <c r="O253" s="366">
        <v>0</v>
      </c>
      <c r="P253" s="82">
        <v>4.87</v>
      </c>
      <c r="Q253" s="366">
        <v>4.87</v>
      </c>
      <c r="R253" s="36">
        <v>9.4899999999999998E-2</v>
      </c>
      <c r="S253" s="36">
        <v>4.78</v>
      </c>
      <c r="T253" s="36">
        <v>0</v>
      </c>
      <c r="U253" s="87">
        <v>0.22900000000000001</v>
      </c>
      <c r="V253" s="366">
        <v>0.22900000000000001</v>
      </c>
      <c r="W253" s="36">
        <v>0.22900000000000001</v>
      </c>
      <c r="X253" s="36">
        <v>0</v>
      </c>
      <c r="Y253" s="36">
        <v>0</v>
      </c>
      <c r="Z253" s="73">
        <v>9.5600000000000004E-2</v>
      </c>
      <c r="AA253" s="78">
        <v>9.5600000000000004E-2</v>
      </c>
      <c r="AB253" s="52">
        <v>0</v>
      </c>
      <c r="AC253" s="408">
        <v>0.36799999999999999</v>
      </c>
      <c r="AD253" s="397" t="s">
        <v>2256</v>
      </c>
      <c r="AE253" s="45" t="s">
        <v>2257</v>
      </c>
      <c r="AF253" s="398">
        <v>7.0000000000000007E-2</v>
      </c>
      <c r="AG253" s="399">
        <v>7.0000000000000007E-2</v>
      </c>
      <c r="AH253" s="380">
        <v>0</v>
      </c>
      <c r="AI253" s="330">
        <f>(Z253-AF253)/Z253</f>
        <v>0.26778242677824265</v>
      </c>
    </row>
    <row r="254" spans="1:35" s="364" customFormat="1" ht="14.25" customHeight="1">
      <c r="A254" s="387" t="s">
        <v>2258</v>
      </c>
      <c r="B254" s="235" t="s">
        <v>2259</v>
      </c>
      <c r="C254" s="45" t="s">
        <v>2260</v>
      </c>
      <c r="D254" s="44" t="s">
        <v>2261</v>
      </c>
      <c r="E254" s="30" t="s">
        <v>2262</v>
      </c>
      <c r="F254" s="90">
        <v>147.5</v>
      </c>
      <c r="G254" s="47" t="s">
        <v>294</v>
      </c>
      <c r="H254" s="55">
        <v>1400</v>
      </c>
      <c r="I254" s="75">
        <v>1170</v>
      </c>
      <c r="J254" s="49">
        <v>227</v>
      </c>
      <c r="K254" s="87">
        <v>10.5</v>
      </c>
      <c r="L254" s="366">
        <v>10.4</v>
      </c>
      <c r="M254" s="39">
        <v>4.66</v>
      </c>
      <c r="N254" s="39">
        <v>5.7</v>
      </c>
      <c r="O254" s="36">
        <v>0.16300000000000001</v>
      </c>
      <c r="P254" s="87">
        <v>7.11</v>
      </c>
      <c r="Q254" s="366">
        <v>7.09</v>
      </c>
      <c r="R254" s="36">
        <v>1.92</v>
      </c>
      <c r="S254" s="36">
        <v>5.17</v>
      </c>
      <c r="T254" s="36">
        <v>1.23E-2</v>
      </c>
      <c r="U254" s="87">
        <v>3.42</v>
      </c>
      <c r="V254" s="366">
        <v>3.27</v>
      </c>
      <c r="W254" s="36">
        <v>2.74</v>
      </c>
      <c r="X254" s="36">
        <v>0.53</v>
      </c>
      <c r="Y254" s="36">
        <v>0.151</v>
      </c>
      <c r="Z254" s="50">
        <v>0.72499999999999998</v>
      </c>
      <c r="AA254" s="79">
        <v>0.63300000000000001</v>
      </c>
      <c r="AB254" s="52">
        <v>9.2100000000000001E-2</v>
      </c>
      <c r="AC254" s="408">
        <v>0.436</v>
      </c>
      <c r="AD254" s="110" t="s">
        <v>2263</v>
      </c>
      <c r="AE254" s="30" t="s">
        <v>2264</v>
      </c>
      <c r="AF254" s="328">
        <v>0.27700000000000002</v>
      </c>
      <c r="AG254" s="329">
        <v>0.23899999999999999</v>
      </c>
      <c r="AH254" s="326">
        <v>3.7600000000000001E-2</v>
      </c>
      <c r="AI254" s="330">
        <f>(Z254-AF254)/Z254</f>
        <v>0.61793103448275855</v>
      </c>
    </row>
    <row r="255" spans="1:35" s="364" customFormat="1" ht="14.25" customHeight="1">
      <c r="A255" s="387" t="s">
        <v>857</v>
      </c>
      <c r="B255" s="235" t="s">
        <v>2265</v>
      </c>
      <c r="C255" s="45" t="s">
        <v>2266</v>
      </c>
      <c r="D255" s="44" t="s">
        <v>2267</v>
      </c>
      <c r="E255" s="30" t="s">
        <v>2268</v>
      </c>
      <c r="F255" s="47" t="s">
        <v>2269</v>
      </c>
      <c r="G255" s="47" t="s">
        <v>294</v>
      </c>
      <c r="H255" s="55">
        <v>556</v>
      </c>
      <c r="I255" s="75">
        <v>395</v>
      </c>
      <c r="J255" s="49">
        <v>161</v>
      </c>
      <c r="K255" s="73">
        <v>1.31</v>
      </c>
      <c r="L255" s="366">
        <v>1.1299999999999999</v>
      </c>
      <c r="M255" s="39">
        <v>1.1299999999999999</v>
      </c>
      <c r="N255" s="36">
        <v>0</v>
      </c>
      <c r="O255" s="36">
        <v>0.17799999999999999</v>
      </c>
      <c r="P255" s="73">
        <v>0.25800000000000001</v>
      </c>
      <c r="Q255" s="366">
        <v>0.245</v>
      </c>
      <c r="R255" s="36">
        <v>0.245</v>
      </c>
      <c r="S255" s="36">
        <v>0</v>
      </c>
      <c r="T255" s="36">
        <v>1.34E-2</v>
      </c>
      <c r="U255" s="73">
        <v>1.05</v>
      </c>
      <c r="V255" s="366">
        <v>0.88200000000000001</v>
      </c>
      <c r="W255" s="36">
        <v>0.88200000000000001</v>
      </c>
      <c r="X255" s="36">
        <v>0</v>
      </c>
      <c r="Y255" s="36">
        <v>0.16500000000000001</v>
      </c>
      <c r="Z255" s="50">
        <v>0.28000000000000003</v>
      </c>
      <c r="AA255" s="79">
        <v>0.20899999999999999</v>
      </c>
      <c r="AB255" s="52">
        <v>7.0900000000000005E-2</v>
      </c>
      <c r="AC255" s="408">
        <v>0.40400000000000003</v>
      </c>
      <c r="AD255" s="110" t="s">
        <v>2270</v>
      </c>
      <c r="AE255" s="30" t="s">
        <v>2271</v>
      </c>
      <c r="AF255" s="379">
        <v>0.21199999999999999</v>
      </c>
      <c r="AG255" s="390">
        <v>0.18</v>
      </c>
      <c r="AH255" s="380">
        <v>3.1300000000000001E-2</v>
      </c>
      <c r="AI255" s="330">
        <f>(Z255-AF255)/Z255</f>
        <v>0.24285714285714294</v>
      </c>
    </row>
    <row r="256" spans="1:35" s="364" customFormat="1" ht="14.25" customHeight="1" outlineLevel="1">
      <c r="A256" s="476" t="s">
        <v>2272</v>
      </c>
      <c r="B256" s="61" t="s">
        <v>2273</v>
      </c>
      <c r="C256" s="95" t="s">
        <v>2274</v>
      </c>
      <c r="D256" s="96" t="s">
        <v>2267</v>
      </c>
      <c r="E256" s="61" t="s">
        <v>2268</v>
      </c>
      <c r="F256" s="98" t="s">
        <v>2269</v>
      </c>
      <c r="G256" s="98" t="s">
        <v>294</v>
      </c>
      <c r="H256" s="111">
        <v>470</v>
      </c>
      <c r="I256" s="109">
        <v>309</v>
      </c>
      <c r="J256" s="106">
        <v>161</v>
      </c>
      <c r="K256" s="70">
        <v>1.0900000000000001</v>
      </c>
      <c r="L256" s="383">
        <v>0.90900000000000003</v>
      </c>
      <c r="M256" s="108">
        <v>0.90900000000000003</v>
      </c>
      <c r="N256" s="108">
        <v>0</v>
      </c>
      <c r="O256" s="108">
        <v>0.17799999999999999</v>
      </c>
      <c r="P256" s="70">
        <v>0.23899999999999999</v>
      </c>
      <c r="Q256" s="383">
        <v>0.22600000000000001</v>
      </c>
      <c r="R256" s="108">
        <v>0.22600000000000001</v>
      </c>
      <c r="S256" s="108">
        <v>0</v>
      </c>
      <c r="T256" s="108">
        <v>1.34E-2</v>
      </c>
      <c r="U256" s="70">
        <v>0.84799999999999998</v>
      </c>
      <c r="V256" s="383">
        <v>0.68300000000000005</v>
      </c>
      <c r="W256" s="108">
        <v>0.68300000000000005</v>
      </c>
      <c r="X256" s="108">
        <v>0</v>
      </c>
      <c r="Y256" s="108">
        <v>0.16500000000000001</v>
      </c>
      <c r="Z256" s="112">
        <v>0.23300000000000001</v>
      </c>
      <c r="AA256" s="103">
        <v>0.16300000000000001</v>
      </c>
      <c r="AB256" s="107">
        <v>7.0900000000000005E-2</v>
      </c>
      <c r="AC256" s="417">
        <v>0.40400000000000003</v>
      </c>
      <c r="AD256" s="447" t="s">
        <v>2275</v>
      </c>
      <c r="AE256" s="61" t="s">
        <v>2271</v>
      </c>
      <c r="AI256" s="330"/>
    </row>
    <row r="257" spans="1:35" s="364" customFormat="1" ht="14.25" customHeight="1">
      <c r="A257" s="357" t="s">
        <v>2276</v>
      </c>
      <c r="B257" s="807"/>
      <c r="C257" s="41" t="s">
        <v>2277</v>
      </c>
      <c r="D257" s="40"/>
      <c r="E257" s="41"/>
      <c r="F257" s="42" t="s">
        <v>1561</v>
      </c>
      <c r="G257" s="43"/>
      <c r="H257" s="358"/>
      <c r="I257" s="358"/>
      <c r="J257" s="423"/>
      <c r="K257" s="395"/>
      <c r="L257" s="394"/>
      <c r="M257" s="373"/>
      <c r="N257" s="373"/>
      <c r="O257" s="394"/>
      <c r="P257" s="394"/>
      <c r="Q257" s="394"/>
      <c r="R257" s="373"/>
      <c r="S257" s="373"/>
      <c r="T257" s="394"/>
      <c r="U257" s="395"/>
      <c r="V257" s="394"/>
      <c r="W257" s="373"/>
      <c r="X257" s="373"/>
      <c r="Y257" s="395"/>
      <c r="Z257" s="393"/>
      <c r="AA257" s="386"/>
      <c r="AB257" s="393"/>
      <c r="AC257" s="393"/>
      <c r="AD257" s="363" t="s">
        <v>2278</v>
      </c>
      <c r="AE257" s="41"/>
      <c r="AI257" s="330"/>
    </row>
    <row r="258" spans="1:35" s="364" customFormat="1" ht="14.25" customHeight="1">
      <c r="A258" s="481" t="s">
        <v>2279</v>
      </c>
      <c r="B258" s="235" t="s">
        <v>2280</v>
      </c>
      <c r="C258" s="45" t="s">
        <v>2281</v>
      </c>
      <c r="D258" s="482" t="s">
        <v>2282</v>
      </c>
      <c r="E258" s="30" t="s">
        <v>2283</v>
      </c>
      <c r="F258" s="47">
        <v>4.55</v>
      </c>
      <c r="G258" s="47" t="s">
        <v>1141</v>
      </c>
      <c r="H258" s="33">
        <v>41700</v>
      </c>
      <c r="I258" s="86">
        <v>33500</v>
      </c>
      <c r="J258" s="34">
        <v>8240</v>
      </c>
      <c r="K258" s="38">
        <v>66.599999999999994</v>
      </c>
      <c r="L258" s="366">
        <v>64.3</v>
      </c>
      <c r="M258" s="39">
        <v>55.1</v>
      </c>
      <c r="N258" s="36">
        <v>9.1199999999999992</v>
      </c>
      <c r="O258" s="36">
        <v>2.34</v>
      </c>
      <c r="P258" s="38">
        <v>1.52</v>
      </c>
      <c r="Q258" s="366">
        <v>1.44</v>
      </c>
      <c r="R258" s="36">
        <v>1.44</v>
      </c>
      <c r="S258" s="36">
        <v>0</v>
      </c>
      <c r="T258" s="36">
        <v>7.9899999999999999E-2</v>
      </c>
      <c r="U258" s="38">
        <v>65.099999999999994</v>
      </c>
      <c r="V258" s="366">
        <v>62.8</v>
      </c>
      <c r="W258" s="36">
        <v>53.7</v>
      </c>
      <c r="X258" s="36">
        <v>9.1199999999999992</v>
      </c>
      <c r="Y258" s="36">
        <v>2.2599999999999998</v>
      </c>
      <c r="Z258" s="73">
        <v>18.399999999999999</v>
      </c>
      <c r="AA258" s="78">
        <v>11.1</v>
      </c>
      <c r="AB258" s="74">
        <v>7.24</v>
      </c>
      <c r="AC258" s="367">
        <v>0</v>
      </c>
      <c r="AD258" s="110" t="s">
        <v>2284</v>
      </c>
      <c r="AE258" s="30" t="s">
        <v>2285</v>
      </c>
      <c r="AF258" s="398">
        <v>12.4</v>
      </c>
      <c r="AG258" s="399">
        <v>10.4</v>
      </c>
      <c r="AH258" s="399">
        <v>1.95</v>
      </c>
      <c r="AI258" s="330">
        <f t="shared" ref="AI258:AI272" si="4">(Z258-AF258)/Z258</f>
        <v>0.32608695652173908</v>
      </c>
    </row>
    <row r="259" spans="1:35" s="364" customFormat="1" ht="14.25" customHeight="1">
      <c r="A259" s="481" t="s">
        <v>2286</v>
      </c>
      <c r="B259" s="235" t="s">
        <v>2287</v>
      </c>
      <c r="C259" s="45" t="s">
        <v>2288</v>
      </c>
      <c r="D259" s="45" t="s">
        <v>2289</v>
      </c>
      <c r="E259" s="30" t="s">
        <v>2290</v>
      </c>
      <c r="F259" s="47">
        <v>3.6</v>
      </c>
      <c r="G259" s="47" t="s">
        <v>1141</v>
      </c>
      <c r="H259" s="33">
        <v>25800</v>
      </c>
      <c r="I259" s="86">
        <v>21300</v>
      </c>
      <c r="J259" s="34">
        <v>4540</v>
      </c>
      <c r="K259" s="38">
        <v>64</v>
      </c>
      <c r="L259" s="366">
        <v>62.5</v>
      </c>
      <c r="M259" s="39">
        <v>60.2</v>
      </c>
      <c r="N259" s="36">
        <v>2.31</v>
      </c>
      <c r="O259" s="36">
        <v>1.51</v>
      </c>
      <c r="P259" s="38">
        <v>2.0499999999999998</v>
      </c>
      <c r="Q259" s="366">
        <v>1.99</v>
      </c>
      <c r="R259" s="36">
        <v>1.99</v>
      </c>
      <c r="S259" s="36">
        <v>0</v>
      </c>
      <c r="T259" s="36">
        <v>0.06</v>
      </c>
      <c r="U259" s="38">
        <v>62</v>
      </c>
      <c r="V259" s="366">
        <v>60.5</v>
      </c>
      <c r="W259" s="36">
        <v>58.2</v>
      </c>
      <c r="X259" s="36">
        <v>2.31</v>
      </c>
      <c r="Y259" s="36">
        <v>1.45</v>
      </c>
      <c r="Z259" s="73">
        <v>13.9</v>
      </c>
      <c r="AA259" s="78">
        <v>10</v>
      </c>
      <c r="AB259" s="74">
        <v>3.87</v>
      </c>
      <c r="AC259" s="367">
        <v>0</v>
      </c>
      <c r="AD259" s="110" t="s">
        <v>2291</v>
      </c>
      <c r="AE259" s="30" t="s">
        <v>2292</v>
      </c>
      <c r="AF259" s="398">
        <v>7.63</v>
      </c>
      <c r="AG259" s="399">
        <v>5.96</v>
      </c>
      <c r="AH259" s="399">
        <v>1.66</v>
      </c>
      <c r="AI259" s="330">
        <f t="shared" si="4"/>
        <v>0.45107913669064753</v>
      </c>
    </row>
    <row r="260" spans="1:35" s="364" customFormat="1" ht="14.25" customHeight="1">
      <c r="A260" s="481" t="s">
        <v>2293</v>
      </c>
      <c r="B260" s="235" t="s">
        <v>2294</v>
      </c>
      <c r="C260" s="45" t="s">
        <v>2295</v>
      </c>
      <c r="D260" s="45" t="s">
        <v>2296</v>
      </c>
      <c r="E260" s="30" t="s">
        <v>2297</v>
      </c>
      <c r="F260" s="47">
        <v>8.25</v>
      </c>
      <c r="G260" s="47" t="s">
        <v>1141</v>
      </c>
      <c r="H260" s="33">
        <v>38800</v>
      </c>
      <c r="I260" s="86">
        <v>25400</v>
      </c>
      <c r="J260" s="34">
        <v>13400</v>
      </c>
      <c r="K260" s="38">
        <v>115</v>
      </c>
      <c r="L260" s="366">
        <v>112</v>
      </c>
      <c r="M260" s="39">
        <v>94.1</v>
      </c>
      <c r="N260" s="36">
        <v>18.100000000000001</v>
      </c>
      <c r="O260" s="36">
        <v>2.87</v>
      </c>
      <c r="P260" s="38">
        <v>2.5299999999999998</v>
      </c>
      <c r="Q260" s="366">
        <v>2.39</v>
      </c>
      <c r="R260" s="36">
        <v>2.39</v>
      </c>
      <c r="S260" s="36">
        <v>0</v>
      </c>
      <c r="T260" s="36">
        <v>0.13700000000000001</v>
      </c>
      <c r="U260" s="38">
        <v>113</v>
      </c>
      <c r="V260" s="366">
        <v>110</v>
      </c>
      <c r="W260" s="36">
        <v>91.7</v>
      </c>
      <c r="X260" s="36">
        <v>18.100000000000001</v>
      </c>
      <c r="Y260" s="36">
        <v>2.73</v>
      </c>
      <c r="Z260" s="87">
        <v>26.8</v>
      </c>
      <c r="AA260" s="83">
        <v>14.9</v>
      </c>
      <c r="AB260" s="88">
        <v>11.9</v>
      </c>
      <c r="AC260" s="367">
        <v>0</v>
      </c>
      <c r="AD260" s="110" t="s">
        <v>2298</v>
      </c>
      <c r="AE260" s="30" t="s">
        <v>2299</v>
      </c>
      <c r="AF260" s="438">
        <v>19.2</v>
      </c>
      <c r="AG260" s="433">
        <v>10.4</v>
      </c>
      <c r="AH260" s="433">
        <v>8.8800000000000008</v>
      </c>
      <c r="AI260" s="330">
        <f t="shared" si="4"/>
        <v>0.28358208955223885</v>
      </c>
    </row>
    <row r="261" spans="1:35" s="364" customFormat="1" ht="14.25" customHeight="1">
      <c r="A261" s="481" t="s">
        <v>2300</v>
      </c>
      <c r="B261" s="235" t="s">
        <v>2301</v>
      </c>
      <c r="C261" s="45" t="s">
        <v>2302</v>
      </c>
      <c r="D261" s="45" t="s">
        <v>2303</v>
      </c>
      <c r="E261" s="30" t="s">
        <v>2304</v>
      </c>
      <c r="F261" s="47">
        <v>63.3</v>
      </c>
      <c r="G261" s="47" t="s">
        <v>1141</v>
      </c>
      <c r="H261" s="33">
        <v>33700</v>
      </c>
      <c r="I261" s="86">
        <v>24600</v>
      </c>
      <c r="J261" s="34">
        <v>9070</v>
      </c>
      <c r="K261" s="38">
        <v>129</v>
      </c>
      <c r="L261" s="366">
        <v>124</v>
      </c>
      <c r="M261" s="39">
        <v>65.3</v>
      </c>
      <c r="N261" s="36">
        <v>58.2</v>
      </c>
      <c r="O261" s="36">
        <v>5.56</v>
      </c>
      <c r="P261" s="38">
        <v>3.39</v>
      </c>
      <c r="Q261" s="366">
        <v>3.24</v>
      </c>
      <c r="R261" s="36">
        <v>3.24</v>
      </c>
      <c r="S261" s="36">
        <v>0</v>
      </c>
      <c r="T261" s="36">
        <v>0.152</v>
      </c>
      <c r="U261" s="38">
        <v>126</v>
      </c>
      <c r="V261" s="366">
        <v>120</v>
      </c>
      <c r="W261" s="36">
        <v>62.1</v>
      </c>
      <c r="X261" s="36">
        <v>58.2</v>
      </c>
      <c r="Y261" s="36">
        <v>5.4</v>
      </c>
      <c r="Z261" s="73">
        <v>15.9</v>
      </c>
      <c r="AA261" s="78">
        <v>14.7</v>
      </c>
      <c r="AB261" s="74">
        <v>1.22</v>
      </c>
      <c r="AC261" s="367">
        <v>0</v>
      </c>
      <c r="AD261" s="110" t="s">
        <v>2305</v>
      </c>
      <c r="AE261" s="30" t="s">
        <v>2306</v>
      </c>
      <c r="AF261" s="398">
        <v>12.6</v>
      </c>
      <c r="AG261" s="399">
        <v>11.9</v>
      </c>
      <c r="AH261" s="399">
        <v>0.7</v>
      </c>
      <c r="AI261" s="330">
        <f t="shared" si="4"/>
        <v>0.20754716981132079</v>
      </c>
    </row>
    <row r="262" spans="1:35" s="364" customFormat="1" ht="14.25" customHeight="1">
      <c r="A262" s="481" t="s">
        <v>947</v>
      </c>
      <c r="B262" s="235" t="s">
        <v>2307</v>
      </c>
      <c r="C262" s="45" t="s">
        <v>2308</v>
      </c>
      <c r="D262" s="45" t="s">
        <v>2309</v>
      </c>
      <c r="E262" s="30" t="s">
        <v>2310</v>
      </c>
      <c r="F262" s="47">
        <v>57.8</v>
      </c>
      <c r="G262" s="47" t="s">
        <v>1141</v>
      </c>
      <c r="H262" s="33">
        <v>26500</v>
      </c>
      <c r="I262" s="86">
        <v>24100</v>
      </c>
      <c r="J262" s="34">
        <v>2460</v>
      </c>
      <c r="K262" s="38">
        <v>48.8</v>
      </c>
      <c r="L262" s="366">
        <v>45.7</v>
      </c>
      <c r="M262" s="39">
        <v>45.7</v>
      </c>
      <c r="N262" s="36">
        <v>0</v>
      </c>
      <c r="O262" s="36">
        <v>3.17</v>
      </c>
      <c r="P262" s="38">
        <v>2.2599999999999998</v>
      </c>
      <c r="Q262" s="366">
        <v>2.13</v>
      </c>
      <c r="R262" s="36">
        <v>2.13</v>
      </c>
      <c r="S262" s="36">
        <v>0</v>
      </c>
      <c r="T262" s="36">
        <v>0.125</v>
      </c>
      <c r="U262" s="38">
        <v>46.6</v>
      </c>
      <c r="V262" s="366">
        <v>43.5</v>
      </c>
      <c r="W262" s="36">
        <v>43.5</v>
      </c>
      <c r="X262" s="36">
        <v>0</v>
      </c>
      <c r="Y262" s="36">
        <v>3.04</v>
      </c>
      <c r="Z262" s="87">
        <v>16.399999999999999</v>
      </c>
      <c r="AA262" s="83">
        <v>15.7</v>
      </c>
      <c r="AB262" s="52">
        <v>0.73299999999999998</v>
      </c>
      <c r="AC262" s="367">
        <v>0</v>
      </c>
      <c r="AD262" s="110" t="s">
        <v>310</v>
      </c>
      <c r="AE262" s="30" t="s">
        <v>2311</v>
      </c>
      <c r="AF262" s="438">
        <v>6.58</v>
      </c>
      <c r="AG262" s="433">
        <v>6.55</v>
      </c>
      <c r="AH262" s="380">
        <v>2.6700000000000002E-2</v>
      </c>
      <c r="AI262" s="330">
        <f t="shared" si="4"/>
        <v>0.59878048780487803</v>
      </c>
    </row>
    <row r="263" spans="1:35" s="364" customFormat="1" ht="14.25" customHeight="1">
      <c r="A263" s="481" t="s">
        <v>2312</v>
      </c>
      <c r="B263" s="235" t="s">
        <v>2313</v>
      </c>
      <c r="C263" s="45" t="s">
        <v>2314</v>
      </c>
      <c r="D263" s="45" t="s">
        <v>2315</v>
      </c>
      <c r="E263" s="30" t="s">
        <v>2316</v>
      </c>
      <c r="F263" s="47">
        <v>73.5</v>
      </c>
      <c r="G263" s="47" t="s">
        <v>1141</v>
      </c>
      <c r="H263" s="33">
        <v>27200</v>
      </c>
      <c r="I263" s="86">
        <v>24100</v>
      </c>
      <c r="J263" s="34">
        <v>3120</v>
      </c>
      <c r="K263" s="38">
        <v>44.1</v>
      </c>
      <c r="L263" s="366">
        <v>40</v>
      </c>
      <c r="M263" s="39">
        <v>40</v>
      </c>
      <c r="N263" s="36">
        <v>0</v>
      </c>
      <c r="O263" s="36">
        <v>4.0199999999999996</v>
      </c>
      <c r="P263" s="38">
        <v>2.2799999999999998</v>
      </c>
      <c r="Q263" s="366">
        <v>2.12</v>
      </c>
      <c r="R263" s="36">
        <v>2.12</v>
      </c>
      <c r="S263" s="36">
        <v>0</v>
      </c>
      <c r="T263" s="36">
        <v>0.159</v>
      </c>
      <c r="U263" s="38">
        <v>41.8</v>
      </c>
      <c r="V263" s="366">
        <v>37.9</v>
      </c>
      <c r="W263" s="36">
        <v>37.9</v>
      </c>
      <c r="X263" s="36">
        <v>0</v>
      </c>
      <c r="Y263" s="36">
        <v>3.87</v>
      </c>
      <c r="Z263" s="87">
        <v>16.399999999999999</v>
      </c>
      <c r="AA263" s="83">
        <v>15.4</v>
      </c>
      <c r="AB263" s="31">
        <v>0.93200000000000005</v>
      </c>
      <c r="AC263" s="367">
        <v>0</v>
      </c>
      <c r="AD263" s="110" t="s">
        <v>2317</v>
      </c>
      <c r="AE263" s="30" t="s">
        <v>2318</v>
      </c>
      <c r="AF263" s="438">
        <v>6.03</v>
      </c>
      <c r="AG263" s="433">
        <v>5.99</v>
      </c>
      <c r="AH263" s="390">
        <v>3.3700000000000001E-2</v>
      </c>
      <c r="AI263" s="330">
        <f t="shared" si="4"/>
        <v>0.6323170731707316</v>
      </c>
    </row>
    <row r="264" spans="1:35" s="364" customFormat="1" ht="14.25" customHeight="1">
      <c r="A264" s="481" t="s">
        <v>2319</v>
      </c>
      <c r="B264" s="235" t="s">
        <v>2320</v>
      </c>
      <c r="C264" s="45" t="s">
        <v>2321</v>
      </c>
      <c r="D264" s="45" t="s">
        <v>2322</v>
      </c>
      <c r="E264" s="30" t="s">
        <v>2323</v>
      </c>
      <c r="F264" s="47">
        <v>3.36</v>
      </c>
      <c r="G264" s="47" t="s">
        <v>1141</v>
      </c>
      <c r="H264" s="33">
        <v>24200</v>
      </c>
      <c r="I264" s="86">
        <v>20400</v>
      </c>
      <c r="J264" s="34">
        <v>3750</v>
      </c>
      <c r="K264" s="38">
        <v>70.5</v>
      </c>
      <c r="L264" s="366">
        <v>69.5</v>
      </c>
      <c r="M264" s="39">
        <v>62.2</v>
      </c>
      <c r="N264" s="36">
        <v>7.3</v>
      </c>
      <c r="O264" s="36">
        <v>0.99</v>
      </c>
      <c r="P264" s="38">
        <v>9.7899999999999991</v>
      </c>
      <c r="Q264" s="366">
        <v>9.7200000000000006</v>
      </c>
      <c r="R264" s="36">
        <v>9.7200000000000006</v>
      </c>
      <c r="S264" s="36">
        <v>0</v>
      </c>
      <c r="T264" s="36">
        <v>6.5100000000000005E-2</v>
      </c>
      <c r="U264" s="38">
        <v>60.8</v>
      </c>
      <c r="V264" s="366">
        <v>59.8</v>
      </c>
      <c r="W264" s="36">
        <v>52.5</v>
      </c>
      <c r="X264" s="36">
        <v>7.3</v>
      </c>
      <c r="Y264" s="36">
        <v>0.92400000000000004</v>
      </c>
      <c r="Z264" s="87">
        <v>14.1</v>
      </c>
      <c r="AA264" s="83">
        <v>11</v>
      </c>
      <c r="AB264" s="74">
        <v>3.19</v>
      </c>
      <c r="AC264" s="367">
        <v>0</v>
      </c>
      <c r="AD264" s="110" t="s">
        <v>2324</v>
      </c>
      <c r="AE264" s="30" t="s">
        <v>2325</v>
      </c>
      <c r="AF264" s="438">
        <v>11.9</v>
      </c>
      <c r="AG264" s="433">
        <v>7.19</v>
      </c>
      <c r="AH264" s="399">
        <v>4.72</v>
      </c>
      <c r="AI264" s="330">
        <f t="shared" si="4"/>
        <v>0.15602836879432619</v>
      </c>
    </row>
    <row r="265" spans="1:35" s="364" customFormat="1" ht="14.25" customHeight="1">
      <c r="A265" s="481" t="s">
        <v>965</v>
      </c>
      <c r="B265" s="235" t="s">
        <v>2326</v>
      </c>
      <c r="C265" s="45" t="s">
        <v>2327</v>
      </c>
      <c r="D265" s="45" t="s">
        <v>2328</v>
      </c>
      <c r="E265" s="30" t="s">
        <v>2329</v>
      </c>
      <c r="F265" s="47">
        <v>18</v>
      </c>
      <c r="G265" s="47" t="s">
        <v>1141</v>
      </c>
      <c r="H265" s="33">
        <v>86800</v>
      </c>
      <c r="I265" s="86">
        <v>73000</v>
      </c>
      <c r="J265" s="34">
        <v>13800</v>
      </c>
      <c r="K265" s="38">
        <v>87.5</v>
      </c>
      <c r="L265" s="366">
        <v>69.7</v>
      </c>
      <c r="M265" s="39">
        <v>69.7</v>
      </c>
      <c r="N265" s="39">
        <v>0</v>
      </c>
      <c r="O265" s="36">
        <v>17.7</v>
      </c>
      <c r="P265" s="38">
        <v>4.3899999999999997</v>
      </c>
      <c r="Q265" s="366">
        <v>3.69</v>
      </c>
      <c r="R265" s="36">
        <v>3.69</v>
      </c>
      <c r="S265" s="36">
        <v>0</v>
      </c>
      <c r="T265" s="36">
        <v>0.7</v>
      </c>
      <c r="U265" s="38">
        <v>83.1</v>
      </c>
      <c r="V265" s="366">
        <v>66</v>
      </c>
      <c r="W265" s="36">
        <v>66</v>
      </c>
      <c r="X265" s="36">
        <v>0</v>
      </c>
      <c r="Y265" s="36">
        <v>17</v>
      </c>
      <c r="Z265" s="87">
        <v>18.100000000000001</v>
      </c>
      <c r="AA265" s="83">
        <v>14</v>
      </c>
      <c r="AB265" s="31">
        <v>4.1100000000000003</v>
      </c>
      <c r="AC265" s="367">
        <v>0</v>
      </c>
      <c r="AD265" s="110" t="s">
        <v>308</v>
      </c>
      <c r="AE265" s="30" t="s">
        <v>2330</v>
      </c>
      <c r="AF265" s="438">
        <v>10.7</v>
      </c>
      <c r="AG265" s="433">
        <v>10.6</v>
      </c>
      <c r="AH265" s="390">
        <v>4.5900000000000003E-2</v>
      </c>
      <c r="AI265" s="330">
        <f t="shared" si="4"/>
        <v>0.40883977900552493</v>
      </c>
    </row>
    <row r="266" spans="1:35" s="364" customFormat="1" ht="14.25" customHeight="1">
      <c r="A266" s="481" t="s">
        <v>2331</v>
      </c>
      <c r="B266" s="235" t="s">
        <v>2332</v>
      </c>
      <c r="C266" s="45" t="s">
        <v>2333</v>
      </c>
      <c r="D266" s="45" t="s">
        <v>2334</v>
      </c>
      <c r="E266" s="30" t="s">
        <v>2335</v>
      </c>
      <c r="F266" s="47">
        <v>7.8</v>
      </c>
      <c r="G266" s="47" t="s">
        <v>1141</v>
      </c>
      <c r="H266" s="33">
        <v>15500</v>
      </c>
      <c r="I266" s="86">
        <v>13400</v>
      </c>
      <c r="J266" s="34">
        <v>2130</v>
      </c>
      <c r="K266" s="38">
        <v>84.3</v>
      </c>
      <c r="L266" s="366">
        <v>82.8</v>
      </c>
      <c r="M266" s="39">
        <v>45.8</v>
      </c>
      <c r="N266" s="36">
        <v>37</v>
      </c>
      <c r="O266" s="36">
        <v>1.46</v>
      </c>
      <c r="P266" s="38">
        <v>39.1</v>
      </c>
      <c r="Q266" s="366">
        <v>39</v>
      </c>
      <c r="R266" s="36">
        <v>7.73</v>
      </c>
      <c r="S266" s="36">
        <v>31.3</v>
      </c>
      <c r="T266" s="36">
        <v>9.8000000000000004E-2</v>
      </c>
      <c r="U266" s="38">
        <v>45.2</v>
      </c>
      <c r="V266" s="366">
        <v>43.8</v>
      </c>
      <c r="W266" s="36">
        <v>38.1</v>
      </c>
      <c r="X266" s="36">
        <v>5.72</v>
      </c>
      <c r="Y266" s="36">
        <v>1.36</v>
      </c>
      <c r="Z266" s="73">
        <v>9.06</v>
      </c>
      <c r="AA266" s="78">
        <v>7.77</v>
      </c>
      <c r="AB266" s="74">
        <v>1.3</v>
      </c>
      <c r="AC266" s="367">
        <v>2.73</v>
      </c>
      <c r="AD266" s="110" t="s">
        <v>2336</v>
      </c>
      <c r="AE266" s="30" t="s">
        <v>2337</v>
      </c>
      <c r="AF266" s="398">
        <v>6.15</v>
      </c>
      <c r="AG266" s="399">
        <v>5.42</v>
      </c>
      <c r="AH266" s="399">
        <v>0.72199999999999998</v>
      </c>
      <c r="AI266" s="330">
        <f t="shared" si="4"/>
        <v>0.32119205298013243</v>
      </c>
    </row>
    <row r="267" spans="1:35" s="364" customFormat="1" ht="14.25" customHeight="1">
      <c r="A267" s="481" t="s">
        <v>2338</v>
      </c>
      <c r="B267" s="235" t="s">
        <v>2339</v>
      </c>
      <c r="C267" s="45" t="s">
        <v>2340</v>
      </c>
      <c r="D267" s="45" t="s">
        <v>2341</v>
      </c>
      <c r="E267" s="30" t="s">
        <v>2342</v>
      </c>
      <c r="F267" s="47">
        <v>2.7</v>
      </c>
      <c r="G267" s="47" t="s">
        <v>1141</v>
      </c>
      <c r="H267" s="33">
        <v>11900</v>
      </c>
      <c r="I267" s="86">
        <v>7890</v>
      </c>
      <c r="J267" s="34">
        <v>4060</v>
      </c>
      <c r="K267" s="38">
        <v>43.1</v>
      </c>
      <c r="L267" s="366">
        <v>41.5</v>
      </c>
      <c r="M267" s="39">
        <v>31.5</v>
      </c>
      <c r="N267" s="36">
        <v>10.1</v>
      </c>
      <c r="O267" s="36">
        <v>1.52</v>
      </c>
      <c r="P267" s="38">
        <v>8.35</v>
      </c>
      <c r="Q267" s="366">
        <v>8.25</v>
      </c>
      <c r="R267" s="36">
        <v>2.56</v>
      </c>
      <c r="S267" s="36">
        <v>5.69</v>
      </c>
      <c r="T267" s="36">
        <v>9.5000000000000001E-2</v>
      </c>
      <c r="U267" s="38">
        <v>34.700000000000003</v>
      </c>
      <c r="V267" s="366">
        <v>33.299999999999997</v>
      </c>
      <c r="W267" s="36">
        <v>28.9</v>
      </c>
      <c r="X267" s="36">
        <v>4.37</v>
      </c>
      <c r="Y267" s="36">
        <v>1.43</v>
      </c>
      <c r="Z267" s="73">
        <v>8.2799999999999994</v>
      </c>
      <c r="AA267" s="78">
        <v>4.75</v>
      </c>
      <c r="AB267" s="74">
        <v>3.52</v>
      </c>
      <c r="AC267" s="367">
        <v>0.60399999999999998</v>
      </c>
      <c r="AD267" s="110" t="s">
        <v>2343</v>
      </c>
      <c r="AE267" s="30" t="s">
        <v>2344</v>
      </c>
      <c r="AF267" s="398">
        <v>3.28</v>
      </c>
      <c r="AG267" s="399">
        <v>2.2799999999999998</v>
      </c>
      <c r="AH267" s="399">
        <v>0.999</v>
      </c>
      <c r="AI267" s="330">
        <f t="shared" si="4"/>
        <v>0.60386473429951693</v>
      </c>
    </row>
    <row r="268" spans="1:35" s="364" customFormat="1" ht="14.25" customHeight="1">
      <c r="A268" s="481" t="s">
        <v>2345</v>
      </c>
      <c r="B268" s="235" t="s">
        <v>2346</v>
      </c>
      <c r="C268" s="45" t="s">
        <v>2347</v>
      </c>
      <c r="D268" s="30" t="s">
        <v>2334</v>
      </c>
      <c r="E268" s="30" t="s">
        <v>2335</v>
      </c>
      <c r="F268" s="47">
        <v>2.7</v>
      </c>
      <c r="G268" s="47" t="s">
        <v>1141</v>
      </c>
      <c r="H268" s="33">
        <v>5960</v>
      </c>
      <c r="I268" s="86">
        <v>3830</v>
      </c>
      <c r="J268" s="34">
        <v>2130</v>
      </c>
      <c r="K268" s="87">
        <v>24.4</v>
      </c>
      <c r="L268" s="366">
        <v>22.9</v>
      </c>
      <c r="M268" s="39">
        <v>15.5</v>
      </c>
      <c r="N268" s="36">
        <v>7.48</v>
      </c>
      <c r="O268" s="36">
        <v>1.46</v>
      </c>
      <c r="P268" s="87">
        <v>12.3</v>
      </c>
      <c r="Q268" s="366">
        <v>12.2</v>
      </c>
      <c r="R268" s="36">
        <v>4.72</v>
      </c>
      <c r="S268" s="36">
        <v>7.48</v>
      </c>
      <c r="T268" s="36">
        <v>9.8000000000000004E-2</v>
      </c>
      <c r="U268" s="87">
        <v>12.1</v>
      </c>
      <c r="V268" s="366">
        <v>10.7</v>
      </c>
      <c r="W268" s="36">
        <v>10.7</v>
      </c>
      <c r="X268" s="36">
        <v>0</v>
      </c>
      <c r="Y268" s="36">
        <v>1.36</v>
      </c>
      <c r="Z268" s="73">
        <v>3.26</v>
      </c>
      <c r="AA268" s="78">
        <v>1.96</v>
      </c>
      <c r="AB268" s="31">
        <v>1.3</v>
      </c>
      <c r="AC268" s="367">
        <v>0.92100000000000004</v>
      </c>
      <c r="AD268" s="110" t="s">
        <v>2348</v>
      </c>
      <c r="AE268" s="30" t="s">
        <v>2337</v>
      </c>
      <c r="AF268" s="398">
        <v>1.1200000000000001</v>
      </c>
      <c r="AG268" s="399">
        <v>0.84499999999999997</v>
      </c>
      <c r="AH268" s="390">
        <v>0.27700000000000002</v>
      </c>
      <c r="AI268" s="330">
        <f t="shared" si="4"/>
        <v>0.65644171779141103</v>
      </c>
    </row>
    <row r="269" spans="1:35" s="364" customFormat="1" ht="14.25" customHeight="1">
      <c r="A269" s="481" t="s">
        <v>2349</v>
      </c>
      <c r="B269" s="235" t="s">
        <v>2350</v>
      </c>
      <c r="C269" s="45" t="s">
        <v>2351</v>
      </c>
      <c r="D269" s="30" t="s">
        <v>2352</v>
      </c>
      <c r="E269" s="30" t="s">
        <v>2353</v>
      </c>
      <c r="F269" s="47">
        <v>21.5</v>
      </c>
      <c r="G269" s="47" t="s">
        <v>1141</v>
      </c>
      <c r="H269" s="33">
        <v>25700</v>
      </c>
      <c r="I269" s="86">
        <v>6100</v>
      </c>
      <c r="J269" s="34">
        <v>19600</v>
      </c>
      <c r="K269" s="87">
        <v>32.1</v>
      </c>
      <c r="L269" s="366">
        <v>6.79</v>
      </c>
      <c r="M269" s="39">
        <v>6.79</v>
      </c>
      <c r="N269" s="36">
        <v>0</v>
      </c>
      <c r="O269" s="36">
        <v>25.3</v>
      </c>
      <c r="P269" s="87">
        <v>1.75</v>
      </c>
      <c r="Q269" s="366">
        <v>0.749</v>
      </c>
      <c r="R269" s="36">
        <v>0.749</v>
      </c>
      <c r="S269" s="36">
        <v>0</v>
      </c>
      <c r="T269" s="36">
        <v>0.999</v>
      </c>
      <c r="U269" s="87">
        <v>30.4</v>
      </c>
      <c r="V269" s="366">
        <v>6.04</v>
      </c>
      <c r="W269" s="36">
        <v>6.04</v>
      </c>
      <c r="X269" s="36">
        <v>0</v>
      </c>
      <c r="Y269" s="36">
        <v>24.3</v>
      </c>
      <c r="Z269" s="73">
        <v>10.4</v>
      </c>
      <c r="AA269" s="78">
        <v>4.51</v>
      </c>
      <c r="AB269" s="31">
        <v>5.86</v>
      </c>
      <c r="AC269" s="367">
        <v>0</v>
      </c>
      <c r="AD269" s="110" t="s">
        <v>2354</v>
      </c>
      <c r="AE269" s="30" t="s">
        <v>2355</v>
      </c>
      <c r="AF269" s="398">
        <v>1.01</v>
      </c>
      <c r="AG269" s="399">
        <v>0.95299999999999996</v>
      </c>
      <c r="AH269" s="390">
        <v>5.4800000000000001E-2</v>
      </c>
      <c r="AI269" s="330">
        <f t="shared" si="4"/>
        <v>0.9028846153846154</v>
      </c>
    </row>
    <row r="270" spans="1:35" s="364" customFormat="1" ht="14.25" customHeight="1">
      <c r="A270" s="481" t="s">
        <v>2356</v>
      </c>
      <c r="B270" s="235" t="s">
        <v>2357</v>
      </c>
      <c r="C270" s="45" t="s">
        <v>2358</v>
      </c>
      <c r="D270" s="45" t="s">
        <v>2359</v>
      </c>
      <c r="E270" s="30" t="s">
        <v>2360</v>
      </c>
      <c r="F270" s="47">
        <v>8.5</v>
      </c>
      <c r="G270" s="47" t="s">
        <v>1141</v>
      </c>
      <c r="H270" s="33">
        <v>16600</v>
      </c>
      <c r="I270" s="86">
        <v>13600</v>
      </c>
      <c r="J270" s="34">
        <v>2970</v>
      </c>
      <c r="K270" s="38">
        <v>81</v>
      </c>
      <c r="L270" s="366">
        <v>79.400000000000006</v>
      </c>
      <c r="M270" s="39">
        <v>30.9</v>
      </c>
      <c r="N270" s="36">
        <v>48.5</v>
      </c>
      <c r="O270" s="36">
        <v>1.56</v>
      </c>
      <c r="P270" s="38">
        <v>38.200000000000003</v>
      </c>
      <c r="Q270" s="366">
        <v>38.1</v>
      </c>
      <c r="R270" s="36">
        <v>2.71</v>
      </c>
      <c r="S270" s="36">
        <v>35.4</v>
      </c>
      <c r="T270" s="36">
        <v>0.106</v>
      </c>
      <c r="U270" s="38">
        <v>42.7</v>
      </c>
      <c r="V270" s="366">
        <v>41.3</v>
      </c>
      <c r="W270" s="36">
        <v>28.2</v>
      </c>
      <c r="X270" s="36">
        <v>13.1</v>
      </c>
      <c r="Y270" s="36">
        <v>1.45</v>
      </c>
      <c r="Z270" s="73">
        <v>10.4</v>
      </c>
      <c r="AA270" s="78">
        <v>8.1</v>
      </c>
      <c r="AB270" s="52">
        <v>2.2999999999999998</v>
      </c>
      <c r="AC270" s="367">
        <v>2.42</v>
      </c>
      <c r="AD270" s="110" t="s">
        <v>2361</v>
      </c>
      <c r="AE270" s="30" t="s">
        <v>2362</v>
      </c>
      <c r="AF270" s="398">
        <v>6.89</v>
      </c>
      <c r="AG270" s="399">
        <v>6.82</v>
      </c>
      <c r="AH270" s="380">
        <v>6.8599999999999994E-2</v>
      </c>
      <c r="AI270" s="330">
        <f t="shared" si="4"/>
        <v>0.33750000000000008</v>
      </c>
    </row>
    <row r="271" spans="1:35" s="364" customFormat="1" ht="14.25" customHeight="1">
      <c r="A271" s="481" t="s">
        <v>956</v>
      </c>
      <c r="B271" s="235" t="s">
        <v>2363</v>
      </c>
      <c r="C271" s="45" t="s">
        <v>2364</v>
      </c>
      <c r="D271" s="45" t="s">
        <v>2365</v>
      </c>
      <c r="E271" s="30" t="s">
        <v>2366</v>
      </c>
      <c r="F271" s="47">
        <v>2.9</v>
      </c>
      <c r="G271" s="47" t="s">
        <v>1141</v>
      </c>
      <c r="H271" s="33">
        <v>15800</v>
      </c>
      <c r="I271" s="34">
        <v>15100</v>
      </c>
      <c r="J271" s="34">
        <v>728</v>
      </c>
      <c r="K271" s="38">
        <v>45.6</v>
      </c>
      <c r="L271" s="36">
        <v>45.1</v>
      </c>
      <c r="M271" s="39">
        <v>34.799999999999997</v>
      </c>
      <c r="N271" s="36">
        <v>10.3</v>
      </c>
      <c r="O271" s="36">
        <v>0.47199999999999998</v>
      </c>
      <c r="P271" s="38">
        <v>19.3</v>
      </c>
      <c r="Q271" s="36">
        <v>19.2</v>
      </c>
      <c r="R271" s="36">
        <v>8.9600000000000009</v>
      </c>
      <c r="S271" s="36">
        <v>10.3</v>
      </c>
      <c r="T271" s="36">
        <v>3.5400000000000001E-2</v>
      </c>
      <c r="U271" s="87">
        <v>26.3</v>
      </c>
      <c r="V271" s="36">
        <v>25.9</v>
      </c>
      <c r="W271" s="36">
        <v>25.9</v>
      </c>
      <c r="X271" s="36">
        <v>0</v>
      </c>
      <c r="Y271" s="36">
        <v>0.437</v>
      </c>
      <c r="Z271" s="73">
        <v>6.36</v>
      </c>
      <c r="AA271" s="74">
        <v>5.84</v>
      </c>
      <c r="AB271" s="31">
        <v>0.51600000000000001</v>
      </c>
      <c r="AC271" s="367">
        <v>0.78600000000000003</v>
      </c>
      <c r="AD271" s="110" t="s">
        <v>2367</v>
      </c>
      <c r="AE271" s="30" t="s">
        <v>2368</v>
      </c>
      <c r="AF271" s="448">
        <v>4.1900000000000004</v>
      </c>
      <c r="AG271" s="449">
        <v>4.0199999999999996</v>
      </c>
      <c r="AH271" s="329">
        <v>0.17299999999999999</v>
      </c>
      <c r="AI271" s="330">
        <f t="shared" si="4"/>
        <v>0.3411949685534591</v>
      </c>
    </row>
    <row r="272" spans="1:35" s="364" customFormat="1" ht="14.25" customHeight="1">
      <c r="A272" s="481" t="s">
        <v>2369</v>
      </c>
      <c r="B272" s="235" t="s">
        <v>2370</v>
      </c>
      <c r="C272" s="45" t="s">
        <v>2371</v>
      </c>
      <c r="D272" s="30" t="s">
        <v>2372</v>
      </c>
      <c r="E272" s="30" t="s">
        <v>2373</v>
      </c>
      <c r="F272" s="47">
        <v>40.5</v>
      </c>
      <c r="G272" s="47" t="s">
        <v>1141</v>
      </c>
      <c r="H272" s="33">
        <v>41800</v>
      </c>
      <c r="I272" s="86">
        <v>40100</v>
      </c>
      <c r="J272" s="34">
        <v>1720</v>
      </c>
      <c r="K272" s="38">
        <v>138</v>
      </c>
      <c r="L272" s="366">
        <v>135</v>
      </c>
      <c r="M272" s="39">
        <v>135</v>
      </c>
      <c r="N272" s="39">
        <v>0</v>
      </c>
      <c r="O272" s="36">
        <v>2.2200000000000002</v>
      </c>
      <c r="P272" s="38">
        <v>19.3</v>
      </c>
      <c r="Q272" s="366">
        <v>19.3</v>
      </c>
      <c r="R272" s="36">
        <v>19.3</v>
      </c>
      <c r="S272" s="36">
        <v>0</v>
      </c>
      <c r="T272" s="36">
        <v>8.7499999999999994E-2</v>
      </c>
      <c r="U272" s="38">
        <v>118</v>
      </c>
      <c r="V272" s="366">
        <v>116</v>
      </c>
      <c r="W272" s="36">
        <v>116</v>
      </c>
      <c r="X272" s="36">
        <v>0</v>
      </c>
      <c r="Y272" s="36">
        <v>2.13</v>
      </c>
      <c r="Z272" s="87">
        <v>16.8</v>
      </c>
      <c r="AA272" s="83">
        <v>16.3</v>
      </c>
      <c r="AB272" s="31">
        <v>0.51400000000000001</v>
      </c>
      <c r="AC272" s="367">
        <v>0</v>
      </c>
      <c r="AD272" s="110" t="s">
        <v>2374</v>
      </c>
      <c r="AE272" s="30" t="s">
        <v>2375</v>
      </c>
      <c r="AF272" s="438">
        <v>4.13</v>
      </c>
      <c r="AG272" s="433">
        <v>4.0199999999999996</v>
      </c>
      <c r="AH272" s="390">
        <v>0.10299999999999999</v>
      </c>
      <c r="AI272" s="330">
        <f t="shared" si="4"/>
        <v>0.75416666666666676</v>
      </c>
    </row>
    <row r="273" spans="1:35" s="364" customFormat="1" ht="14.25" customHeight="1" outlineLevel="1">
      <c r="A273" s="476" t="s">
        <v>2376</v>
      </c>
      <c r="B273" s="61" t="s">
        <v>2377</v>
      </c>
      <c r="C273" s="95" t="s">
        <v>2378</v>
      </c>
      <c r="D273" s="61" t="s">
        <v>2372</v>
      </c>
      <c r="E273" s="61" t="s">
        <v>2373</v>
      </c>
      <c r="F273" s="98">
        <v>40.5</v>
      </c>
      <c r="G273" s="98" t="s">
        <v>1141</v>
      </c>
      <c r="H273" s="111">
        <v>40600</v>
      </c>
      <c r="I273" s="109">
        <v>38900</v>
      </c>
      <c r="J273" s="106">
        <v>1720</v>
      </c>
      <c r="K273" s="70">
        <v>137</v>
      </c>
      <c r="L273" s="383">
        <v>135</v>
      </c>
      <c r="M273" s="108">
        <v>135</v>
      </c>
      <c r="N273" s="108">
        <v>0</v>
      </c>
      <c r="O273" s="108">
        <v>2.2200000000000002</v>
      </c>
      <c r="P273" s="70">
        <v>19.399999999999999</v>
      </c>
      <c r="Q273" s="383">
        <v>19.3</v>
      </c>
      <c r="R273" s="108">
        <v>19.3</v>
      </c>
      <c r="S273" s="108">
        <v>0</v>
      </c>
      <c r="T273" s="108">
        <v>8.7499999999999994E-2</v>
      </c>
      <c r="U273" s="70">
        <v>117</v>
      </c>
      <c r="V273" s="383">
        <v>115</v>
      </c>
      <c r="W273" s="108">
        <v>115</v>
      </c>
      <c r="X273" s="108">
        <v>0</v>
      </c>
      <c r="Y273" s="108">
        <v>2.13</v>
      </c>
      <c r="Z273" s="112">
        <v>16.600000000000001</v>
      </c>
      <c r="AA273" s="103">
        <v>16</v>
      </c>
      <c r="AB273" s="107">
        <v>0.51400000000000001</v>
      </c>
      <c r="AC273" s="417">
        <v>0</v>
      </c>
      <c r="AD273" s="447" t="s">
        <v>2379</v>
      </c>
      <c r="AE273" s="61" t="s">
        <v>2375</v>
      </c>
      <c r="AI273" s="330"/>
    </row>
    <row r="274" spans="1:35" s="364" customFormat="1" ht="14.25" customHeight="1" outlineLevel="1">
      <c r="A274" s="476" t="s">
        <v>2380</v>
      </c>
      <c r="B274" s="61" t="s">
        <v>2381</v>
      </c>
      <c r="C274" s="95" t="s">
        <v>2382</v>
      </c>
      <c r="D274" s="61" t="s">
        <v>2372</v>
      </c>
      <c r="E274" s="61" t="s">
        <v>2373</v>
      </c>
      <c r="F274" s="98">
        <v>40.5</v>
      </c>
      <c r="G274" s="98" t="s">
        <v>1141</v>
      </c>
      <c r="H274" s="111">
        <v>34700</v>
      </c>
      <c r="I274" s="109">
        <v>33000</v>
      </c>
      <c r="J274" s="106">
        <v>1720</v>
      </c>
      <c r="K274" s="70">
        <v>123</v>
      </c>
      <c r="L274" s="383">
        <v>120</v>
      </c>
      <c r="M274" s="108">
        <v>120</v>
      </c>
      <c r="N274" s="108">
        <v>0</v>
      </c>
      <c r="O274" s="108">
        <v>2.2200000000000002</v>
      </c>
      <c r="P274" s="70">
        <v>18.8</v>
      </c>
      <c r="Q274" s="383">
        <v>18.7</v>
      </c>
      <c r="R274" s="108">
        <v>18.7</v>
      </c>
      <c r="S274" s="108">
        <v>0</v>
      </c>
      <c r="T274" s="108">
        <v>8.7499999999999994E-2</v>
      </c>
      <c r="U274" s="70">
        <v>104</v>
      </c>
      <c r="V274" s="383">
        <v>102</v>
      </c>
      <c r="W274" s="108">
        <v>102</v>
      </c>
      <c r="X274" s="108">
        <v>0</v>
      </c>
      <c r="Y274" s="108">
        <v>2.13</v>
      </c>
      <c r="Z274" s="112">
        <v>13.3</v>
      </c>
      <c r="AA274" s="103">
        <v>12.8</v>
      </c>
      <c r="AB274" s="107">
        <v>0.51400000000000001</v>
      </c>
      <c r="AC274" s="417">
        <v>0</v>
      </c>
      <c r="AD274" s="447" t="s">
        <v>2383</v>
      </c>
      <c r="AE274" s="61" t="s">
        <v>2375</v>
      </c>
      <c r="AI274" s="330"/>
    </row>
    <row r="275" spans="1:35" s="364" customFormat="1" ht="14.25" customHeight="1" outlineLevel="1">
      <c r="A275" s="476" t="s">
        <v>2384</v>
      </c>
      <c r="B275" s="61" t="s">
        <v>2385</v>
      </c>
      <c r="C275" s="95" t="s">
        <v>2386</v>
      </c>
      <c r="D275" s="61" t="s">
        <v>2372</v>
      </c>
      <c r="E275" s="61" t="s">
        <v>2373</v>
      </c>
      <c r="F275" s="98">
        <v>40.5</v>
      </c>
      <c r="G275" s="98" t="s">
        <v>1141</v>
      </c>
      <c r="H275" s="111">
        <v>44400</v>
      </c>
      <c r="I275" s="109">
        <v>42700</v>
      </c>
      <c r="J275" s="106">
        <v>1720</v>
      </c>
      <c r="K275" s="70">
        <v>142</v>
      </c>
      <c r="L275" s="383">
        <v>140</v>
      </c>
      <c r="M275" s="108">
        <v>140</v>
      </c>
      <c r="N275" s="108">
        <v>0</v>
      </c>
      <c r="O275" s="108">
        <v>2.2200000000000002</v>
      </c>
      <c r="P275" s="70">
        <v>19.399999999999999</v>
      </c>
      <c r="Q275" s="383">
        <v>19.399999999999999</v>
      </c>
      <c r="R275" s="108">
        <v>19.399999999999999</v>
      </c>
      <c r="S275" s="108">
        <v>0</v>
      </c>
      <c r="T275" s="108">
        <v>8.7499999999999994E-2</v>
      </c>
      <c r="U275" s="70">
        <v>122</v>
      </c>
      <c r="V275" s="383">
        <v>120</v>
      </c>
      <c r="W275" s="108">
        <v>120</v>
      </c>
      <c r="X275" s="108">
        <v>0</v>
      </c>
      <c r="Y275" s="108">
        <v>2.13</v>
      </c>
      <c r="Z275" s="112">
        <v>17.899999999999999</v>
      </c>
      <c r="AA275" s="103">
        <v>17.399999999999999</v>
      </c>
      <c r="AB275" s="107">
        <v>0.51400000000000001</v>
      </c>
      <c r="AC275" s="417">
        <v>0</v>
      </c>
      <c r="AD275" s="447" t="s">
        <v>2387</v>
      </c>
      <c r="AE275" s="61" t="s">
        <v>2375</v>
      </c>
      <c r="AI275" s="330"/>
    </row>
    <row r="276" spans="1:35" s="364" customFormat="1" ht="14.25" customHeight="1" outlineLevel="1">
      <c r="A276" s="481" t="s">
        <v>2388</v>
      </c>
      <c r="B276" s="235" t="s">
        <v>2389</v>
      </c>
      <c r="C276" s="45" t="s">
        <v>2390</v>
      </c>
      <c r="D276" s="30" t="s">
        <v>2372</v>
      </c>
      <c r="E276" s="30" t="s">
        <v>2373</v>
      </c>
      <c r="F276" s="47">
        <v>40.5</v>
      </c>
      <c r="G276" s="47" t="s">
        <v>1141</v>
      </c>
      <c r="H276" s="33">
        <v>31900</v>
      </c>
      <c r="I276" s="86">
        <v>30200</v>
      </c>
      <c r="J276" s="34">
        <v>1720</v>
      </c>
      <c r="K276" s="38">
        <v>101</v>
      </c>
      <c r="L276" s="366">
        <v>98.6</v>
      </c>
      <c r="M276" s="39">
        <v>98.6</v>
      </c>
      <c r="N276" s="39">
        <v>0</v>
      </c>
      <c r="O276" s="36">
        <v>2.2200000000000002</v>
      </c>
      <c r="P276" s="38">
        <v>13.2</v>
      </c>
      <c r="Q276" s="366">
        <v>13.1</v>
      </c>
      <c r="R276" s="36">
        <v>13.1</v>
      </c>
      <c r="S276" s="36">
        <v>0</v>
      </c>
      <c r="T276" s="36">
        <v>8.7499999999999994E-2</v>
      </c>
      <c r="U276" s="38">
        <v>87.6</v>
      </c>
      <c r="V276" s="366">
        <v>85.5</v>
      </c>
      <c r="W276" s="36">
        <v>85.5</v>
      </c>
      <c r="X276" s="36">
        <v>0</v>
      </c>
      <c r="Y276" s="36">
        <v>2.13</v>
      </c>
      <c r="Z276" s="73">
        <v>13.4</v>
      </c>
      <c r="AA276" s="78">
        <v>12.9</v>
      </c>
      <c r="AB276" s="31">
        <v>0.51400000000000001</v>
      </c>
      <c r="AC276" s="367">
        <v>0</v>
      </c>
      <c r="AD276" s="110" t="s">
        <v>2391</v>
      </c>
      <c r="AE276" s="30" t="s">
        <v>2375</v>
      </c>
      <c r="AF276" s="398">
        <v>3.2</v>
      </c>
      <c r="AG276" s="399">
        <v>3.1</v>
      </c>
      <c r="AH276" s="390">
        <v>0.10299999999999999</v>
      </c>
      <c r="AI276" s="330">
        <f t="shared" ref="AI276:AI287" si="5">(Z276-AF276)/Z276</f>
        <v>0.76119402985074625</v>
      </c>
    </row>
    <row r="277" spans="1:35" s="364" customFormat="1" ht="14.25" customHeight="1" outlineLevel="1">
      <c r="A277" s="481" t="s">
        <v>2392</v>
      </c>
      <c r="B277" s="235" t="s">
        <v>2393</v>
      </c>
      <c r="C277" s="45" t="s">
        <v>2394</v>
      </c>
      <c r="D277" s="30" t="s">
        <v>2372</v>
      </c>
      <c r="E277" s="30" t="s">
        <v>2373</v>
      </c>
      <c r="F277" s="47">
        <v>40.5</v>
      </c>
      <c r="G277" s="47" t="s">
        <v>1141</v>
      </c>
      <c r="H277" s="33">
        <v>69600</v>
      </c>
      <c r="I277" s="86">
        <v>67900</v>
      </c>
      <c r="J277" s="34">
        <v>1720</v>
      </c>
      <c r="K277" s="38">
        <v>168</v>
      </c>
      <c r="L277" s="366">
        <v>166</v>
      </c>
      <c r="M277" s="39">
        <v>166</v>
      </c>
      <c r="N277" s="39">
        <v>0</v>
      </c>
      <c r="O277" s="36">
        <v>2.2200000000000002</v>
      </c>
      <c r="P277" s="38">
        <v>24.7</v>
      </c>
      <c r="Q277" s="366">
        <v>24.6</v>
      </c>
      <c r="R277" s="36">
        <v>24.6</v>
      </c>
      <c r="S277" s="36">
        <v>0</v>
      </c>
      <c r="T277" s="36">
        <v>8.7499999999999994E-2</v>
      </c>
      <c r="U277" s="38">
        <v>144</v>
      </c>
      <c r="V277" s="366">
        <v>142</v>
      </c>
      <c r="W277" s="36">
        <v>142</v>
      </c>
      <c r="X277" s="36">
        <v>0</v>
      </c>
      <c r="Y277" s="36">
        <v>2.13</v>
      </c>
      <c r="Z277" s="87">
        <v>19.600000000000001</v>
      </c>
      <c r="AA277" s="83">
        <v>19.100000000000001</v>
      </c>
      <c r="AB277" s="31">
        <v>0.51400000000000001</v>
      </c>
      <c r="AC277" s="367">
        <v>0</v>
      </c>
      <c r="AD277" s="110" t="s">
        <v>2395</v>
      </c>
      <c r="AE277" s="30" t="s">
        <v>2375</v>
      </c>
      <c r="AF277" s="438">
        <v>4.88</v>
      </c>
      <c r="AG277" s="433">
        <v>4.7699999999999996</v>
      </c>
      <c r="AH277" s="390">
        <v>0.10299999999999999</v>
      </c>
      <c r="AI277" s="330">
        <f t="shared" si="5"/>
        <v>0.75102040816326543</v>
      </c>
    </row>
    <row r="278" spans="1:35" s="364" customFormat="1" ht="14.25" customHeight="1">
      <c r="A278" s="481" t="s">
        <v>961</v>
      </c>
      <c r="B278" s="235" t="s">
        <v>2396</v>
      </c>
      <c r="C278" s="45" t="s">
        <v>2397</v>
      </c>
      <c r="D278" s="45" t="s">
        <v>2398</v>
      </c>
      <c r="E278" s="30" t="s">
        <v>2399</v>
      </c>
      <c r="F278" s="47">
        <v>6.1</v>
      </c>
      <c r="G278" s="47" t="s">
        <v>1141</v>
      </c>
      <c r="H278" s="33">
        <v>16100</v>
      </c>
      <c r="I278" s="86">
        <v>15600</v>
      </c>
      <c r="J278" s="34">
        <v>490</v>
      </c>
      <c r="K278" s="38">
        <v>130</v>
      </c>
      <c r="L278" s="366">
        <v>129</v>
      </c>
      <c r="M278" s="39">
        <v>98.8</v>
      </c>
      <c r="N278" s="36">
        <v>30.3</v>
      </c>
      <c r="O278" s="36">
        <v>0.6</v>
      </c>
      <c r="P278" s="38">
        <v>87.5</v>
      </c>
      <c r="Q278" s="366">
        <v>87.5</v>
      </c>
      <c r="R278" s="36">
        <v>58.3</v>
      </c>
      <c r="S278" s="36">
        <v>29.2</v>
      </c>
      <c r="T278" s="36">
        <v>3.6799999999999999E-2</v>
      </c>
      <c r="U278" s="38">
        <v>42.2</v>
      </c>
      <c r="V278" s="366">
        <v>41.7</v>
      </c>
      <c r="W278" s="36">
        <v>40.5</v>
      </c>
      <c r="X278" s="36">
        <v>1.18</v>
      </c>
      <c r="Y278" s="36">
        <v>0.56299999999999994</v>
      </c>
      <c r="Z278" s="87">
        <v>7.8</v>
      </c>
      <c r="AA278" s="78">
        <v>7.46</v>
      </c>
      <c r="AB278" s="74">
        <v>0.33700000000000002</v>
      </c>
      <c r="AC278" s="367">
        <v>2.69</v>
      </c>
      <c r="AD278" s="110" t="s">
        <v>307</v>
      </c>
      <c r="AE278" s="30" t="s">
        <v>2400</v>
      </c>
      <c r="AF278" s="438">
        <v>3.42</v>
      </c>
      <c r="AG278" s="399">
        <v>3.38</v>
      </c>
      <c r="AH278" s="399">
        <v>4.3900000000000002E-2</v>
      </c>
      <c r="AI278" s="330">
        <f t="shared" si="5"/>
        <v>0.56153846153846154</v>
      </c>
    </row>
    <row r="279" spans="1:35" s="364" customFormat="1" ht="14.25" customHeight="1">
      <c r="A279" s="481" t="s">
        <v>2401</v>
      </c>
      <c r="B279" s="235" t="s">
        <v>2402</v>
      </c>
      <c r="C279" s="45" t="s">
        <v>2403</v>
      </c>
      <c r="D279" s="45" t="s">
        <v>2404</v>
      </c>
      <c r="E279" s="30" t="s">
        <v>2405</v>
      </c>
      <c r="F279" s="47">
        <v>7.9</v>
      </c>
      <c r="G279" s="47" t="s">
        <v>1141</v>
      </c>
      <c r="H279" s="33">
        <v>18100</v>
      </c>
      <c r="I279" s="86">
        <v>17500</v>
      </c>
      <c r="J279" s="34">
        <v>635</v>
      </c>
      <c r="K279" s="38">
        <v>186</v>
      </c>
      <c r="L279" s="366">
        <v>185</v>
      </c>
      <c r="M279" s="39">
        <v>145</v>
      </c>
      <c r="N279" s="36">
        <v>39.5</v>
      </c>
      <c r="O279" s="36">
        <v>0.77700000000000002</v>
      </c>
      <c r="P279" s="38">
        <v>145</v>
      </c>
      <c r="Q279" s="366">
        <v>145</v>
      </c>
      <c r="R279" s="36">
        <v>106</v>
      </c>
      <c r="S279" s="36">
        <v>38.799999999999997</v>
      </c>
      <c r="T279" s="36">
        <v>4.7699999999999999E-2</v>
      </c>
      <c r="U279" s="38">
        <v>40.299999999999997</v>
      </c>
      <c r="V279" s="366">
        <v>39.6</v>
      </c>
      <c r="W279" s="36">
        <v>38.9</v>
      </c>
      <c r="X279" s="36">
        <v>0.68100000000000005</v>
      </c>
      <c r="Y279" s="36">
        <v>0.72899999999999998</v>
      </c>
      <c r="Z279" s="87">
        <v>8.09</v>
      </c>
      <c r="AA279" s="78">
        <v>7.65</v>
      </c>
      <c r="AB279" s="74">
        <v>0.437</v>
      </c>
      <c r="AC279" s="367">
        <v>3.54</v>
      </c>
      <c r="AD279" s="110" t="s">
        <v>2406</v>
      </c>
      <c r="AE279" s="30" t="s">
        <v>2407</v>
      </c>
      <c r="AF279" s="438">
        <v>3.54</v>
      </c>
      <c r="AG279" s="399">
        <v>3.48</v>
      </c>
      <c r="AH279" s="399">
        <v>5.9900000000000002E-2</v>
      </c>
      <c r="AI279" s="330">
        <f t="shared" si="5"/>
        <v>0.56242274412855375</v>
      </c>
    </row>
    <row r="280" spans="1:35" s="364" customFormat="1" ht="14.25" customHeight="1">
      <c r="A280" s="481" t="s">
        <v>2408</v>
      </c>
      <c r="B280" s="235" t="s">
        <v>2409</v>
      </c>
      <c r="C280" s="45" t="s">
        <v>2410</v>
      </c>
      <c r="D280" s="45" t="s">
        <v>2411</v>
      </c>
      <c r="E280" s="30" t="s">
        <v>2412</v>
      </c>
      <c r="F280" s="47">
        <v>5.6</v>
      </c>
      <c r="G280" s="47" t="s">
        <v>1141</v>
      </c>
      <c r="H280" s="33">
        <v>9010</v>
      </c>
      <c r="I280" s="86">
        <v>8660</v>
      </c>
      <c r="J280" s="34">
        <v>352</v>
      </c>
      <c r="K280" s="38">
        <v>113</v>
      </c>
      <c r="L280" s="366">
        <v>113</v>
      </c>
      <c r="M280" s="39">
        <v>87.9</v>
      </c>
      <c r="N280" s="36">
        <v>24.7</v>
      </c>
      <c r="O280" s="36">
        <v>0.53100000000000003</v>
      </c>
      <c r="P280" s="38">
        <v>89.9</v>
      </c>
      <c r="Q280" s="366">
        <v>89.9</v>
      </c>
      <c r="R280" s="36">
        <v>65.2</v>
      </c>
      <c r="S280" s="36">
        <v>24.7</v>
      </c>
      <c r="T280" s="36">
        <v>3.3599999999999998E-2</v>
      </c>
      <c r="U280" s="38">
        <v>23.2</v>
      </c>
      <c r="V280" s="366">
        <v>22.8</v>
      </c>
      <c r="W280" s="36">
        <v>22.8</v>
      </c>
      <c r="X280" s="36">
        <v>0</v>
      </c>
      <c r="Y280" s="36">
        <v>0.497</v>
      </c>
      <c r="Z280" s="87">
        <v>3.57</v>
      </c>
      <c r="AA280" s="78">
        <v>3.35</v>
      </c>
      <c r="AB280" s="74">
        <v>0.218</v>
      </c>
      <c r="AC280" s="367">
        <v>2.23</v>
      </c>
      <c r="AD280" s="110" t="s">
        <v>2413</v>
      </c>
      <c r="AE280" s="30" t="s">
        <v>2414</v>
      </c>
      <c r="AF280" s="438">
        <v>1.52</v>
      </c>
      <c r="AG280" s="399">
        <v>1.48</v>
      </c>
      <c r="AH280" s="399">
        <v>3.7199999999999997E-2</v>
      </c>
      <c r="AI280" s="330">
        <f t="shared" si="5"/>
        <v>0.57422969187675066</v>
      </c>
    </row>
    <row r="281" spans="1:35" s="364" customFormat="1" ht="14.25" customHeight="1">
      <c r="A281" s="481" t="s">
        <v>2415</v>
      </c>
      <c r="B281" s="235" t="s">
        <v>2416</v>
      </c>
      <c r="C281" s="45" t="s">
        <v>2417</v>
      </c>
      <c r="D281" s="45" t="s">
        <v>2418</v>
      </c>
      <c r="E281" s="30" t="s">
        <v>2419</v>
      </c>
      <c r="F281" s="47">
        <v>3.1</v>
      </c>
      <c r="G281" s="47" t="s">
        <v>1141</v>
      </c>
      <c r="H281" s="33">
        <v>20600</v>
      </c>
      <c r="I281" s="86">
        <v>13400</v>
      </c>
      <c r="J281" s="34">
        <v>7140</v>
      </c>
      <c r="K281" s="38">
        <v>60.4</v>
      </c>
      <c r="L281" s="366">
        <v>56.9</v>
      </c>
      <c r="M281" s="39">
        <v>48.5</v>
      </c>
      <c r="N281" s="36">
        <v>8.43</v>
      </c>
      <c r="O281" s="36">
        <v>3.49</v>
      </c>
      <c r="P281" s="38">
        <v>2.2200000000000002</v>
      </c>
      <c r="Q281" s="366">
        <v>1.92</v>
      </c>
      <c r="R281" s="36">
        <v>1.92</v>
      </c>
      <c r="S281" s="36">
        <v>0</v>
      </c>
      <c r="T281" s="36">
        <v>0.29699999999999999</v>
      </c>
      <c r="U281" s="38">
        <v>58.2</v>
      </c>
      <c r="V281" s="366">
        <v>55</v>
      </c>
      <c r="W281" s="36">
        <v>46.6</v>
      </c>
      <c r="X281" s="36">
        <v>8.43</v>
      </c>
      <c r="Y281" s="36">
        <v>3.19</v>
      </c>
      <c r="Z281" s="87">
        <v>14.4</v>
      </c>
      <c r="AA281" s="78">
        <v>8.16</v>
      </c>
      <c r="AB281" s="74">
        <v>6.22</v>
      </c>
      <c r="AC281" s="367">
        <v>0</v>
      </c>
      <c r="AD281" s="110" t="s">
        <v>2420</v>
      </c>
      <c r="AE281" s="30" t="s">
        <v>2421</v>
      </c>
      <c r="AF281" s="438">
        <v>6.04</v>
      </c>
      <c r="AG281" s="399">
        <v>3.89</v>
      </c>
      <c r="AH281" s="399">
        <v>2.15</v>
      </c>
      <c r="AI281" s="330">
        <f t="shared" si="5"/>
        <v>0.58055555555555549</v>
      </c>
    </row>
    <row r="282" spans="1:35" s="364" customFormat="1" ht="14.25" customHeight="1">
      <c r="A282" s="481" t="s">
        <v>2422</v>
      </c>
      <c r="B282" s="235" t="s">
        <v>2423</v>
      </c>
      <c r="C282" s="45" t="s">
        <v>2424</v>
      </c>
      <c r="D282" s="45" t="s">
        <v>2425</v>
      </c>
      <c r="E282" s="30" t="s">
        <v>2426</v>
      </c>
      <c r="F282" s="47">
        <v>22</v>
      </c>
      <c r="G282" s="47" t="s">
        <v>1141</v>
      </c>
      <c r="H282" s="33">
        <v>16400</v>
      </c>
      <c r="I282" s="86">
        <v>15400</v>
      </c>
      <c r="J282" s="34">
        <v>934</v>
      </c>
      <c r="K282" s="87">
        <v>26.1</v>
      </c>
      <c r="L282" s="366">
        <v>24.9</v>
      </c>
      <c r="M282" s="39">
        <v>24.9</v>
      </c>
      <c r="N282" s="36">
        <v>0</v>
      </c>
      <c r="O282" s="36">
        <v>1.2</v>
      </c>
      <c r="P282" s="87">
        <v>0.95799999999999996</v>
      </c>
      <c r="Q282" s="366">
        <v>0.91</v>
      </c>
      <c r="R282" s="36">
        <v>0.91</v>
      </c>
      <c r="S282" s="36">
        <v>0</v>
      </c>
      <c r="T282" s="36">
        <v>4.7600000000000003E-2</v>
      </c>
      <c r="U282" s="87">
        <v>25.1</v>
      </c>
      <c r="V282" s="366">
        <v>24</v>
      </c>
      <c r="W282" s="36">
        <v>24</v>
      </c>
      <c r="X282" s="36">
        <v>0</v>
      </c>
      <c r="Y282" s="36">
        <v>1.1599999999999999</v>
      </c>
      <c r="Z282" s="87">
        <v>12.9</v>
      </c>
      <c r="AA282" s="83">
        <v>12.7</v>
      </c>
      <c r="AB282" s="31">
        <v>0.27900000000000003</v>
      </c>
      <c r="AC282" s="367">
        <v>0</v>
      </c>
      <c r="AD282" s="110" t="s">
        <v>2427</v>
      </c>
      <c r="AE282" s="30" t="s">
        <v>2428</v>
      </c>
      <c r="AF282" s="438">
        <v>11.3</v>
      </c>
      <c r="AG282" s="433">
        <v>11.2</v>
      </c>
      <c r="AH282" s="390">
        <v>6.5699999999999995E-2</v>
      </c>
      <c r="AI282" s="330">
        <f t="shared" si="5"/>
        <v>0.12403100775193796</v>
      </c>
    </row>
    <row r="283" spans="1:35" s="364" customFormat="1" ht="14.25" customHeight="1">
      <c r="A283" s="481" t="s">
        <v>2429</v>
      </c>
      <c r="B283" s="235" t="s">
        <v>2430</v>
      </c>
      <c r="C283" s="45" t="s">
        <v>2431</v>
      </c>
      <c r="D283" s="45" t="s">
        <v>2432</v>
      </c>
      <c r="E283" s="30" t="s">
        <v>2433</v>
      </c>
      <c r="F283" s="47">
        <v>3.4</v>
      </c>
      <c r="G283" s="47" t="s">
        <v>1141</v>
      </c>
      <c r="H283" s="33">
        <v>20000</v>
      </c>
      <c r="I283" s="86">
        <v>9510</v>
      </c>
      <c r="J283" s="34">
        <v>10400</v>
      </c>
      <c r="K283" s="38">
        <v>46.4</v>
      </c>
      <c r="L283" s="366">
        <v>45.8</v>
      </c>
      <c r="M283" s="39">
        <v>33.299999999999997</v>
      </c>
      <c r="N283" s="36">
        <v>12.4</v>
      </c>
      <c r="O283" s="36">
        <v>0.66800000000000004</v>
      </c>
      <c r="P283" s="38">
        <v>3.17</v>
      </c>
      <c r="Q283" s="366">
        <v>3.14</v>
      </c>
      <c r="R283" s="36">
        <v>3.14</v>
      </c>
      <c r="S283" s="36">
        <v>0</v>
      </c>
      <c r="T283" s="36">
        <v>2.9600000000000001E-2</v>
      </c>
      <c r="U283" s="38">
        <v>43.3</v>
      </c>
      <c r="V283" s="366">
        <v>42.6</v>
      </c>
      <c r="W283" s="36">
        <v>30.2</v>
      </c>
      <c r="X283" s="36">
        <v>12.4</v>
      </c>
      <c r="Y283" s="36">
        <v>0.63800000000000001</v>
      </c>
      <c r="Z283" s="87">
        <v>16</v>
      </c>
      <c r="AA283" s="78">
        <v>5.87</v>
      </c>
      <c r="AB283" s="74">
        <v>10.1</v>
      </c>
      <c r="AC283" s="367">
        <v>0</v>
      </c>
      <c r="AD283" s="110" t="s">
        <v>2434</v>
      </c>
      <c r="AE283" s="30" t="s">
        <v>2435</v>
      </c>
      <c r="AF283" s="438">
        <v>6.44</v>
      </c>
      <c r="AG283" s="399">
        <v>4.0599999999999996</v>
      </c>
      <c r="AH283" s="399">
        <v>2.37</v>
      </c>
      <c r="AI283" s="330">
        <f t="shared" si="5"/>
        <v>0.59749999999999992</v>
      </c>
    </row>
    <row r="284" spans="1:35" s="364" customFormat="1" ht="14.25" customHeight="1">
      <c r="A284" s="481" t="s">
        <v>2436</v>
      </c>
      <c r="B284" s="235" t="s">
        <v>2437</v>
      </c>
      <c r="C284" s="45" t="s">
        <v>2438</v>
      </c>
      <c r="D284" s="45" t="s">
        <v>2439</v>
      </c>
      <c r="E284" s="30" t="s">
        <v>2440</v>
      </c>
      <c r="F284" s="47">
        <v>2.1</v>
      </c>
      <c r="G284" s="47" t="s">
        <v>1141</v>
      </c>
      <c r="H284" s="33">
        <v>21100</v>
      </c>
      <c r="I284" s="86">
        <v>14700</v>
      </c>
      <c r="J284" s="34">
        <v>6470</v>
      </c>
      <c r="K284" s="38">
        <v>50.6</v>
      </c>
      <c r="L284" s="366">
        <v>50.2</v>
      </c>
      <c r="M284" s="39">
        <v>38.9</v>
      </c>
      <c r="N284" s="36">
        <v>11.3</v>
      </c>
      <c r="O284" s="36">
        <v>0.41199999999999998</v>
      </c>
      <c r="P284" s="38">
        <v>0.58399999999999996</v>
      </c>
      <c r="Q284" s="366">
        <v>0.56499999999999995</v>
      </c>
      <c r="R284" s="36">
        <v>0.56499999999999995</v>
      </c>
      <c r="S284" s="36">
        <v>0</v>
      </c>
      <c r="T284" s="36">
        <v>1.83E-2</v>
      </c>
      <c r="U284" s="38">
        <v>50</v>
      </c>
      <c r="V284" s="366">
        <v>49.6</v>
      </c>
      <c r="W284" s="36">
        <v>38.299999999999997</v>
      </c>
      <c r="X284" s="36">
        <v>11.3</v>
      </c>
      <c r="Y284" s="36">
        <v>0.39400000000000002</v>
      </c>
      <c r="Z284" s="87">
        <v>16.7</v>
      </c>
      <c r="AA284" s="83">
        <v>10.5</v>
      </c>
      <c r="AB284" s="74">
        <v>6.25</v>
      </c>
      <c r="AC284" s="367">
        <v>0</v>
      </c>
      <c r="AD284" s="110" t="s">
        <v>2441</v>
      </c>
      <c r="AE284" s="30" t="s">
        <v>2442</v>
      </c>
      <c r="AF284" s="438">
        <v>10.9</v>
      </c>
      <c r="AG284" s="433">
        <v>9.91</v>
      </c>
      <c r="AH284" s="399">
        <v>1.03</v>
      </c>
      <c r="AI284" s="330">
        <f t="shared" si="5"/>
        <v>0.34730538922155685</v>
      </c>
    </row>
    <row r="285" spans="1:35" s="364" customFormat="1" ht="14.25" customHeight="1">
      <c r="A285" s="481" t="s">
        <v>2443</v>
      </c>
      <c r="B285" s="235" t="s">
        <v>2444</v>
      </c>
      <c r="C285" s="45" t="s">
        <v>2445</v>
      </c>
      <c r="D285" s="45" t="s">
        <v>2446</v>
      </c>
      <c r="E285" s="30" t="s">
        <v>2447</v>
      </c>
      <c r="F285" s="47">
        <v>1.3</v>
      </c>
      <c r="G285" s="47" t="s">
        <v>1141</v>
      </c>
      <c r="H285" s="33">
        <v>12700</v>
      </c>
      <c r="I285" s="86">
        <v>8700</v>
      </c>
      <c r="J285" s="34">
        <v>4010</v>
      </c>
      <c r="K285" s="38">
        <v>34.9</v>
      </c>
      <c r="L285" s="366">
        <v>34.6</v>
      </c>
      <c r="M285" s="39">
        <v>24.2</v>
      </c>
      <c r="N285" s="36">
        <v>10.4</v>
      </c>
      <c r="O285" s="36">
        <v>0.255</v>
      </c>
      <c r="P285" s="38">
        <v>0.59499999999999997</v>
      </c>
      <c r="Q285" s="366">
        <v>0.58399999999999996</v>
      </c>
      <c r="R285" s="36">
        <v>0.58399999999999996</v>
      </c>
      <c r="S285" s="36">
        <v>0</v>
      </c>
      <c r="T285" s="36">
        <v>1.1299999999999999E-2</v>
      </c>
      <c r="U285" s="38">
        <v>34.299999999999997</v>
      </c>
      <c r="V285" s="366">
        <v>34</v>
      </c>
      <c r="W285" s="36">
        <v>23.6</v>
      </c>
      <c r="X285" s="36">
        <v>10.4</v>
      </c>
      <c r="Y285" s="36">
        <v>0.24399999999999999</v>
      </c>
      <c r="Z285" s="73">
        <v>9.84</v>
      </c>
      <c r="AA285" s="78">
        <v>5.97</v>
      </c>
      <c r="AB285" s="74">
        <v>3.87</v>
      </c>
      <c r="AC285" s="367">
        <v>0</v>
      </c>
      <c r="AD285" s="110" t="s">
        <v>2448</v>
      </c>
      <c r="AE285" s="30" t="s">
        <v>2449</v>
      </c>
      <c r="AF285" s="398">
        <v>6.16</v>
      </c>
      <c r="AG285" s="399">
        <v>5.3</v>
      </c>
      <c r="AH285" s="399">
        <v>0.86099999999999999</v>
      </c>
      <c r="AI285" s="330">
        <f t="shared" si="5"/>
        <v>0.37398373983739835</v>
      </c>
    </row>
    <row r="286" spans="1:35" s="364" customFormat="1" ht="14.25" customHeight="1">
      <c r="A286" s="481" t="s">
        <v>2450</v>
      </c>
      <c r="B286" s="235" t="s">
        <v>2451</v>
      </c>
      <c r="C286" s="45" t="s">
        <v>2452</v>
      </c>
      <c r="D286" s="45" t="s">
        <v>2453</v>
      </c>
      <c r="E286" s="30" t="s">
        <v>2454</v>
      </c>
      <c r="F286" s="47">
        <v>2.7</v>
      </c>
      <c r="G286" s="47" t="s">
        <v>1141</v>
      </c>
      <c r="H286" s="33">
        <v>15300</v>
      </c>
      <c r="I286" s="86">
        <v>13200</v>
      </c>
      <c r="J286" s="34">
        <v>2070</v>
      </c>
      <c r="K286" s="87">
        <v>26.3</v>
      </c>
      <c r="L286" s="366">
        <v>25.9</v>
      </c>
      <c r="M286" s="39">
        <v>14.2</v>
      </c>
      <c r="N286" s="36">
        <v>11.7</v>
      </c>
      <c r="O286" s="36">
        <v>0.438</v>
      </c>
      <c r="P286" s="87">
        <v>10.9</v>
      </c>
      <c r="Q286" s="366">
        <v>10.8</v>
      </c>
      <c r="R286" s="36">
        <v>1.42</v>
      </c>
      <c r="S286" s="36">
        <v>9.43</v>
      </c>
      <c r="T286" s="36">
        <v>2.3599999999999999E-2</v>
      </c>
      <c r="U286" s="87">
        <v>15.5</v>
      </c>
      <c r="V286" s="366">
        <v>15.1</v>
      </c>
      <c r="W286" s="36">
        <v>12.8</v>
      </c>
      <c r="X286" s="36">
        <v>2.2599999999999998</v>
      </c>
      <c r="Y286" s="36">
        <v>0.41399999999999998</v>
      </c>
      <c r="Z286" s="73">
        <v>5.08</v>
      </c>
      <c r="AA286" s="78">
        <v>3.22</v>
      </c>
      <c r="AB286" s="74">
        <v>1.85</v>
      </c>
      <c r="AC286" s="367">
        <v>1.01</v>
      </c>
      <c r="AD286" s="110" t="s">
        <v>2455</v>
      </c>
      <c r="AE286" s="30" t="s">
        <v>2456</v>
      </c>
      <c r="AF286" s="398">
        <v>3.56</v>
      </c>
      <c r="AG286" s="399">
        <v>2.4300000000000002</v>
      </c>
      <c r="AH286" s="399">
        <v>1.1399999999999999</v>
      </c>
      <c r="AI286" s="330">
        <f t="shared" si="5"/>
        <v>0.29921259842519687</v>
      </c>
    </row>
    <row r="287" spans="1:35" s="364" customFormat="1" ht="14.25" customHeight="1">
      <c r="A287" s="481" t="s">
        <v>2457</v>
      </c>
      <c r="B287" s="235" t="s">
        <v>2458</v>
      </c>
      <c r="C287" s="45" t="s">
        <v>2459</v>
      </c>
      <c r="D287" s="45" t="s">
        <v>2460</v>
      </c>
      <c r="E287" s="30" t="s">
        <v>2461</v>
      </c>
      <c r="F287" s="47">
        <v>95</v>
      </c>
      <c r="G287" s="47" t="s">
        <v>1141</v>
      </c>
      <c r="H287" s="33">
        <v>28100</v>
      </c>
      <c r="I287" s="86">
        <v>24100</v>
      </c>
      <c r="J287" s="34">
        <v>4040</v>
      </c>
      <c r="K287" s="38">
        <v>44.7</v>
      </c>
      <c r="L287" s="366">
        <v>39.5</v>
      </c>
      <c r="M287" s="39">
        <v>39.5</v>
      </c>
      <c r="N287" s="39">
        <v>0</v>
      </c>
      <c r="O287" s="36">
        <v>5.2</v>
      </c>
      <c r="P287" s="38">
        <v>4.12</v>
      </c>
      <c r="Q287" s="366">
        <v>3.92</v>
      </c>
      <c r="R287" s="36">
        <v>3.92</v>
      </c>
      <c r="S287" s="36">
        <v>0</v>
      </c>
      <c r="T287" s="36">
        <v>0.20499999999999999</v>
      </c>
      <c r="U287" s="38">
        <v>40.5</v>
      </c>
      <c r="V287" s="366">
        <v>35.5</v>
      </c>
      <c r="W287" s="36">
        <v>35.5</v>
      </c>
      <c r="X287" s="36">
        <v>0</v>
      </c>
      <c r="Y287" s="36">
        <v>5</v>
      </c>
      <c r="Z287" s="87">
        <v>17.3</v>
      </c>
      <c r="AA287" s="83">
        <v>16.100000000000001</v>
      </c>
      <c r="AB287" s="31">
        <v>1.2</v>
      </c>
      <c r="AC287" s="367">
        <v>0</v>
      </c>
      <c r="AD287" s="110" t="s">
        <v>2462</v>
      </c>
      <c r="AE287" s="30" t="s">
        <v>2463</v>
      </c>
      <c r="AF287" s="438">
        <v>4.6100000000000003</v>
      </c>
      <c r="AG287" s="433">
        <v>4.57</v>
      </c>
      <c r="AH287" s="390">
        <v>4.2299999999999997E-2</v>
      </c>
      <c r="AI287" s="330">
        <f t="shared" si="5"/>
        <v>0.73352601156069364</v>
      </c>
    </row>
    <row r="288" spans="1:35" s="364" customFormat="1" ht="14.25" customHeight="1">
      <c r="A288" s="357" t="s">
        <v>2464</v>
      </c>
      <c r="B288" s="807"/>
      <c r="C288" s="41" t="s">
        <v>2465</v>
      </c>
      <c r="D288" s="40"/>
      <c r="E288" s="41"/>
      <c r="F288" s="42" t="s">
        <v>1134</v>
      </c>
      <c r="G288" s="43"/>
      <c r="H288" s="358"/>
      <c r="I288" s="358"/>
      <c r="J288" s="392"/>
      <c r="K288" s="393"/>
      <c r="L288" s="394"/>
      <c r="M288" s="373"/>
      <c r="N288" s="373"/>
      <c r="O288" s="395"/>
      <c r="P288" s="395"/>
      <c r="Q288" s="394"/>
      <c r="R288" s="373"/>
      <c r="S288" s="373"/>
      <c r="T288" s="394"/>
      <c r="U288" s="394"/>
      <c r="V288" s="394"/>
      <c r="W288" s="373"/>
      <c r="X288" s="373"/>
      <c r="Y288" s="373"/>
      <c r="Z288" s="458"/>
      <c r="AA288" s="360"/>
      <c r="AB288" s="483"/>
      <c r="AC288" s="483"/>
      <c r="AD288" s="363" t="s">
        <v>563</v>
      </c>
      <c r="AE288" s="41"/>
      <c r="AI288" s="330"/>
    </row>
    <row r="289" spans="1:35" s="389" customFormat="1" ht="14.25" customHeight="1">
      <c r="A289" s="235" t="s">
        <v>835</v>
      </c>
      <c r="B289" s="235" t="s">
        <v>2466</v>
      </c>
      <c r="C289" s="30" t="s">
        <v>834</v>
      </c>
      <c r="D289" s="30" t="s">
        <v>2467</v>
      </c>
      <c r="E289" s="30" t="s">
        <v>2468</v>
      </c>
      <c r="F289" s="32" t="s">
        <v>1134</v>
      </c>
      <c r="G289" s="32" t="s">
        <v>1581</v>
      </c>
      <c r="H289" s="33">
        <v>394000</v>
      </c>
      <c r="I289" s="34">
        <v>377000</v>
      </c>
      <c r="J289" s="34">
        <v>17300</v>
      </c>
      <c r="K289" s="92">
        <v>1030</v>
      </c>
      <c r="L289" s="36">
        <v>1020</v>
      </c>
      <c r="M289" s="39">
        <v>1020</v>
      </c>
      <c r="N289" s="39">
        <v>0</v>
      </c>
      <c r="O289" s="36">
        <v>5.82</v>
      </c>
      <c r="P289" s="92">
        <v>116</v>
      </c>
      <c r="Q289" s="36">
        <v>116</v>
      </c>
      <c r="R289" s="36">
        <v>116</v>
      </c>
      <c r="S289" s="36">
        <v>0</v>
      </c>
      <c r="T289" s="36">
        <v>0.47899999999999998</v>
      </c>
      <c r="U289" s="92">
        <v>911</v>
      </c>
      <c r="V289" s="36">
        <v>906</v>
      </c>
      <c r="W289" s="36">
        <v>906</v>
      </c>
      <c r="X289" s="36">
        <v>0</v>
      </c>
      <c r="Y289" s="36">
        <v>5.34</v>
      </c>
      <c r="Z289" s="87">
        <v>216</v>
      </c>
      <c r="AA289" s="88">
        <v>201</v>
      </c>
      <c r="AB289" s="74">
        <v>14.8</v>
      </c>
      <c r="AC289" s="367">
        <v>0</v>
      </c>
      <c r="AD289" s="397" t="s">
        <v>311</v>
      </c>
      <c r="AE289" s="30" t="s">
        <v>2469</v>
      </c>
      <c r="AI289" s="330"/>
    </row>
    <row r="290" spans="1:35" s="389" customFormat="1" ht="14.25" customHeight="1">
      <c r="A290" s="235" t="s">
        <v>2470</v>
      </c>
      <c r="B290" s="235" t="s">
        <v>2471</v>
      </c>
      <c r="C290" s="30" t="s">
        <v>2472</v>
      </c>
      <c r="D290" s="30" t="s">
        <v>2473</v>
      </c>
      <c r="E290" s="30" t="s">
        <v>2474</v>
      </c>
      <c r="F290" s="32" t="s">
        <v>1134</v>
      </c>
      <c r="G290" s="32" t="s">
        <v>1581</v>
      </c>
      <c r="H290" s="33">
        <v>385000</v>
      </c>
      <c r="I290" s="34">
        <v>374000</v>
      </c>
      <c r="J290" s="34">
        <v>10500</v>
      </c>
      <c r="K290" s="92">
        <v>979</v>
      </c>
      <c r="L290" s="36">
        <v>978</v>
      </c>
      <c r="M290" s="39">
        <v>978</v>
      </c>
      <c r="N290" s="39">
        <v>0</v>
      </c>
      <c r="O290" s="36">
        <v>0.81699999999999995</v>
      </c>
      <c r="P290" s="92">
        <v>142</v>
      </c>
      <c r="Q290" s="36">
        <v>142</v>
      </c>
      <c r="R290" s="36">
        <v>142</v>
      </c>
      <c r="S290" s="36">
        <v>0</v>
      </c>
      <c r="T290" s="36">
        <v>2.58E-2</v>
      </c>
      <c r="U290" s="92">
        <v>837</v>
      </c>
      <c r="V290" s="36">
        <v>836</v>
      </c>
      <c r="W290" s="36">
        <v>836</v>
      </c>
      <c r="X290" s="36">
        <v>0</v>
      </c>
      <c r="Y290" s="36">
        <v>0.79200000000000004</v>
      </c>
      <c r="Z290" s="87">
        <v>192</v>
      </c>
      <c r="AA290" s="88">
        <v>182</v>
      </c>
      <c r="AB290" s="74">
        <v>10</v>
      </c>
      <c r="AC290" s="367">
        <v>0</v>
      </c>
      <c r="AD290" s="397" t="s">
        <v>2475</v>
      </c>
      <c r="AE290" s="30" t="s">
        <v>2476</v>
      </c>
      <c r="AI290" s="330"/>
    </row>
    <row r="291" spans="1:35" s="389" customFormat="1" ht="14.25" customHeight="1">
      <c r="A291" s="235" t="s">
        <v>2477</v>
      </c>
      <c r="B291" s="235" t="s">
        <v>2478</v>
      </c>
      <c r="C291" s="235" t="s">
        <v>2479</v>
      </c>
      <c r="D291" s="30" t="s">
        <v>2480</v>
      </c>
      <c r="E291" s="30" t="s">
        <v>2481</v>
      </c>
      <c r="F291" s="32" t="s">
        <v>1134</v>
      </c>
      <c r="G291" s="32" t="s">
        <v>1581</v>
      </c>
      <c r="H291" s="33">
        <v>125000</v>
      </c>
      <c r="I291" s="34">
        <v>116000</v>
      </c>
      <c r="J291" s="34">
        <v>9270</v>
      </c>
      <c r="K291" s="92">
        <v>548</v>
      </c>
      <c r="L291" s="36">
        <v>543</v>
      </c>
      <c r="M291" s="39">
        <v>336</v>
      </c>
      <c r="N291" s="39">
        <v>207</v>
      </c>
      <c r="O291" s="36">
        <v>4.3099999999999996</v>
      </c>
      <c r="P291" s="92">
        <v>283</v>
      </c>
      <c r="Q291" s="36">
        <v>283</v>
      </c>
      <c r="R291" s="36">
        <v>102</v>
      </c>
      <c r="S291" s="36">
        <v>181</v>
      </c>
      <c r="T291" s="36">
        <v>0.13600000000000001</v>
      </c>
      <c r="U291" s="92">
        <v>265</v>
      </c>
      <c r="V291" s="36">
        <v>260</v>
      </c>
      <c r="W291" s="36">
        <v>234</v>
      </c>
      <c r="X291" s="36">
        <v>26.3</v>
      </c>
      <c r="Y291" s="36">
        <v>4.17</v>
      </c>
      <c r="Z291" s="87">
        <v>62.2</v>
      </c>
      <c r="AA291" s="88">
        <v>54.6</v>
      </c>
      <c r="AB291" s="74">
        <v>7.64</v>
      </c>
      <c r="AC291" s="367">
        <v>15.5</v>
      </c>
      <c r="AD291" s="397" t="s">
        <v>2482</v>
      </c>
      <c r="AE291" s="30" t="s">
        <v>2483</v>
      </c>
      <c r="AI291" s="330"/>
    </row>
    <row r="292" spans="1:35" s="364" customFormat="1" ht="14.25" customHeight="1">
      <c r="A292" s="481" t="s">
        <v>2484</v>
      </c>
      <c r="B292" s="235" t="s">
        <v>2485</v>
      </c>
      <c r="C292" s="45" t="s">
        <v>2486</v>
      </c>
      <c r="D292" s="45" t="s">
        <v>2487</v>
      </c>
      <c r="E292" s="30" t="s">
        <v>2488</v>
      </c>
      <c r="F292" s="47" t="s">
        <v>1134</v>
      </c>
      <c r="G292" s="47" t="s">
        <v>1141</v>
      </c>
      <c r="H292" s="33">
        <v>231000</v>
      </c>
      <c r="I292" s="34">
        <v>222000</v>
      </c>
      <c r="J292" s="34">
        <v>9270</v>
      </c>
      <c r="K292" s="92">
        <v>833</v>
      </c>
      <c r="L292" s="36">
        <v>829</v>
      </c>
      <c r="M292" s="39">
        <v>622</v>
      </c>
      <c r="N292" s="39">
        <v>207</v>
      </c>
      <c r="O292" s="36">
        <v>4.3099999999999996</v>
      </c>
      <c r="P292" s="92">
        <v>328</v>
      </c>
      <c r="Q292" s="36">
        <v>328</v>
      </c>
      <c r="R292" s="36">
        <v>147</v>
      </c>
      <c r="S292" s="36">
        <v>181</v>
      </c>
      <c r="T292" s="36">
        <v>0.13600000000000001</v>
      </c>
      <c r="U292" s="92">
        <v>505</v>
      </c>
      <c r="V292" s="36">
        <v>501</v>
      </c>
      <c r="W292" s="36">
        <v>475</v>
      </c>
      <c r="X292" s="36">
        <v>26.3</v>
      </c>
      <c r="Y292" s="36">
        <v>4.17</v>
      </c>
      <c r="Z292" s="87">
        <v>116</v>
      </c>
      <c r="AA292" s="88">
        <v>108</v>
      </c>
      <c r="AB292" s="74">
        <v>7.64</v>
      </c>
      <c r="AC292" s="367">
        <v>15.5</v>
      </c>
      <c r="AD292" s="110" t="s">
        <v>2489</v>
      </c>
      <c r="AE292" s="30" t="s">
        <v>2490</v>
      </c>
      <c r="AF292" s="438">
        <v>37.4</v>
      </c>
      <c r="AG292" s="433">
        <v>35.4</v>
      </c>
      <c r="AH292" s="399">
        <v>2</v>
      </c>
      <c r="AI292" s="330">
        <f>(Z292-AF292)/Z292</f>
        <v>0.67758620689655169</v>
      </c>
    </row>
    <row r="293" spans="1:35" s="364" customFormat="1" ht="14.25" customHeight="1">
      <c r="A293" s="481" t="s">
        <v>2491</v>
      </c>
      <c r="B293" s="235" t="s">
        <v>2492</v>
      </c>
      <c r="C293" s="45" t="s">
        <v>2493</v>
      </c>
      <c r="D293" s="45" t="s">
        <v>2494</v>
      </c>
      <c r="E293" s="30" t="s">
        <v>2495</v>
      </c>
      <c r="F293" s="47" t="s">
        <v>1134</v>
      </c>
      <c r="G293" s="47" t="s">
        <v>1141</v>
      </c>
      <c r="H293" s="33">
        <v>161000</v>
      </c>
      <c r="I293" s="34">
        <v>148000</v>
      </c>
      <c r="J293" s="34">
        <v>12100</v>
      </c>
      <c r="K293" s="92">
        <v>605</v>
      </c>
      <c r="L293" s="36">
        <v>598</v>
      </c>
      <c r="M293" s="39">
        <v>424</v>
      </c>
      <c r="N293" s="39">
        <v>175</v>
      </c>
      <c r="O293" s="36">
        <v>6.62</v>
      </c>
      <c r="P293" s="92">
        <v>246</v>
      </c>
      <c r="Q293" s="36">
        <v>246</v>
      </c>
      <c r="R293" s="36">
        <v>92.6</v>
      </c>
      <c r="S293" s="36">
        <v>153</v>
      </c>
      <c r="T293" s="36">
        <v>0.314</v>
      </c>
      <c r="U293" s="92">
        <v>359</v>
      </c>
      <c r="V293" s="36">
        <v>352</v>
      </c>
      <c r="W293" s="36">
        <v>331</v>
      </c>
      <c r="X293" s="36">
        <v>21.2</v>
      </c>
      <c r="Y293" s="36">
        <v>6.31</v>
      </c>
      <c r="Z293" s="87">
        <v>85.7</v>
      </c>
      <c r="AA293" s="88">
        <v>76</v>
      </c>
      <c r="AB293" s="74">
        <v>9.6999999999999993</v>
      </c>
      <c r="AC293" s="367">
        <v>13</v>
      </c>
      <c r="AD293" s="110" t="s">
        <v>2496</v>
      </c>
      <c r="AE293" s="30" t="s">
        <v>2497</v>
      </c>
      <c r="AF293" s="438">
        <v>55.9</v>
      </c>
      <c r="AG293" s="433">
        <v>51.4</v>
      </c>
      <c r="AH293" s="399">
        <v>4.49</v>
      </c>
      <c r="AI293" s="330">
        <f>(Z293-AF293)/Z293</f>
        <v>0.34772462077012839</v>
      </c>
    </row>
    <row r="294" spans="1:35" s="389" customFormat="1" ht="14.25" customHeight="1">
      <c r="A294" s="235" t="s">
        <v>2498</v>
      </c>
      <c r="B294" s="235" t="s">
        <v>2499</v>
      </c>
      <c r="C294" s="30" t="s">
        <v>2500</v>
      </c>
      <c r="D294" s="30" t="s">
        <v>2501</v>
      </c>
      <c r="E294" s="30" t="s">
        <v>2502</v>
      </c>
      <c r="F294" s="32" t="s">
        <v>1134</v>
      </c>
      <c r="G294" s="32" t="s">
        <v>1581</v>
      </c>
      <c r="H294" s="33">
        <v>315000</v>
      </c>
      <c r="I294" s="34">
        <v>305000</v>
      </c>
      <c r="J294" s="34">
        <v>10500</v>
      </c>
      <c r="K294" s="92">
        <v>825</v>
      </c>
      <c r="L294" s="36">
        <v>822</v>
      </c>
      <c r="M294" s="39">
        <v>822</v>
      </c>
      <c r="N294" s="39">
        <v>0</v>
      </c>
      <c r="O294" s="36">
        <v>3.93</v>
      </c>
      <c r="P294" s="92">
        <v>103</v>
      </c>
      <c r="Q294" s="36">
        <v>103</v>
      </c>
      <c r="R294" s="36">
        <v>103</v>
      </c>
      <c r="S294" s="36">
        <v>0</v>
      </c>
      <c r="T294" s="36">
        <v>0.33200000000000002</v>
      </c>
      <c r="U294" s="92">
        <v>722</v>
      </c>
      <c r="V294" s="36">
        <v>719</v>
      </c>
      <c r="W294" s="36">
        <v>719</v>
      </c>
      <c r="X294" s="36">
        <v>0</v>
      </c>
      <c r="Y294" s="36">
        <v>3.6</v>
      </c>
      <c r="Z294" s="87">
        <v>166</v>
      </c>
      <c r="AA294" s="88">
        <v>157</v>
      </c>
      <c r="AB294" s="74">
        <v>8.7100000000000009</v>
      </c>
      <c r="AC294" s="367">
        <v>0</v>
      </c>
      <c r="AD294" s="397" t="s">
        <v>2503</v>
      </c>
      <c r="AE294" s="30" t="s">
        <v>2504</v>
      </c>
      <c r="AF294" s="14"/>
      <c r="AG294" s="14"/>
      <c r="AH294" s="14"/>
      <c r="AI294" s="330"/>
    </row>
    <row r="295" spans="1:35" s="389" customFormat="1" ht="14.25" customHeight="1">
      <c r="A295" s="235" t="s">
        <v>951</v>
      </c>
      <c r="B295" s="235" t="s">
        <v>2505</v>
      </c>
      <c r="C295" s="30" t="s">
        <v>2506</v>
      </c>
      <c r="D295" s="30" t="s">
        <v>2507</v>
      </c>
      <c r="E295" s="30" t="s">
        <v>2508</v>
      </c>
      <c r="F295" s="32" t="s">
        <v>1134</v>
      </c>
      <c r="G295" s="32" t="s">
        <v>1581</v>
      </c>
      <c r="H295" s="33">
        <v>87800</v>
      </c>
      <c r="I295" s="34">
        <v>79200</v>
      </c>
      <c r="J295" s="34">
        <v>8530</v>
      </c>
      <c r="K295" s="92">
        <v>470</v>
      </c>
      <c r="L295" s="36">
        <v>465</v>
      </c>
      <c r="M295" s="39">
        <v>246</v>
      </c>
      <c r="N295" s="39">
        <v>218</v>
      </c>
      <c r="O295" s="36">
        <v>5.05</v>
      </c>
      <c r="P295" s="92">
        <v>279</v>
      </c>
      <c r="Q295" s="36">
        <v>279</v>
      </c>
      <c r="R295" s="36">
        <v>88.4</v>
      </c>
      <c r="S295" s="36">
        <v>191</v>
      </c>
      <c r="T295" s="36">
        <v>0.17699999999999999</v>
      </c>
      <c r="U295" s="92">
        <v>190</v>
      </c>
      <c r="V295" s="36">
        <v>185</v>
      </c>
      <c r="W295" s="36">
        <v>158</v>
      </c>
      <c r="X295" s="36">
        <v>27.5</v>
      </c>
      <c r="Y295" s="36">
        <v>4.87</v>
      </c>
      <c r="Z295" s="87">
        <v>44.3</v>
      </c>
      <c r="AA295" s="88">
        <v>37.4</v>
      </c>
      <c r="AB295" s="74">
        <v>6.86</v>
      </c>
      <c r="AC295" s="367">
        <v>17.3</v>
      </c>
      <c r="AD295" s="397" t="s">
        <v>2509</v>
      </c>
      <c r="AE295" s="30" t="s">
        <v>2510</v>
      </c>
      <c r="AF295" s="438">
        <v>26.1</v>
      </c>
      <c r="AG295" s="433">
        <v>22.6</v>
      </c>
      <c r="AH295" s="399">
        <v>3.55</v>
      </c>
      <c r="AI295" s="330">
        <f>(Z295-AF295)/Z295</f>
        <v>0.41083521444695253</v>
      </c>
    </row>
    <row r="296" spans="1:35" s="389" customFormat="1" ht="14.25" customHeight="1">
      <c r="A296" s="235" t="s">
        <v>2511</v>
      </c>
      <c r="B296" s="235" t="s">
        <v>2512</v>
      </c>
      <c r="C296" s="30" t="s">
        <v>2513</v>
      </c>
      <c r="D296" s="30" t="s">
        <v>2514</v>
      </c>
      <c r="E296" s="30" t="s">
        <v>2515</v>
      </c>
      <c r="F296" s="32" t="s">
        <v>1134</v>
      </c>
      <c r="G296" s="32" t="s">
        <v>1581</v>
      </c>
      <c r="H296" s="33">
        <v>181000</v>
      </c>
      <c r="I296" s="34">
        <v>173000</v>
      </c>
      <c r="J296" s="34">
        <v>7920</v>
      </c>
      <c r="K296" s="92">
        <v>588</v>
      </c>
      <c r="L296" s="36">
        <v>584</v>
      </c>
      <c r="M296" s="39">
        <v>419</v>
      </c>
      <c r="N296" s="39">
        <v>164</v>
      </c>
      <c r="O296" s="36">
        <v>4.5199999999999996</v>
      </c>
      <c r="P296" s="92">
        <v>231</v>
      </c>
      <c r="Q296" s="36">
        <v>231</v>
      </c>
      <c r="R296" s="36">
        <v>93.3</v>
      </c>
      <c r="S296" s="36">
        <v>138</v>
      </c>
      <c r="T296" s="36">
        <v>0.16900000000000001</v>
      </c>
      <c r="U296" s="92">
        <v>357</v>
      </c>
      <c r="V296" s="36">
        <v>352</v>
      </c>
      <c r="W296" s="36">
        <v>326</v>
      </c>
      <c r="X296" s="36">
        <v>26.3</v>
      </c>
      <c r="Y296" s="36">
        <v>4.3499999999999996</v>
      </c>
      <c r="Z296" s="87">
        <v>96.8</v>
      </c>
      <c r="AA296" s="88">
        <v>90.3</v>
      </c>
      <c r="AB296" s="74">
        <v>6.46</v>
      </c>
      <c r="AC296" s="367">
        <v>13.7</v>
      </c>
      <c r="AD296" s="397" t="s">
        <v>2516</v>
      </c>
      <c r="AE296" s="30" t="s">
        <v>2517</v>
      </c>
      <c r="AF296" s="14"/>
      <c r="AG296" s="14"/>
      <c r="AH296" s="14"/>
      <c r="AI296" s="330"/>
    </row>
    <row r="297" spans="1:35" s="364" customFormat="1" ht="14.25" customHeight="1">
      <c r="A297" s="481" t="s">
        <v>2518</v>
      </c>
      <c r="B297" s="235" t="s">
        <v>2519</v>
      </c>
      <c r="C297" s="30" t="s">
        <v>2520</v>
      </c>
      <c r="D297" s="45" t="s">
        <v>2521</v>
      </c>
      <c r="E297" s="30" t="s">
        <v>2522</v>
      </c>
      <c r="F297" s="47" t="s">
        <v>1134</v>
      </c>
      <c r="G297" s="47" t="s">
        <v>1141</v>
      </c>
      <c r="H297" s="33">
        <v>109000</v>
      </c>
      <c r="I297" s="34">
        <v>99800</v>
      </c>
      <c r="J297" s="34">
        <v>8880</v>
      </c>
      <c r="K297" s="92">
        <v>455</v>
      </c>
      <c r="L297" s="36">
        <v>449</v>
      </c>
      <c r="M297" s="39">
        <v>307</v>
      </c>
      <c r="N297" s="39">
        <v>142</v>
      </c>
      <c r="O297" s="36">
        <v>5.51</v>
      </c>
      <c r="P297" s="92">
        <v>200</v>
      </c>
      <c r="Q297" s="36">
        <v>200</v>
      </c>
      <c r="R297" s="36">
        <v>72.5</v>
      </c>
      <c r="S297" s="36">
        <v>127</v>
      </c>
      <c r="T297" s="36">
        <v>0.27300000000000002</v>
      </c>
      <c r="U297" s="92">
        <v>255</v>
      </c>
      <c r="V297" s="36">
        <v>249</v>
      </c>
      <c r="W297" s="36">
        <v>234</v>
      </c>
      <c r="X297" s="36">
        <v>14.9</v>
      </c>
      <c r="Y297" s="36">
        <v>5.23</v>
      </c>
      <c r="Z297" s="87">
        <v>59.7</v>
      </c>
      <c r="AA297" s="88">
        <v>52.8</v>
      </c>
      <c r="AB297" s="74">
        <v>6.92</v>
      </c>
      <c r="AC297" s="367">
        <v>11</v>
      </c>
      <c r="AD297" s="397" t="s">
        <v>2523</v>
      </c>
      <c r="AE297" s="30" t="s">
        <v>2524</v>
      </c>
      <c r="AF297" s="438">
        <v>44.7</v>
      </c>
      <c r="AG297" s="433">
        <v>38.700000000000003</v>
      </c>
      <c r="AH297" s="433">
        <v>6</v>
      </c>
      <c r="AI297" s="330">
        <f>(Z297-AF297)/Z297</f>
        <v>0.25125628140703515</v>
      </c>
    </row>
    <row r="298" spans="1:35" s="389" customFormat="1" ht="14.25" customHeight="1">
      <c r="A298" s="235" t="s">
        <v>2525</v>
      </c>
      <c r="B298" s="235" t="s">
        <v>2526</v>
      </c>
      <c r="C298" s="30" t="s">
        <v>2527</v>
      </c>
      <c r="D298" s="30" t="s">
        <v>2528</v>
      </c>
      <c r="E298" s="30" t="s">
        <v>2529</v>
      </c>
      <c r="F298" s="32" t="s">
        <v>1134</v>
      </c>
      <c r="G298" s="32" t="s">
        <v>1581</v>
      </c>
      <c r="H298" s="33">
        <v>202000</v>
      </c>
      <c r="I298" s="34">
        <v>193000</v>
      </c>
      <c r="J298" s="34">
        <v>8270</v>
      </c>
      <c r="K298" s="92">
        <v>573</v>
      </c>
      <c r="L298" s="36">
        <v>568</v>
      </c>
      <c r="M298" s="39">
        <v>480</v>
      </c>
      <c r="N298" s="39">
        <v>88.1</v>
      </c>
      <c r="O298" s="36">
        <v>4.9800000000000004</v>
      </c>
      <c r="P298" s="92">
        <v>152</v>
      </c>
      <c r="Q298" s="36">
        <v>152</v>
      </c>
      <c r="R298" s="36">
        <v>77.400000000000006</v>
      </c>
      <c r="S298" s="36">
        <v>74.400000000000006</v>
      </c>
      <c r="T298" s="36">
        <v>0.26500000000000001</v>
      </c>
      <c r="U298" s="92">
        <v>421</v>
      </c>
      <c r="V298" s="36">
        <v>416</v>
      </c>
      <c r="W298" s="36">
        <v>403</v>
      </c>
      <c r="X298" s="36">
        <v>13.7</v>
      </c>
      <c r="Y298" s="36">
        <v>4.71</v>
      </c>
      <c r="Z298" s="87">
        <v>112</v>
      </c>
      <c r="AA298" s="88">
        <v>106</v>
      </c>
      <c r="AB298" s="74">
        <v>6.53</v>
      </c>
      <c r="AC298" s="367">
        <v>7.46</v>
      </c>
      <c r="AD298" s="397" t="s">
        <v>2530</v>
      </c>
      <c r="AE298" s="30" t="s">
        <v>2531</v>
      </c>
      <c r="AI298" s="330"/>
    </row>
    <row r="299" spans="1:35" s="364" customFormat="1" ht="14.25" customHeight="1">
      <c r="A299" s="481" t="s">
        <v>2532</v>
      </c>
      <c r="B299" s="235" t="s">
        <v>2533</v>
      </c>
      <c r="C299" s="30" t="s">
        <v>2534</v>
      </c>
      <c r="D299" s="45" t="s">
        <v>2535</v>
      </c>
      <c r="E299" s="30" t="s">
        <v>2536</v>
      </c>
      <c r="F299" s="47" t="s">
        <v>1134</v>
      </c>
      <c r="G299" s="47" t="s">
        <v>1141</v>
      </c>
      <c r="H299" s="33">
        <v>64500</v>
      </c>
      <c r="I299" s="34">
        <v>57800</v>
      </c>
      <c r="J299" s="34">
        <v>6700</v>
      </c>
      <c r="K299" s="92">
        <v>346</v>
      </c>
      <c r="L299" s="36">
        <v>343</v>
      </c>
      <c r="M299" s="39">
        <v>185</v>
      </c>
      <c r="N299" s="39">
        <v>158</v>
      </c>
      <c r="O299" s="36">
        <v>3.57</v>
      </c>
      <c r="P299" s="92">
        <v>206</v>
      </c>
      <c r="Q299" s="36">
        <v>206</v>
      </c>
      <c r="R299" s="36">
        <v>66.8</v>
      </c>
      <c r="S299" s="36">
        <v>139</v>
      </c>
      <c r="T299" s="36">
        <v>0.123</v>
      </c>
      <c r="U299" s="92">
        <v>141</v>
      </c>
      <c r="V299" s="36">
        <v>137</v>
      </c>
      <c r="W299" s="36">
        <v>118</v>
      </c>
      <c r="X299" s="36">
        <v>18.899999999999999</v>
      </c>
      <c r="Y299" s="36">
        <v>3.44</v>
      </c>
      <c r="Z299" s="87">
        <v>32.299999999999997</v>
      </c>
      <c r="AA299" s="88">
        <v>26.9</v>
      </c>
      <c r="AB299" s="74">
        <v>5.39</v>
      </c>
      <c r="AC299" s="367">
        <v>12.4</v>
      </c>
      <c r="AD299" s="397" t="s">
        <v>2537</v>
      </c>
      <c r="AE299" s="30" t="s">
        <v>2538</v>
      </c>
      <c r="AI299" s="330"/>
    </row>
    <row r="300" spans="1:35" s="389" customFormat="1" ht="14.25" customHeight="1">
      <c r="A300" s="484" t="s">
        <v>2539</v>
      </c>
      <c r="B300" s="235" t="s">
        <v>2540</v>
      </c>
      <c r="C300" s="30" t="s">
        <v>2541</v>
      </c>
      <c r="D300" s="30" t="s">
        <v>2542</v>
      </c>
      <c r="E300" s="30" t="s">
        <v>2543</v>
      </c>
      <c r="F300" s="32" t="s">
        <v>1134</v>
      </c>
      <c r="G300" s="32" t="s">
        <v>1581</v>
      </c>
      <c r="H300" s="33">
        <v>157000</v>
      </c>
      <c r="I300" s="34">
        <v>151000</v>
      </c>
      <c r="J300" s="34">
        <v>6090</v>
      </c>
      <c r="K300" s="92">
        <v>465</v>
      </c>
      <c r="L300" s="36">
        <v>462</v>
      </c>
      <c r="M300" s="39">
        <v>358</v>
      </c>
      <c r="N300" s="39">
        <v>104</v>
      </c>
      <c r="O300" s="36">
        <v>3.04</v>
      </c>
      <c r="P300" s="92">
        <v>158</v>
      </c>
      <c r="Q300" s="36">
        <v>158</v>
      </c>
      <c r="R300" s="36">
        <v>71.599999999999994</v>
      </c>
      <c r="S300" s="36">
        <v>86.2</v>
      </c>
      <c r="T300" s="36">
        <v>0.115</v>
      </c>
      <c r="U300" s="92">
        <v>307</v>
      </c>
      <c r="V300" s="36">
        <v>304</v>
      </c>
      <c r="W300" s="36">
        <v>287</v>
      </c>
      <c r="X300" s="36">
        <v>17.7</v>
      </c>
      <c r="Y300" s="36">
        <v>2.92</v>
      </c>
      <c r="Z300" s="87">
        <v>84.8</v>
      </c>
      <c r="AA300" s="88">
        <v>79.8</v>
      </c>
      <c r="AB300" s="74">
        <v>5</v>
      </c>
      <c r="AC300" s="367">
        <v>8.83</v>
      </c>
      <c r="AD300" s="397" t="s">
        <v>2544</v>
      </c>
      <c r="AE300" s="30" t="s">
        <v>2545</v>
      </c>
      <c r="AI300" s="330"/>
    </row>
    <row r="301" spans="1:35" s="389" customFormat="1" ht="14.25" customHeight="1">
      <c r="A301" s="1605" t="s">
        <v>2546</v>
      </c>
      <c r="B301" s="1606"/>
      <c r="C301" s="1606"/>
      <c r="D301" s="1606"/>
      <c r="E301" s="1606"/>
      <c r="F301" s="1606"/>
      <c r="G301" s="1606"/>
      <c r="H301" s="1606"/>
      <c r="I301" s="1606"/>
      <c r="J301" s="1606"/>
      <c r="K301" s="1606"/>
      <c r="L301" s="1606"/>
      <c r="M301" s="1606"/>
      <c r="N301" s="1606"/>
      <c r="O301" s="1606"/>
      <c r="P301" s="1606"/>
      <c r="Q301" s="1606"/>
      <c r="R301" s="1606"/>
      <c r="S301" s="1606"/>
      <c r="T301" s="1606"/>
      <c r="U301" s="1606"/>
      <c r="V301" s="1606"/>
      <c r="W301" s="1606"/>
      <c r="X301" s="1606"/>
      <c r="Y301" s="1606"/>
      <c r="Z301" s="1606"/>
      <c r="AA301" s="1606"/>
      <c r="AB301" s="1606"/>
      <c r="AC301" s="1606"/>
      <c r="AD301" s="1606"/>
      <c r="AE301" s="1606"/>
      <c r="AI301" s="330"/>
    </row>
    <row r="302" spans="1:35" s="389" customFormat="1" ht="14.25" customHeight="1">
      <c r="A302" s="1605" t="s">
        <v>2547</v>
      </c>
      <c r="B302" s="1606"/>
      <c r="C302" s="1606"/>
      <c r="D302" s="1606"/>
      <c r="E302" s="1606"/>
      <c r="F302" s="1606"/>
      <c r="G302" s="1606"/>
      <c r="H302" s="1606"/>
      <c r="I302" s="1606"/>
      <c r="J302" s="1606"/>
      <c r="K302" s="1606"/>
      <c r="L302" s="1606"/>
      <c r="M302" s="1606"/>
      <c r="N302" s="1606"/>
      <c r="O302" s="1606"/>
      <c r="P302" s="1606"/>
      <c r="Q302" s="1606"/>
      <c r="R302" s="1606"/>
      <c r="S302" s="1606"/>
      <c r="T302" s="1606"/>
      <c r="U302" s="1606"/>
      <c r="V302" s="1606"/>
      <c r="W302" s="1606"/>
      <c r="X302" s="1606"/>
      <c r="Y302" s="1606"/>
      <c r="Z302" s="1606"/>
      <c r="AA302" s="1606"/>
      <c r="AB302" s="1606"/>
      <c r="AC302" s="1606"/>
      <c r="AD302" s="1606"/>
      <c r="AE302" s="1606"/>
      <c r="AI302" s="330"/>
    </row>
    <row r="303" spans="1:35" s="364" customFormat="1" ht="14.25" customHeight="1">
      <c r="A303" s="357" t="s">
        <v>2548</v>
      </c>
      <c r="B303" s="357"/>
      <c r="C303" s="41" t="s">
        <v>2549</v>
      </c>
      <c r="D303" s="40"/>
      <c r="E303" s="41"/>
      <c r="F303" s="42" t="s">
        <v>1295</v>
      </c>
      <c r="G303" s="43"/>
      <c r="H303" s="358"/>
      <c r="I303" s="358"/>
      <c r="J303" s="358"/>
      <c r="K303" s="359"/>
      <c r="L303" s="359"/>
      <c r="M303" s="359"/>
      <c r="N303" s="359"/>
      <c r="O303" s="359"/>
      <c r="P303" s="359"/>
      <c r="Q303" s="359"/>
      <c r="R303" s="359"/>
      <c r="S303" s="359"/>
      <c r="T303" s="359"/>
      <c r="U303" s="359"/>
      <c r="V303" s="359"/>
      <c r="W303" s="360"/>
      <c r="X303" s="360"/>
      <c r="Y303" s="485"/>
      <c r="Z303" s="362"/>
      <c r="AA303" s="360"/>
      <c r="AB303" s="360"/>
      <c r="AC303" s="360"/>
      <c r="AD303" s="363" t="s">
        <v>2550</v>
      </c>
      <c r="AE303" s="41"/>
      <c r="AI303" s="330"/>
    </row>
    <row r="304" spans="1:35" s="364" customFormat="1" ht="14.25" customHeight="1">
      <c r="A304" s="481" t="s">
        <v>2551</v>
      </c>
      <c r="B304" s="235" t="s">
        <v>2552</v>
      </c>
      <c r="C304" s="45" t="s">
        <v>2553</v>
      </c>
      <c r="D304" s="30" t="s">
        <v>2554</v>
      </c>
      <c r="E304" s="30" t="s">
        <v>2555</v>
      </c>
      <c r="F304" s="72">
        <v>1050</v>
      </c>
      <c r="G304" s="47" t="s">
        <v>294</v>
      </c>
      <c r="H304" s="33">
        <v>9770</v>
      </c>
      <c r="I304" s="86">
        <v>6790</v>
      </c>
      <c r="J304" s="34">
        <v>2980</v>
      </c>
      <c r="K304" s="38">
        <v>30.4</v>
      </c>
      <c r="L304" s="366">
        <v>29.6</v>
      </c>
      <c r="M304" s="39">
        <v>21</v>
      </c>
      <c r="N304" s="39">
        <v>8.58</v>
      </c>
      <c r="O304" s="36">
        <v>0.76</v>
      </c>
      <c r="P304" s="38">
        <v>0.42899999999999999</v>
      </c>
      <c r="Q304" s="366">
        <v>0.40799999999999997</v>
      </c>
      <c r="R304" s="36">
        <v>0.40799999999999997</v>
      </c>
      <c r="S304" s="36">
        <v>0</v>
      </c>
      <c r="T304" s="36">
        <v>2.0799999999999999E-2</v>
      </c>
      <c r="U304" s="38">
        <v>30</v>
      </c>
      <c r="V304" s="366">
        <v>29.2</v>
      </c>
      <c r="W304" s="36">
        <v>20.6</v>
      </c>
      <c r="X304" s="36">
        <v>8.58</v>
      </c>
      <c r="Y304" s="36">
        <v>0.73899999999999999</v>
      </c>
      <c r="Z304" s="73">
        <v>7.67</v>
      </c>
      <c r="AA304" s="78">
        <v>4.92</v>
      </c>
      <c r="AB304" s="74">
        <v>2.75</v>
      </c>
      <c r="AC304" s="367">
        <v>0</v>
      </c>
      <c r="AD304" s="110" t="s">
        <v>2556</v>
      </c>
      <c r="AE304" s="30" t="s">
        <v>2557</v>
      </c>
      <c r="AF304" s="398">
        <v>7.65</v>
      </c>
      <c r="AG304" s="399">
        <v>4.63</v>
      </c>
      <c r="AH304" s="399">
        <v>3.02</v>
      </c>
      <c r="AI304" s="330">
        <f>(Z304-AF304)/Z304</f>
        <v>2.6075619295957723E-3</v>
      </c>
    </row>
    <row r="305" spans="1:35" s="364" customFormat="1" ht="14.25" customHeight="1">
      <c r="A305" s="481" t="s">
        <v>2558</v>
      </c>
      <c r="B305" s="235" t="s">
        <v>2559</v>
      </c>
      <c r="C305" s="45" t="s">
        <v>2560</v>
      </c>
      <c r="D305" s="89" t="s">
        <v>1795</v>
      </c>
      <c r="E305" s="30" t="s">
        <v>1796</v>
      </c>
      <c r="F305" s="72">
        <v>7850</v>
      </c>
      <c r="G305" s="47" t="s">
        <v>294</v>
      </c>
      <c r="H305" s="33">
        <v>5660</v>
      </c>
      <c r="I305" s="86">
        <v>5650</v>
      </c>
      <c r="J305" s="34">
        <v>11.1</v>
      </c>
      <c r="K305" s="87">
        <v>5.74</v>
      </c>
      <c r="L305" s="366">
        <v>5.72</v>
      </c>
      <c r="M305" s="39">
        <v>5.72</v>
      </c>
      <c r="N305" s="39">
        <v>0</v>
      </c>
      <c r="O305" s="36">
        <v>2.7799999999999998E-2</v>
      </c>
      <c r="P305" s="87">
        <v>0.26800000000000002</v>
      </c>
      <c r="Q305" s="366">
        <v>0.26700000000000002</v>
      </c>
      <c r="R305" s="36">
        <v>0.26700000000000002</v>
      </c>
      <c r="S305" s="36">
        <v>0</v>
      </c>
      <c r="T305" s="36">
        <v>5.6700000000000001E-4</v>
      </c>
      <c r="U305" s="87">
        <v>5.48</v>
      </c>
      <c r="V305" s="366">
        <v>5.45</v>
      </c>
      <c r="W305" s="36">
        <v>5.45</v>
      </c>
      <c r="X305" s="36">
        <v>0</v>
      </c>
      <c r="Y305" s="36">
        <v>2.7199999999999998E-2</v>
      </c>
      <c r="Z305" s="73">
        <v>2.09</v>
      </c>
      <c r="AA305" s="78">
        <v>2.09</v>
      </c>
      <c r="AB305" s="74">
        <v>6.9300000000000004E-3</v>
      </c>
      <c r="AC305" s="367">
        <v>0</v>
      </c>
      <c r="AD305" s="110" t="s">
        <v>2561</v>
      </c>
      <c r="AE305" s="30" t="s">
        <v>1798</v>
      </c>
      <c r="AF305" s="398">
        <v>1.18</v>
      </c>
      <c r="AG305" s="399">
        <v>1.18</v>
      </c>
      <c r="AH305" s="399">
        <v>0</v>
      </c>
      <c r="AI305" s="330">
        <f>(Z305-AF305)/Z305</f>
        <v>0.4354066985645933</v>
      </c>
    </row>
    <row r="306" spans="1:35" s="364" customFormat="1" ht="14.25" customHeight="1">
      <c r="A306" s="481" t="s">
        <v>693</v>
      </c>
      <c r="B306" s="235" t="s">
        <v>2562</v>
      </c>
      <c r="C306" s="45" t="s">
        <v>2563</v>
      </c>
      <c r="D306" s="142" t="s">
        <v>2564</v>
      </c>
      <c r="E306" s="30" t="s">
        <v>2565</v>
      </c>
      <c r="F306" s="72">
        <v>960</v>
      </c>
      <c r="G306" s="47" t="s">
        <v>294</v>
      </c>
      <c r="H306" s="33">
        <v>6020</v>
      </c>
      <c r="I306" s="86">
        <v>3570</v>
      </c>
      <c r="J306" s="34">
        <v>2450</v>
      </c>
      <c r="K306" s="87">
        <v>23.8</v>
      </c>
      <c r="L306" s="366">
        <v>23.5</v>
      </c>
      <c r="M306" s="39">
        <v>11.6</v>
      </c>
      <c r="N306" s="39">
        <v>11.9</v>
      </c>
      <c r="O306" s="36">
        <v>0.223</v>
      </c>
      <c r="P306" s="87">
        <v>0.53700000000000003</v>
      </c>
      <c r="Q306" s="366">
        <v>0.52300000000000002</v>
      </c>
      <c r="R306" s="36">
        <v>0.52300000000000002</v>
      </c>
      <c r="S306" s="36">
        <v>0</v>
      </c>
      <c r="T306" s="36">
        <v>1.4E-2</v>
      </c>
      <c r="U306" s="87">
        <v>23.2</v>
      </c>
      <c r="V306" s="366">
        <v>23</v>
      </c>
      <c r="W306" s="36">
        <v>11.1</v>
      </c>
      <c r="X306" s="36">
        <v>11.9</v>
      </c>
      <c r="Y306" s="36">
        <v>0.20899999999999999</v>
      </c>
      <c r="Z306" s="73">
        <v>4.75</v>
      </c>
      <c r="AA306" s="78">
        <v>2.38</v>
      </c>
      <c r="AB306" s="74">
        <v>2.37</v>
      </c>
      <c r="AC306" s="367">
        <v>0</v>
      </c>
      <c r="AD306" s="110" t="s">
        <v>2566</v>
      </c>
      <c r="AE306" s="30" t="s">
        <v>2567</v>
      </c>
      <c r="AF306" s="448">
        <v>5.18</v>
      </c>
      <c r="AG306" s="449">
        <v>2.16</v>
      </c>
      <c r="AH306" s="329">
        <v>3.02</v>
      </c>
      <c r="AI306" s="330">
        <f>(Z306-AF306)/Z306</f>
        <v>-9.0526315789473621E-2</v>
      </c>
    </row>
    <row r="307" spans="1:35" s="364" customFormat="1" ht="14.25" customHeight="1">
      <c r="A307" s="481" t="s">
        <v>2568</v>
      </c>
      <c r="B307" s="235" t="s">
        <v>2569</v>
      </c>
      <c r="C307" s="45" t="s">
        <v>2570</v>
      </c>
      <c r="D307" s="142" t="s">
        <v>2564</v>
      </c>
      <c r="E307" s="30" t="s">
        <v>2565</v>
      </c>
      <c r="F307" s="72">
        <v>910</v>
      </c>
      <c r="G307" s="47" t="s">
        <v>294</v>
      </c>
      <c r="H307" s="33">
        <v>6050</v>
      </c>
      <c r="I307" s="86">
        <v>3600</v>
      </c>
      <c r="J307" s="34">
        <v>2450</v>
      </c>
      <c r="K307" s="87">
        <v>23.2</v>
      </c>
      <c r="L307" s="366">
        <v>22.9</v>
      </c>
      <c r="M307" s="39">
        <v>11</v>
      </c>
      <c r="N307" s="39">
        <v>11.9</v>
      </c>
      <c r="O307" s="36">
        <v>0.223</v>
      </c>
      <c r="P307" s="87">
        <v>0.42099999999999999</v>
      </c>
      <c r="Q307" s="366">
        <v>0.40699999999999997</v>
      </c>
      <c r="R307" s="36">
        <v>0.40699999999999997</v>
      </c>
      <c r="S307" s="36">
        <v>0</v>
      </c>
      <c r="T307" s="36">
        <v>1.4E-2</v>
      </c>
      <c r="U307" s="87">
        <v>22.7</v>
      </c>
      <c r="V307" s="366">
        <v>22.5</v>
      </c>
      <c r="W307" s="36">
        <v>10.6</v>
      </c>
      <c r="X307" s="36">
        <v>11.9</v>
      </c>
      <c r="Y307" s="36">
        <v>0.20899999999999999</v>
      </c>
      <c r="Z307" s="73">
        <v>4.7699999999999996</v>
      </c>
      <c r="AA307" s="78">
        <v>2.4</v>
      </c>
      <c r="AB307" s="74">
        <v>2.37</v>
      </c>
      <c r="AC307" s="367">
        <v>0</v>
      </c>
      <c r="AD307" s="110" t="s">
        <v>2571</v>
      </c>
      <c r="AE307" s="30" t="s">
        <v>2567</v>
      </c>
      <c r="AF307" s="448">
        <v>5.21</v>
      </c>
      <c r="AG307" s="449">
        <v>2.1800000000000002</v>
      </c>
      <c r="AH307" s="329">
        <v>3.02</v>
      </c>
      <c r="AI307" s="330">
        <f>(Z307-AF307)/Z307</f>
        <v>-9.2243186582809319E-2</v>
      </c>
    </row>
    <row r="308" spans="1:35" s="364" customFormat="1" ht="14.25" customHeight="1">
      <c r="A308" s="481" t="s">
        <v>789</v>
      </c>
      <c r="B308" s="235" t="s">
        <v>2572</v>
      </c>
      <c r="C308" s="45" t="s">
        <v>2573</v>
      </c>
      <c r="D308" s="30" t="s">
        <v>2574</v>
      </c>
      <c r="E308" s="30" t="s">
        <v>2575</v>
      </c>
      <c r="F308" s="72">
        <v>1390</v>
      </c>
      <c r="G308" s="47" t="s">
        <v>294</v>
      </c>
      <c r="H308" s="33">
        <v>6240</v>
      </c>
      <c r="I308" s="86">
        <v>3880</v>
      </c>
      <c r="J308" s="34">
        <v>2370</v>
      </c>
      <c r="K308" s="87">
        <v>20.2</v>
      </c>
      <c r="L308" s="366">
        <v>19</v>
      </c>
      <c r="M308" s="39">
        <v>12.9</v>
      </c>
      <c r="N308" s="39">
        <v>6.02</v>
      </c>
      <c r="O308" s="36">
        <v>1.2</v>
      </c>
      <c r="P308" s="87">
        <v>0.63700000000000001</v>
      </c>
      <c r="Q308" s="366">
        <v>0.53600000000000003</v>
      </c>
      <c r="R308" s="36">
        <v>0.53600000000000003</v>
      </c>
      <c r="S308" s="36">
        <v>0</v>
      </c>
      <c r="T308" s="36">
        <v>0.10100000000000001</v>
      </c>
      <c r="U308" s="87">
        <v>19.5</v>
      </c>
      <c r="V308" s="366">
        <v>18.399999999999999</v>
      </c>
      <c r="W308" s="36">
        <v>12.4</v>
      </c>
      <c r="X308" s="36">
        <v>6.02</v>
      </c>
      <c r="Y308" s="36">
        <v>1.1000000000000001</v>
      </c>
      <c r="Z308" s="73">
        <v>4.4800000000000004</v>
      </c>
      <c r="AA308" s="78">
        <v>2.38</v>
      </c>
      <c r="AB308" s="74">
        <v>2.1</v>
      </c>
      <c r="AC308" s="367">
        <v>0</v>
      </c>
      <c r="AD308" s="110" t="s">
        <v>2576</v>
      </c>
      <c r="AE308" s="30" t="s">
        <v>2577</v>
      </c>
      <c r="AF308" s="448">
        <v>1.36</v>
      </c>
      <c r="AG308" s="449">
        <v>0.69799999999999995</v>
      </c>
      <c r="AH308" s="329">
        <v>0.65800000000000003</v>
      </c>
      <c r="AI308" s="330">
        <f>(Z308-AF308)/Z308</f>
        <v>0.6964285714285714</v>
      </c>
    </row>
    <row r="309" spans="1:35" s="364" customFormat="1" ht="14.25" customHeight="1">
      <c r="A309" s="357" t="s">
        <v>2578</v>
      </c>
      <c r="B309" s="807"/>
      <c r="C309" s="41" t="s">
        <v>2579</v>
      </c>
      <c r="D309" s="40"/>
      <c r="E309" s="41"/>
      <c r="F309" s="42" t="s">
        <v>1561</v>
      </c>
      <c r="G309" s="43"/>
      <c r="H309" s="392"/>
      <c r="I309" s="358"/>
      <c r="J309" s="392"/>
      <c r="K309" s="486"/>
      <c r="L309" s="487"/>
      <c r="M309" s="373"/>
      <c r="N309" s="373"/>
      <c r="O309" s="488"/>
      <c r="P309" s="488"/>
      <c r="Q309" s="487"/>
      <c r="R309" s="373"/>
      <c r="S309" s="373"/>
      <c r="T309" s="487"/>
      <c r="U309" s="488"/>
      <c r="V309" s="487"/>
      <c r="W309" s="373"/>
      <c r="X309" s="373"/>
      <c r="Y309" s="373"/>
      <c r="Z309" s="452"/>
      <c r="AA309" s="360"/>
      <c r="AB309" s="444"/>
      <c r="AC309" s="444"/>
      <c r="AD309" s="363" t="s">
        <v>2580</v>
      </c>
      <c r="AE309" s="41"/>
      <c r="AI309" s="330"/>
    </row>
    <row r="310" spans="1:35" s="364" customFormat="1" ht="14.25" customHeight="1">
      <c r="A310" s="481" t="s">
        <v>2581</v>
      </c>
      <c r="B310" s="235" t="s">
        <v>2582</v>
      </c>
      <c r="C310" s="45" t="s">
        <v>2583</v>
      </c>
      <c r="D310" s="45" t="s">
        <v>2584</v>
      </c>
      <c r="E310" s="30" t="s">
        <v>2585</v>
      </c>
      <c r="F310" s="79">
        <v>0.3</v>
      </c>
      <c r="G310" s="47" t="s">
        <v>1141</v>
      </c>
      <c r="H310" s="33">
        <v>2260</v>
      </c>
      <c r="I310" s="86">
        <v>2190</v>
      </c>
      <c r="J310" s="34">
        <v>70.7</v>
      </c>
      <c r="K310" s="87">
        <v>7.02</v>
      </c>
      <c r="L310" s="366">
        <v>7</v>
      </c>
      <c r="M310" s="39">
        <v>6.1</v>
      </c>
      <c r="N310" s="39">
        <v>0.90500000000000003</v>
      </c>
      <c r="O310" s="36">
        <v>1.7399999999999999E-2</v>
      </c>
      <c r="P310" s="87">
        <v>0.44900000000000001</v>
      </c>
      <c r="Q310" s="366">
        <v>0.44900000000000001</v>
      </c>
      <c r="R310" s="36">
        <v>0.44900000000000001</v>
      </c>
      <c r="S310" s="36">
        <v>0</v>
      </c>
      <c r="T310" s="36">
        <v>6.6E-4</v>
      </c>
      <c r="U310" s="87">
        <v>6.57</v>
      </c>
      <c r="V310" s="366">
        <v>6.55</v>
      </c>
      <c r="W310" s="36">
        <v>5.65</v>
      </c>
      <c r="X310" s="36">
        <v>0.90500000000000003</v>
      </c>
      <c r="Y310" s="36">
        <v>1.67E-2</v>
      </c>
      <c r="Z310" s="50">
        <v>0.97499999999999998</v>
      </c>
      <c r="AA310" s="79">
        <v>0.91900000000000004</v>
      </c>
      <c r="AB310" s="31">
        <v>5.62E-2</v>
      </c>
      <c r="AC310" s="367">
        <v>0</v>
      </c>
      <c r="AD310" s="110" t="s">
        <v>2586</v>
      </c>
      <c r="AE310" s="30" t="s">
        <v>2587</v>
      </c>
      <c r="AF310" s="379">
        <v>1.47</v>
      </c>
      <c r="AG310" s="390">
        <v>0.75800000000000001</v>
      </c>
      <c r="AH310" s="390">
        <v>0.71599999999999997</v>
      </c>
      <c r="AI310" s="330">
        <f t="shared" ref="AI310:AI317" si="6">(Z310-AF310)/Z310</f>
        <v>-0.50769230769230766</v>
      </c>
    </row>
    <row r="311" spans="1:35" s="364" customFormat="1" ht="14.25" customHeight="1">
      <c r="A311" s="481" t="s">
        <v>762</v>
      </c>
      <c r="B311" s="235" t="s">
        <v>2588</v>
      </c>
      <c r="C311" s="45" t="s">
        <v>2589</v>
      </c>
      <c r="D311" s="45" t="s">
        <v>2584</v>
      </c>
      <c r="E311" s="30" t="s">
        <v>2585</v>
      </c>
      <c r="F311" s="79">
        <v>0.3</v>
      </c>
      <c r="G311" s="47" t="s">
        <v>1141</v>
      </c>
      <c r="H311" s="33">
        <v>1220</v>
      </c>
      <c r="I311" s="86">
        <v>1150</v>
      </c>
      <c r="J311" s="34">
        <v>70.7</v>
      </c>
      <c r="K311" s="87">
        <v>4.3099999999999996</v>
      </c>
      <c r="L311" s="366">
        <v>4.29</v>
      </c>
      <c r="M311" s="39">
        <v>3.39</v>
      </c>
      <c r="N311" s="39">
        <v>0.90500000000000003</v>
      </c>
      <c r="O311" s="36">
        <v>1.7399999999999999E-2</v>
      </c>
      <c r="P311" s="87">
        <v>0.14000000000000001</v>
      </c>
      <c r="Q311" s="366">
        <v>0.14000000000000001</v>
      </c>
      <c r="R311" s="36">
        <v>0.14000000000000001</v>
      </c>
      <c r="S311" s="36">
        <v>0</v>
      </c>
      <c r="T311" s="36">
        <v>6.6E-4</v>
      </c>
      <c r="U311" s="87">
        <v>4.17</v>
      </c>
      <c r="V311" s="366">
        <v>4.1500000000000004</v>
      </c>
      <c r="W311" s="36">
        <v>3.25</v>
      </c>
      <c r="X311" s="36">
        <v>0.90500000000000003</v>
      </c>
      <c r="Y311" s="36">
        <v>1.67E-2</v>
      </c>
      <c r="Z311" s="50">
        <v>0.70099999999999996</v>
      </c>
      <c r="AA311" s="79">
        <v>0.64500000000000002</v>
      </c>
      <c r="AB311" s="31">
        <v>5.62E-2</v>
      </c>
      <c r="AC311" s="367">
        <v>0</v>
      </c>
      <c r="AD311" s="110" t="s">
        <v>309</v>
      </c>
      <c r="AE311" s="30" t="s">
        <v>2587</v>
      </c>
      <c r="AF311" s="379">
        <v>1.26</v>
      </c>
      <c r="AG311" s="390">
        <v>0.54400000000000004</v>
      </c>
      <c r="AH311" s="390">
        <v>0.71599999999999997</v>
      </c>
      <c r="AI311" s="330">
        <f t="shared" si="6"/>
        <v>-0.7974322396576321</v>
      </c>
    </row>
    <row r="312" spans="1:35" s="364" customFormat="1" ht="14.25" customHeight="1">
      <c r="A312" s="481" t="s">
        <v>691</v>
      </c>
      <c r="B312" s="235" t="s">
        <v>2590</v>
      </c>
      <c r="C312" s="45" t="s">
        <v>2591</v>
      </c>
      <c r="D312" s="30" t="s">
        <v>2592</v>
      </c>
      <c r="E312" s="30" t="s">
        <v>2593</v>
      </c>
      <c r="F312" s="79">
        <v>0.25</v>
      </c>
      <c r="G312" s="47" t="s">
        <v>1141</v>
      </c>
      <c r="H312" s="33">
        <v>428</v>
      </c>
      <c r="I312" s="86">
        <v>369</v>
      </c>
      <c r="J312" s="34">
        <v>59</v>
      </c>
      <c r="K312" s="73">
        <v>1.87</v>
      </c>
      <c r="L312" s="366">
        <v>1.85</v>
      </c>
      <c r="M312" s="39">
        <v>0.72099999999999997</v>
      </c>
      <c r="N312" s="39">
        <v>1.1299999999999999</v>
      </c>
      <c r="O312" s="36">
        <v>1.4500000000000001E-2</v>
      </c>
      <c r="P312" s="73">
        <v>1.67E-2</v>
      </c>
      <c r="Q312" s="366">
        <v>1.61E-2</v>
      </c>
      <c r="R312" s="36">
        <v>1.61E-2</v>
      </c>
      <c r="S312" s="36">
        <v>0</v>
      </c>
      <c r="T312" s="36">
        <v>5.5000000000000003E-4</v>
      </c>
      <c r="U312" s="87">
        <v>1.85</v>
      </c>
      <c r="V312" s="366">
        <v>1.84</v>
      </c>
      <c r="W312" s="36">
        <v>0.70499999999999996</v>
      </c>
      <c r="X312" s="36">
        <v>1.1299999999999999</v>
      </c>
      <c r="Y312" s="36">
        <v>1.4E-2</v>
      </c>
      <c r="Z312" s="50">
        <v>0.18099999999999999</v>
      </c>
      <c r="AA312" s="79">
        <v>0.13400000000000001</v>
      </c>
      <c r="AB312" s="31">
        <v>4.6800000000000001E-2</v>
      </c>
      <c r="AC312" s="367">
        <v>0</v>
      </c>
      <c r="AD312" s="110" t="s">
        <v>313</v>
      </c>
      <c r="AE312" s="30" t="s">
        <v>2594</v>
      </c>
      <c r="AF312" s="379">
        <v>0.67400000000000004</v>
      </c>
      <c r="AG312" s="390">
        <v>8.6699999999999999E-2</v>
      </c>
      <c r="AH312" s="390">
        <v>0.58699999999999997</v>
      </c>
      <c r="AI312" s="330">
        <f t="shared" si="6"/>
        <v>-2.7237569060773485</v>
      </c>
    </row>
    <row r="313" spans="1:35" s="364" customFormat="1" ht="14.25" customHeight="1">
      <c r="A313" s="481" t="s">
        <v>2595</v>
      </c>
      <c r="B313" s="235" t="s">
        <v>2596</v>
      </c>
      <c r="C313" s="45" t="s">
        <v>2597</v>
      </c>
      <c r="D313" s="45" t="s">
        <v>1134</v>
      </c>
      <c r="E313" s="45" t="s">
        <v>2598</v>
      </c>
      <c r="F313" s="79" t="s">
        <v>1134</v>
      </c>
      <c r="G313" s="47" t="s">
        <v>1141</v>
      </c>
      <c r="H313" s="85">
        <v>16400</v>
      </c>
      <c r="I313" s="86">
        <v>16400</v>
      </c>
      <c r="J313" s="86">
        <v>0</v>
      </c>
      <c r="K313" s="91">
        <v>47.4</v>
      </c>
      <c r="L313" s="366">
        <v>47.4</v>
      </c>
      <c r="M313" s="39">
        <v>47.4</v>
      </c>
      <c r="N313" s="39">
        <v>0</v>
      </c>
      <c r="O313" s="366">
        <v>0</v>
      </c>
      <c r="P313" s="91">
        <v>3.98</v>
      </c>
      <c r="Q313" s="366">
        <v>3.98</v>
      </c>
      <c r="R313" s="36">
        <v>3.98</v>
      </c>
      <c r="S313" s="36">
        <v>0</v>
      </c>
      <c r="T313" s="366">
        <v>0</v>
      </c>
      <c r="U313" s="91">
        <v>43.4</v>
      </c>
      <c r="V313" s="366">
        <v>43.4</v>
      </c>
      <c r="W313" s="36">
        <v>43.4</v>
      </c>
      <c r="X313" s="36">
        <v>0</v>
      </c>
      <c r="Y313" s="366">
        <v>0</v>
      </c>
      <c r="Z313" s="77">
        <v>8.11</v>
      </c>
      <c r="AA313" s="78">
        <v>8.11</v>
      </c>
      <c r="AB313" s="47">
        <v>0</v>
      </c>
      <c r="AC313" s="367">
        <v>0</v>
      </c>
      <c r="AD313" s="110" t="s">
        <v>2599</v>
      </c>
      <c r="AE313" s="45" t="s">
        <v>2600</v>
      </c>
      <c r="AF313" s="398">
        <v>2.33</v>
      </c>
      <c r="AG313" s="399">
        <v>2.33</v>
      </c>
      <c r="AH313" s="443">
        <v>0</v>
      </c>
      <c r="AI313" s="330">
        <f t="shared" si="6"/>
        <v>0.71270036991368679</v>
      </c>
    </row>
    <row r="314" spans="1:35" s="364" customFormat="1" ht="14.25" customHeight="1">
      <c r="A314" s="481" t="s">
        <v>2601</v>
      </c>
      <c r="B314" s="235" t="s">
        <v>2602</v>
      </c>
      <c r="C314" s="45" t="s">
        <v>2603</v>
      </c>
      <c r="D314" s="45" t="s">
        <v>1134</v>
      </c>
      <c r="E314" s="45" t="s">
        <v>2598</v>
      </c>
      <c r="F314" s="79" t="s">
        <v>1134</v>
      </c>
      <c r="G314" s="47" t="s">
        <v>1141</v>
      </c>
      <c r="H314" s="85">
        <v>6260</v>
      </c>
      <c r="I314" s="86">
        <v>6260</v>
      </c>
      <c r="J314" s="86">
        <v>0</v>
      </c>
      <c r="K314" s="82">
        <v>17.100000000000001</v>
      </c>
      <c r="L314" s="366">
        <v>17.100000000000001</v>
      </c>
      <c r="M314" s="39">
        <v>17.100000000000001</v>
      </c>
      <c r="N314" s="39">
        <v>0</v>
      </c>
      <c r="O314" s="366">
        <v>0</v>
      </c>
      <c r="P314" s="82">
        <v>0.57499999999999996</v>
      </c>
      <c r="Q314" s="366">
        <v>0.57499999999999996</v>
      </c>
      <c r="R314" s="36">
        <v>0.57499999999999996</v>
      </c>
      <c r="S314" s="36">
        <v>0</v>
      </c>
      <c r="T314" s="366">
        <v>0</v>
      </c>
      <c r="U314" s="82">
        <v>16.600000000000001</v>
      </c>
      <c r="V314" s="366">
        <v>16.600000000000001</v>
      </c>
      <c r="W314" s="36">
        <v>16.600000000000001</v>
      </c>
      <c r="X314" s="36">
        <v>0</v>
      </c>
      <c r="Y314" s="366">
        <v>0</v>
      </c>
      <c r="Z314" s="77">
        <v>3.64</v>
      </c>
      <c r="AA314" s="78">
        <v>3.64</v>
      </c>
      <c r="AB314" s="47">
        <v>0</v>
      </c>
      <c r="AC314" s="367">
        <v>0</v>
      </c>
      <c r="AD314" s="110" t="s">
        <v>2604</v>
      </c>
      <c r="AE314" s="45" t="s">
        <v>2605</v>
      </c>
      <c r="AF314" s="398">
        <v>2.92</v>
      </c>
      <c r="AG314" s="399">
        <v>2.92</v>
      </c>
      <c r="AH314" s="443">
        <v>0</v>
      </c>
      <c r="AI314" s="330">
        <f t="shared" si="6"/>
        <v>0.19780219780219785</v>
      </c>
    </row>
    <row r="315" spans="1:35" s="364" customFormat="1" ht="14.25" customHeight="1">
      <c r="A315" s="481" t="s">
        <v>1016</v>
      </c>
      <c r="B315" s="235" t="s">
        <v>2606</v>
      </c>
      <c r="C315" s="45" t="s">
        <v>2607</v>
      </c>
      <c r="D315" s="45" t="s">
        <v>1134</v>
      </c>
      <c r="E315" s="45" t="s">
        <v>2598</v>
      </c>
      <c r="F315" s="79" t="s">
        <v>1134</v>
      </c>
      <c r="G315" s="47" t="s">
        <v>1141</v>
      </c>
      <c r="H315" s="85">
        <v>6750</v>
      </c>
      <c r="I315" s="86">
        <v>6750</v>
      </c>
      <c r="J315" s="86">
        <v>0</v>
      </c>
      <c r="K315" s="82">
        <v>21.8</v>
      </c>
      <c r="L315" s="366">
        <v>21.8</v>
      </c>
      <c r="M315" s="39">
        <v>21.8</v>
      </c>
      <c r="N315" s="39">
        <v>0</v>
      </c>
      <c r="O315" s="366">
        <v>0</v>
      </c>
      <c r="P315" s="82">
        <v>0.69399999999999995</v>
      </c>
      <c r="Q315" s="366">
        <v>0.69399999999999995</v>
      </c>
      <c r="R315" s="36">
        <v>0.69399999999999995</v>
      </c>
      <c r="S315" s="36">
        <v>0</v>
      </c>
      <c r="T315" s="366">
        <v>0</v>
      </c>
      <c r="U315" s="82">
        <v>21.1</v>
      </c>
      <c r="V315" s="366">
        <v>21.1</v>
      </c>
      <c r="W315" s="36">
        <v>21.1</v>
      </c>
      <c r="X315" s="36">
        <v>0</v>
      </c>
      <c r="Y315" s="366">
        <v>0</v>
      </c>
      <c r="Z315" s="77">
        <v>4.38</v>
      </c>
      <c r="AA315" s="78">
        <v>4.38</v>
      </c>
      <c r="AB315" s="47">
        <v>0</v>
      </c>
      <c r="AC315" s="367">
        <v>0</v>
      </c>
      <c r="AD315" s="110" t="s">
        <v>2608</v>
      </c>
      <c r="AE315" s="45" t="s">
        <v>2605</v>
      </c>
      <c r="AF315" s="398">
        <v>3.52</v>
      </c>
      <c r="AG315" s="399">
        <v>3.52</v>
      </c>
      <c r="AH315" s="443">
        <v>0</v>
      </c>
      <c r="AI315" s="330">
        <f t="shared" si="6"/>
        <v>0.19634703196347031</v>
      </c>
    </row>
    <row r="316" spans="1:35" s="364" customFormat="1" ht="14.25" customHeight="1">
      <c r="A316" s="481" t="s">
        <v>2609</v>
      </c>
      <c r="B316" s="235" t="s">
        <v>2610</v>
      </c>
      <c r="C316" s="45" t="s">
        <v>2611</v>
      </c>
      <c r="D316" s="45" t="s">
        <v>1134</v>
      </c>
      <c r="E316" s="45" t="s">
        <v>2598</v>
      </c>
      <c r="F316" s="79" t="s">
        <v>1134</v>
      </c>
      <c r="G316" s="47" t="s">
        <v>1141</v>
      </c>
      <c r="H316" s="85">
        <v>6320</v>
      </c>
      <c r="I316" s="86">
        <v>6320</v>
      </c>
      <c r="J316" s="86">
        <v>0</v>
      </c>
      <c r="K316" s="82">
        <v>5.3</v>
      </c>
      <c r="L316" s="366">
        <v>5.3</v>
      </c>
      <c r="M316" s="39">
        <v>5.3</v>
      </c>
      <c r="N316" s="39">
        <v>0</v>
      </c>
      <c r="O316" s="366">
        <v>0</v>
      </c>
      <c r="P316" s="82">
        <v>0.85499999999999998</v>
      </c>
      <c r="Q316" s="366">
        <v>0.85499999999999998</v>
      </c>
      <c r="R316" s="36">
        <v>0.85499999999999998</v>
      </c>
      <c r="S316" s="36">
        <v>0</v>
      </c>
      <c r="T316" s="366">
        <v>0</v>
      </c>
      <c r="U316" s="82">
        <v>4.45</v>
      </c>
      <c r="V316" s="366">
        <v>4.45</v>
      </c>
      <c r="W316" s="36">
        <v>4.45</v>
      </c>
      <c r="X316" s="36">
        <v>0</v>
      </c>
      <c r="Y316" s="366">
        <v>0</v>
      </c>
      <c r="Z316" s="80">
        <v>0.60899999999999999</v>
      </c>
      <c r="AA316" s="79">
        <v>0.60899999999999999</v>
      </c>
      <c r="AB316" s="47">
        <v>0</v>
      </c>
      <c r="AC316" s="367">
        <v>0</v>
      </c>
      <c r="AD316" s="110" t="s">
        <v>2612</v>
      </c>
      <c r="AE316" s="45" t="s">
        <v>2605</v>
      </c>
      <c r="AF316" s="379">
        <v>0.32500000000000001</v>
      </c>
      <c r="AG316" s="390">
        <v>0.32500000000000001</v>
      </c>
      <c r="AH316" s="443">
        <v>0</v>
      </c>
      <c r="AI316" s="330">
        <f t="shared" si="6"/>
        <v>0.4663382594417077</v>
      </c>
    </row>
    <row r="317" spans="1:35" s="364" customFormat="1" ht="14.25" customHeight="1">
      <c r="A317" s="481" t="s">
        <v>2613</v>
      </c>
      <c r="B317" s="235" t="s">
        <v>2614</v>
      </c>
      <c r="C317" s="45" t="s">
        <v>2615</v>
      </c>
      <c r="D317" s="45" t="s">
        <v>1134</v>
      </c>
      <c r="E317" s="45" t="s">
        <v>2598</v>
      </c>
      <c r="F317" s="79" t="s">
        <v>1134</v>
      </c>
      <c r="G317" s="47" t="s">
        <v>1141</v>
      </c>
      <c r="H317" s="85">
        <v>29500</v>
      </c>
      <c r="I317" s="86">
        <v>29500</v>
      </c>
      <c r="J317" s="86">
        <v>0</v>
      </c>
      <c r="K317" s="91">
        <v>28.2</v>
      </c>
      <c r="L317" s="366">
        <v>28.2</v>
      </c>
      <c r="M317" s="39">
        <v>28.2</v>
      </c>
      <c r="N317" s="39">
        <v>0</v>
      </c>
      <c r="O317" s="366">
        <v>0</v>
      </c>
      <c r="P317" s="91">
        <v>2.63</v>
      </c>
      <c r="Q317" s="366">
        <v>2.63</v>
      </c>
      <c r="R317" s="36">
        <v>2.63</v>
      </c>
      <c r="S317" s="36">
        <v>0</v>
      </c>
      <c r="T317" s="366">
        <v>0</v>
      </c>
      <c r="U317" s="82">
        <v>25.5</v>
      </c>
      <c r="V317" s="366">
        <v>25.5</v>
      </c>
      <c r="W317" s="36">
        <v>25.5</v>
      </c>
      <c r="X317" s="36">
        <v>0</v>
      </c>
      <c r="Y317" s="366">
        <v>0</v>
      </c>
      <c r="Z317" s="77">
        <v>6.09</v>
      </c>
      <c r="AA317" s="78">
        <v>6.09</v>
      </c>
      <c r="AB317" s="47">
        <v>0</v>
      </c>
      <c r="AC317" s="367">
        <v>0</v>
      </c>
      <c r="AD317" s="45" t="s">
        <v>2616</v>
      </c>
      <c r="AE317" s="45" t="s">
        <v>2600</v>
      </c>
      <c r="AF317" s="398">
        <v>3.54</v>
      </c>
      <c r="AG317" s="399">
        <v>3.54</v>
      </c>
      <c r="AH317" s="443">
        <v>0</v>
      </c>
      <c r="AI317" s="330">
        <f t="shared" si="6"/>
        <v>0.41871921182266009</v>
      </c>
    </row>
    <row r="318" spans="1:35" s="364" customFormat="1" ht="14.25" customHeight="1">
      <c r="A318" s="357" t="s">
        <v>2617</v>
      </c>
      <c r="B318" s="807"/>
      <c r="C318" s="41" t="s">
        <v>2618</v>
      </c>
      <c r="D318" s="40"/>
      <c r="E318" s="41"/>
      <c r="F318" s="42" t="s">
        <v>1295</v>
      </c>
      <c r="G318" s="43"/>
      <c r="H318" s="358"/>
      <c r="I318" s="358"/>
      <c r="J318" s="358"/>
      <c r="K318" s="359"/>
      <c r="L318" s="359"/>
      <c r="M318" s="373"/>
      <c r="N318" s="373"/>
      <c r="O318" s="487"/>
      <c r="P318" s="487"/>
      <c r="Q318" s="487"/>
      <c r="R318" s="373"/>
      <c r="S318" s="373"/>
      <c r="T318" s="487"/>
      <c r="U318" s="487"/>
      <c r="V318" s="487"/>
      <c r="W318" s="373"/>
      <c r="X318" s="373"/>
      <c r="Y318" s="485"/>
      <c r="Z318" s="426"/>
      <c r="AA318" s="453"/>
      <c r="AB318" s="453"/>
      <c r="AC318" s="453"/>
      <c r="AD318" s="363" t="s">
        <v>2619</v>
      </c>
      <c r="AE318" s="41"/>
      <c r="AI318" s="330"/>
    </row>
    <row r="319" spans="1:35" s="364" customFormat="1" ht="14.25" customHeight="1">
      <c r="A319" s="481" t="s">
        <v>2620</v>
      </c>
      <c r="B319" s="235" t="s">
        <v>2621</v>
      </c>
      <c r="C319" s="45" t="s">
        <v>2622</v>
      </c>
      <c r="D319" s="30" t="s">
        <v>2623</v>
      </c>
      <c r="E319" s="30" t="s">
        <v>2624</v>
      </c>
      <c r="F319" s="72">
        <v>1180</v>
      </c>
      <c r="G319" s="47" t="s">
        <v>294</v>
      </c>
      <c r="H319" s="33">
        <v>14800</v>
      </c>
      <c r="I319" s="86">
        <v>11700</v>
      </c>
      <c r="J319" s="34">
        <v>3090</v>
      </c>
      <c r="K319" s="38">
        <v>40.5</v>
      </c>
      <c r="L319" s="366">
        <v>40.299999999999997</v>
      </c>
      <c r="M319" s="39">
        <v>32.700000000000003</v>
      </c>
      <c r="N319" s="36">
        <v>7.6</v>
      </c>
      <c r="O319" s="36">
        <v>0.223</v>
      </c>
      <c r="P319" s="38">
        <v>0.38400000000000001</v>
      </c>
      <c r="Q319" s="366">
        <v>0.371</v>
      </c>
      <c r="R319" s="36">
        <v>0.371</v>
      </c>
      <c r="S319" s="36">
        <v>0</v>
      </c>
      <c r="T319" s="36">
        <v>1.34E-2</v>
      </c>
      <c r="U319" s="38">
        <v>40.200000000000003</v>
      </c>
      <c r="V319" s="366">
        <v>40</v>
      </c>
      <c r="W319" s="36">
        <v>32.4</v>
      </c>
      <c r="X319" s="36">
        <v>7.6</v>
      </c>
      <c r="Y319" s="36">
        <v>0.21</v>
      </c>
      <c r="Z319" s="87">
        <v>11.6</v>
      </c>
      <c r="AA319" s="78">
        <v>8.68</v>
      </c>
      <c r="AB319" s="74">
        <v>2.92</v>
      </c>
      <c r="AC319" s="367">
        <v>0</v>
      </c>
      <c r="AD319" s="110" t="s">
        <v>2625</v>
      </c>
      <c r="AE319" s="30" t="s">
        <v>2626</v>
      </c>
      <c r="AF319" s="438">
        <v>11.7</v>
      </c>
      <c r="AG319" s="399">
        <v>8.66</v>
      </c>
      <c r="AH319" s="399">
        <v>3.02</v>
      </c>
      <c r="AI319" s="330">
        <f>(Z319-AF319)/Z319</f>
        <v>-8.6206896551723842E-3</v>
      </c>
    </row>
    <row r="320" spans="1:35" s="364" customFormat="1" ht="14.25" customHeight="1">
      <c r="A320" s="481" t="s">
        <v>755</v>
      </c>
      <c r="B320" s="235" t="s">
        <v>2627</v>
      </c>
      <c r="C320" s="45" t="s">
        <v>2628</v>
      </c>
      <c r="D320" s="30" t="s">
        <v>2629</v>
      </c>
      <c r="E320" s="30" t="s">
        <v>2630</v>
      </c>
      <c r="F320" s="72">
        <v>1360</v>
      </c>
      <c r="G320" s="47" t="s">
        <v>294</v>
      </c>
      <c r="H320" s="33">
        <v>15200</v>
      </c>
      <c r="I320" s="86">
        <v>12300</v>
      </c>
      <c r="J320" s="34">
        <v>2910</v>
      </c>
      <c r="K320" s="38">
        <v>41.3</v>
      </c>
      <c r="L320" s="366">
        <v>40.6</v>
      </c>
      <c r="M320" s="39">
        <v>36.6</v>
      </c>
      <c r="N320" s="36">
        <v>3.96</v>
      </c>
      <c r="O320" s="36">
        <v>0.70599999999999996</v>
      </c>
      <c r="P320" s="38">
        <v>0.97899999999999998</v>
      </c>
      <c r="Q320" s="366">
        <v>0.95899999999999996</v>
      </c>
      <c r="R320" s="36">
        <v>0.95899999999999996</v>
      </c>
      <c r="S320" s="36">
        <v>0</v>
      </c>
      <c r="T320" s="36">
        <v>1.9300000000000001E-2</v>
      </c>
      <c r="U320" s="38">
        <v>40.299999999999997</v>
      </c>
      <c r="V320" s="366">
        <v>39.6</v>
      </c>
      <c r="W320" s="36">
        <v>35.6</v>
      </c>
      <c r="X320" s="36">
        <v>3.96</v>
      </c>
      <c r="Y320" s="36">
        <v>0.68700000000000006</v>
      </c>
      <c r="Z320" s="73">
        <v>11.5</v>
      </c>
      <c r="AA320" s="78">
        <v>8.89</v>
      </c>
      <c r="AB320" s="31">
        <v>2.62</v>
      </c>
      <c r="AC320" s="367">
        <v>0</v>
      </c>
      <c r="AD320" s="110" t="s">
        <v>2631</v>
      </c>
      <c r="AE320" s="30" t="s">
        <v>2632</v>
      </c>
      <c r="AF320" s="398">
        <v>8.92</v>
      </c>
      <c r="AG320" s="399">
        <v>8.2200000000000006</v>
      </c>
      <c r="AH320" s="390">
        <v>0.70099999999999996</v>
      </c>
      <c r="AI320" s="330">
        <f>(Z320-AF320)/Z320</f>
        <v>0.22434782608695653</v>
      </c>
    </row>
    <row r="321" spans="1:35" s="364" customFormat="1" ht="14.25" customHeight="1">
      <c r="A321" s="481" t="s">
        <v>2633</v>
      </c>
      <c r="B321" s="235" t="s">
        <v>2634</v>
      </c>
      <c r="C321" s="45" t="s">
        <v>2635</v>
      </c>
      <c r="D321" s="30" t="s">
        <v>2623</v>
      </c>
      <c r="E321" s="30" t="s">
        <v>2624</v>
      </c>
      <c r="F321" s="72">
        <v>1200</v>
      </c>
      <c r="G321" s="47" t="s">
        <v>294</v>
      </c>
      <c r="H321" s="33">
        <v>15900</v>
      </c>
      <c r="I321" s="86">
        <v>12800</v>
      </c>
      <c r="J321" s="34">
        <v>3090</v>
      </c>
      <c r="K321" s="38">
        <v>32.200000000000003</v>
      </c>
      <c r="L321" s="366">
        <v>32</v>
      </c>
      <c r="M321" s="39">
        <v>26</v>
      </c>
      <c r="N321" s="36">
        <v>6</v>
      </c>
      <c r="O321" s="36">
        <v>0.223</v>
      </c>
      <c r="P321" s="38">
        <v>0.41899999999999998</v>
      </c>
      <c r="Q321" s="366">
        <v>0.40500000000000003</v>
      </c>
      <c r="R321" s="36">
        <v>0.40500000000000003</v>
      </c>
      <c r="S321" s="36">
        <v>0</v>
      </c>
      <c r="T321" s="36">
        <v>1.34E-2</v>
      </c>
      <c r="U321" s="38">
        <v>31.8</v>
      </c>
      <c r="V321" s="366">
        <v>31.6</v>
      </c>
      <c r="W321" s="36">
        <v>25.6</v>
      </c>
      <c r="X321" s="36">
        <v>6</v>
      </c>
      <c r="Y321" s="36">
        <v>0.21</v>
      </c>
      <c r="Z321" s="87">
        <v>11.4</v>
      </c>
      <c r="AA321" s="78">
        <v>8.49</v>
      </c>
      <c r="AB321" s="74">
        <v>2.92</v>
      </c>
      <c r="AC321" s="367">
        <v>0</v>
      </c>
      <c r="AD321" s="110" t="s">
        <v>2636</v>
      </c>
      <c r="AE321" s="30" t="s">
        <v>2626</v>
      </c>
      <c r="AF321" s="438">
        <v>11.3</v>
      </c>
      <c r="AG321" s="399">
        <v>8.26</v>
      </c>
      <c r="AH321" s="399">
        <v>3.02</v>
      </c>
      <c r="AI321" s="330">
        <f>(Z321-AF321)/Z321</f>
        <v>8.7719298245613718E-3</v>
      </c>
    </row>
    <row r="322" spans="1:35" s="364" customFormat="1" ht="14.25" customHeight="1">
      <c r="A322" s="481" t="s">
        <v>2637</v>
      </c>
      <c r="B322" s="235" t="s">
        <v>2638</v>
      </c>
      <c r="C322" s="45" t="s">
        <v>2639</v>
      </c>
      <c r="D322" s="30" t="s">
        <v>2623</v>
      </c>
      <c r="E322" s="30" t="s">
        <v>2624</v>
      </c>
      <c r="F322" s="72">
        <v>1500</v>
      </c>
      <c r="G322" s="47" t="s">
        <v>294</v>
      </c>
      <c r="H322" s="33">
        <v>13800</v>
      </c>
      <c r="I322" s="86">
        <v>10700</v>
      </c>
      <c r="J322" s="34">
        <v>3090</v>
      </c>
      <c r="K322" s="87">
        <v>32.799999999999997</v>
      </c>
      <c r="L322" s="366">
        <v>32.6</v>
      </c>
      <c r="M322" s="39">
        <v>28.8</v>
      </c>
      <c r="N322" s="36">
        <v>3.76</v>
      </c>
      <c r="O322" s="36">
        <v>0.223</v>
      </c>
      <c r="P322" s="87">
        <v>1.48</v>
      </c>
      <c r="Q322" s="366">
        <v>1.46</v>
      </c>
      <c r="R322" s="36">
        <v>1.46</v>
      </c>
      <c r="S322" s="36">
        <v>0</v>
      </c>
      <c r="T322" s="36">
        <v>1.34E-2</v>
      </c>
      <c r="U322" s="87">
        <v>31.3</v>
      </c>
      <c r="V322" s="366">
        <v>31.1</v>
      </c>
      <c r="W322" s="36">
        <v>27.4</v>
      </c>
      <c r="X322" s="36">
        <v>3.76</v>
      </c>
      <c r="Y322" s="36">
        <v>0.21</v>
      </c>
      <c r="Z322" s="73">
        <v>9.84</v>
      </c>
      <c r="AA322" s="78">
        <v>6.92</v>
      </c>
      <c r="AB322" s="31">
        <v>2.92</v>
      </c>
      <c r="AC322" s="367">
        <v>0</v>
      </c>
      <c r="AD322" s="110" t="s">
        <v>2640</v>
      </c>
      <c r="AE322" s="30" t="s">
        <v>2626</v>
      </c>
      <c r="AF322" s="398">
        <v>6.15</v>
      </c>
      <c r="AG322" s="399">
        <v>5.68</v>
      </c>
      <c r="AH322" s="390">
        <v>0.46400000000000002</v>
      </c>
      <c r="AI322" s="330">
        <f>(Z322-AF322)/Z322</f>
        <v>0.37499999999999994</v>
      </c>
    </row>
    <row r="323" spans="1:35" s="489" customFormat="1" ht="14.25" customHeight="1">
      <c r="A323" s="481" t="s">
        <v>2641</v>
      </c>
      <c r="B323" s="235" t="s">
        <v>2642</v>
      </c>
      <c r="C323" s="45" t="s">
        <v>2643</v>
      </c>
      <c r="D323" s="30" t="s">
        <v>2644</v>
      </c>
      <c r="E323" s="30" t="s">
        <v>2645</v>
      </c>
      <c r="F323" s="72">
        <v>1050</v>
      </c>
      <c r="G323" s="47" t="s">
        <v>294</v>
      </c>
      <c r="H323" s="33">
        <v>8170</v>
      </c>
      <c r="I323" s="86">
        <v>4880</v>
      </c>
      <c r="J323" s="34">
        <v>3280</v>
      </c>
      <c r="K323" s="38">
        <v>24.7</v>
      </c>
      <c r="L323" s="366">
        <v>24.5</v>
      </c>
      <c r="M323" s="39">
        <v>13.7</v>
      </c>
      <c r="N323" s="39">
        <v>10.8</v>
      </c>
      <c r="O323" s="36">
        <v>0.221</v>
      </c>
      <c r="P323" s="38">
        <v>0.11</v>
      </c>
      <c r="Q323" s="366">
        <v>9.7100000000000006E-2</v>
      </c>
      <c r="R323" s="36">
        <v>9.7100000000000006E-2</v>
      </c>
      <c r="S323" s="36">
        <v>0</v>
      </c>
      <c r="T323" s="36">
        <v>1.32E-2</v>
      </c>
      <c r="U323" s="87">
        <v>24.6</v>
      </c>
      <c r="V323" s="366">
        <v>24.4</v>
      </c>
      <c r="W323" s="36">
        <v>13.6</v>
      </c>
      <c r="X323" s="36">
        <v>10.8</v>
      </c>
      <c r="Y323" s="36">
        <v>0.20799999999999999</v>
      </c>
      <c r="Z323" s="73">
        <v>6.72</v>
      </c>
      <c r="AA323" s="78">
        <v>3.64</v>
      </c>
      <c r="AB323" s="32">
        <v>3.08</v>
      </c>
      <c r="AC323" s="367">
        <v>0</v>
      </c>
      <c r="AD323" s="110" t="s">
        <v>2646</v>
      </c>
      <c r="AE323" s="30" t="s">
        <v>2647</v>
      </c>
      <c r="AF323" s="448">
        <v>6.66</v>
      </c>
      <c r="AG323" s="449">
        <v>3.64</v>
      </c>
      <c r="AH323" s="329">
        <v>3.02</v>
      </c>
      <c r="AI323" s="330">
        <f>(Z323-AF323)/Z323</f>
        <v>8.9285714285713708E-3</v>
      </c>
    </row>
    <row r="324" spans="1:35" s="364" customFormat="1" ht="14.25" customHeight="1">
      <c r="A324" s="357">
        <v>21</v>
      </c>
      <c r="B324" s="807"/>
      <c r="C324" s="41" t="s">
        <v>2648</v>
      </c>
      <c r="D324" s="40"/>
      <c r="E324" s="41"/>
      <c r="F324" s="42" t="s">
        <v>1134</v>
      </c>
      <c r="G324" s="43"/>
      <c r="H324" s="392"/>
      <c r="I324" s="358"/>
      <c r="J324" s="392"/>
      <c r="K324" s="486"/>
      <c r="L324" s="359"/>
      <c r="M324" s="373"/>
      <c r="N324" s="373"/>
      <c r="O324" s="488"/>
      <c r="P324" s="488"/>
      <c r="Q324" s="487"/>
      <c r="R324" s="373"/>
      <c r="S324" s="373"/>
      <c r="T324" s="487"/>
      <c r="U324" s="488"/>
      <c r="V324" s="487"/>
      <c r="W324" s="373"/>
      <c r="X324" s="373"/>
      <c r="Y324" s="373"/>
      <c r="Z324" s="458"/>
      <c r="AA324" s="360"/>
      <c r="AB324" s="444"/>
      <c r="AC324" s="444"/>
      <c r="AD324" s="363" t="s">
        <v>2649</v>
      </c>
      <c r="AE324" s="41"/>
      <c r="AI324" s="330"/>
    </row>
    <row r="325" spans="1:35" s="364" customFormat="1" ht="14.25" customHeight="1">
      <c r="A325" s="365" t="s">
        <v>2650</v>
      </c>
      <c r="B325" s="235" t="s">
        <v>2651</v>
      </c>
      <c r="C325" s="45" t="s">
        <v>2652</v>
      </c>
      <c r="D325" s="45" t="s">
        <v>2653</v>
      </c>
      <c r="E325" s="30" t="s">
        <v>2654</v>
      </c>
      <c r="F325" s="79" t="s">
        <v>1134</v>
      </c>
      <c r="G325" s="129" t="s">
        <v>2655</v>
      </c>
      <c r="H325" s="33">
        <v>35300</v>
      </c>
      <c r="I325" s="86">
        <v>26500</v>
      </c>
      <c r="J325" s="34">
        <v>8760</v>
      </c>
      <c r="K325" s="38">
        <v>130</v>
      </c>
      <c r="L325" s="366">
        <v>129</v>
      </c>
      <c r="M325" s="39">
        <v>126</v>
      </c>
      <c r="N325" s="39">
        <v>3.62</v>
      </c>
      <c r="O325" s="36">
        <v>0.92400000000000004</v>
      </c>
      <c r="P325" s="38">
        <v>16.8</v>
      </c>
      <c r="Q325" s="366">
        <v>16.7</v>
      </c>
      <c r="R325" s="36">
        <v>16.7</v>
      </c>
      <c r="S325" s="36">
        <v>0</v>
      </c>
      <c r="T325" s="36">
        <v>5.1900000000000002E-2</v>
      </c>
      <c r="U325" s="38">
        <v>113</v>
      </c>
      <c r="V325" s="366">
        <v>112</v>
      </c>
      <c r="W325" s="36">
        <v>109</v>
      </c>
      <c r="X325" s="36">
        <v>3.62</v>
      </c>
      <c r="Y325" s="36">
        <v>0.873</v>
      </c>
      <c r="Z325" s="87">
        <v>24.2</v>
      </c>
      <c r="AA325" s="78">
        <v>16.100000000000001</v>
      </c>
      <c r="AB325" s="74">
        <v>8.1300000000000008</v>
      </c>
      <c r="AC325" s="367">
        <v>0</v>
      </c>
      <c r="AD325" s="110" t="s">
        <v>2656</v>
      </c>
      <c r="AE325" s="30" t="s">
        <v>2657</v>
      </c>
      <c r="AF325" s="438">
        <v>20.399999999999999</v>
      </c>
      <c r="AG325" s="399">
        <v>12.7</v>
      </c>
      <c r="AH325" s="399">
        <v>7.66</v>
      </c>
      <c r="AI325" s="330">
        <f t="shared" ref="AI325:AI337" si="7">(Z325-AF325)/Z325</f>
        <v>0.15702479338842978</v>
      </c>
    </row>
    <row r="326" spans="1:35" s="364" customFormat="1" ht="14.25" customHeight="1">
      <c r="A326" s="365" t="s">
        <v>2658</v>
      </c>
      <c r="B326" s="235" t="s">
        <v>2659</v>
      </c>
      <c r="C326" s="45" t="s">
        <v>2660</v>
      </c>
      <c r="D326" s="30" t="s">
        <v>2661</v>
      </c>
      <c r="E326" s="30" t="s">
        <v>2662</v>
      </c>
      <c r="F326" s="79" t="s">
        <v>1134</v>
      </c>
      <c r="G326" s="47" t="s">
        <v>1141</v>
      </c>
      <c r="H326" s="33">
        <v>836000</v>
      </c>
      <c r="I326" s="86">
        <v>836000</v>
      </c>
      <c r="J326" s="34">
        <v>708</v>
      </c>
      <c r="K326" s="38">
        <v>1710</v>
      </c>
      <c r="L326" s="366">
        <v>1710</v>
      </c>
      <c r="M326" s="39">
        <v>1710</v>
      </c>
      <c r="N326" s="39">
        <v>0</v>
      </c>
      <c r="O326" s="36">
        <v>1.78</v>
      </c>
      <c r="P326" s="38">
        <v>450</v>
      </c>
      <c r="Q326" s="366">
        <v>450</v>
      </c>
      <c r="R326" s="36">
        <v>450</v>
      </c>
      <c r="S326" s="36">
        <v>0</v>
      </c>
      <c r="T326" s="36">
        <v>3.6299999999999999E-2</v>
      </c>
      <c r="U326" s="38">
        <v>1260</v>
      </c>
      <c r="V326" s="366">
        <v>1260</v>
      </c>
      <c r="W326" s="36">
        <v>1260</v>
      </c>
      <c r="X326" s="36">
        <v>0</v>
      </c>
      <c r="Y326" s="36">
        <v>1.74</v>
      </c>
      <c r="Z326" s="87">
        <v>332</v>
      </c>
      <c r="AA326" s="78">
        <v>332</v>
      </c>
      <c r="AB326" s="74">
        <v>0.44400000000000001</v>
      </c>
      <c r="AC326" s="367">
        <v>0</v>
      </c>
      <c r="AD326" s="110" t="s">
        <v>2663</v>
      </c>
      <c r="AE326" s="30" t="s">
        <v>2664</v>
      </c>
      <c r="AF326" s="438">
        <v>69.3</v>
      </c>
      <c r="AG326" s="399">
        <v>69.3</v>
      </c>
      <c r="AH326" s="399">
        <v>0</v>
      </c>
      <c r="AI326" s="330">
        <f t="shared" si="7"/>
        <v>0.79126506024096377</v>
      </c>
    </row>
    <row r="327" spans="1:35" s="364" customFormat="1" ht="14.25" customHeight="1">
      <c r="A327" s="365" t="s">
        <v>2665</v>
      </c>
      <c r="B327" s="235" t="s">
        <v>2666</v>
      </c>
      <c r="C327" s="45" t="s">
        <v>2667</v>
      </c>
      <c r="D327" s="45" t="s">
        <v>2668</v>
      </c>
      <c r="E327" s="30" t="s">
        <v>2669</v>
      </c>
      <c r="F327" s="79" t="s">
        <v>1134</v>
      </c>
      <c r="G327" s="47" t="s">
        <v>1141</v>
      </c>
      <c r="H327" s="33">
        <v>137000</v>
      </c>
      <c r="I327" s="86">
        <v>136000</v>
      </c>
      <c r="J327" s="34">
        <v>1420</v>
      </c>
      <c r="K327" s="38">
        <v>313</v>
      </c>
      <c r="L327" s="366">
        <v>312</v>
      </c>
      <c r="M327" s="39">
        <v>257</v>
      </c>
      <c r="N327" s="39">
        <v>54.3</v>
      </c>
      <c r="O327" s="36">
        <v>1.55</v>
      </c>
      <c r="P327" s="38">
        <v>88.9</v>
      </c>
      <c r="Q327" s="366">
        <v>88.8</v>
      </c>
      <c r="R327" s="36">
        <v>45.1</v>
      </c>
      <c r="S327" s="36">
        <v>43.7</v>
      </c>
      <c r="T327" s="36">
        <v>8.09E-2</v>
      </c>
      <c r="U327" s="38">
        <v>224</v>
      </c>
      <c r="V327" s="366">
        <v>223</v>
      </c>
      <c r="W327" s="36">
        <v>212</v>
      </c>
      <c r="X327" s="36">
        <v>10.6</v>
      </c>
      <c r="Y327" s="36">
        <v>1.47</v>
      </c>
      <c r="Z327" s="87">
        <v>56.8</v>
      </c>
      <c r="AA327" s="78">
        <v>55.7</v>
      </c>
      <c r="AB327" s="74">
        <v>1.05</v>
      </c>
      <c r="AC327" s="367">
        <v>5.09</v>
      </c>
      <c r="AD327" s="110" t="s">
        <v>2670</v>
      </c>
      <c r="AE327" s="30" t="s">
        <v>2671</v>
      </c>
      <c r="AF327" s="438">
        <v>11.6</v>
      </c>
      <c r="AG327" s="399">
        <v>11</v>
      </c>
      <c r="AH327" s="399">
        <v>0.55100000000000005</v>
      </c>
      <c r="AI327" s="330">
        <f t="shared" si="7"/>
        <v>0.79577464788732388</v>
      </c>
    </row>
    <row r="328" spans="1:35" s="364" customFormat="1" ht="14.25" customHeight="1">
      <c r="A328" s="365" t="s">
        <v>2672</v>
      </c>
      <c r="B328" s="235" t="s">
        <v>2673</v>
      </c>
      <c r="C328" s="45" t="s">
        <v>2674</v>
      </c>
      <c r="D328" s="45" t="s">
        <v>2675</v>
      </c>
      <c r="E328" s="30" t="s">
        <v>2676</v>
      </c>
      <c r="F328" s="79" t="s">
        <v>1134</v>
      </c>
      <c r="G328" s="47" t="s">
        <v>1141</v>
      </c>
      <c r="H328" s="33">
        <v>137000</v>
      </c>
      <c r="I328" s="86">
        <v>116000</v>
      </c>
      <c r="J328" s="34">
        <v>20800</v>
      </c>
      <c r="K328" s="38">
        <v>361</v>
      </c>
      <c r="L328" s="366">
        <v>356</v>
      </c>
      <c r="M328" s="39">
        <v>303</v>
      </c>
      <c r="N328" s="36">
        <v>53.4</v>
      </c>
      <c r="O328" s="36">
        <v>4.72</v>
      </c>
      <c r="P328" s="38">
        <v>6.28</v>
      </c>
      <c r="Q328" s="366">
        <v>6.05</v>
      </c>
      <c r="R328" s="36">
        <v>6.05</v>
      </c>
      <c r="S328" s="36">
        <v>0</v>
      </c>
      <c r="T328" s="36">
        <v>0.23200000000000001</v>
      </c>
      <c r="U328" s="38">
        <v>355</v>
      </c>
      <c r="V328" s="366">
        <v>350</v>
      </c>
      <c r="W328" s="36">
        <v>297</v>
      </c>
      <c r="X328" s="36">
        <v>53.4</v>
      </c>
      <c r="Y328" s="36">
        <v>4.49</v>
      </c>
      <c r="Z328" s="87">
        <v>95.5</v>
      </c>
      <c r="AA328" s="78">
        <v>76.2</v>
      </c>
      <c r="AB328" s="74">
        <v>19.2</v>
      </c>
      <c r="AC328" s="367">
        <v>0</v>
      </c>
      <c r="AD328" s="110" t="s">
        <v>2677</v>
      </c>
      <c r="AE328" s="30" t="s">
        <v>2678</v>
      </c>
      <c r="AF328" s="438">
        <v>86</v>
      </c>
      <c r="AG328" s="399">
        <v>69.2</v>
      </c>
      <c r="AH328" s="399">
        <v>16.8</v>
      </c>
      <c r="AI328" s="330">
        <f t="shared" si="7"/>
        <v>9.947643979057591E-2</v>
      </c>
    </row>
    <row r="329" spans="1:35" s="364" customFormat="1" ht="14.25" customHeight="1">
      <c r="A329" s="365" t="s">
        <v>2679</v>
      </c>
      <c r="B329" s="235" t="s">
        <v>2680</v>
      </c>
      <c r="C329" s="45" t="s">
        <v>2681</v>
      </c>
      <c r="D329" s="45" t="s">
        <v>2682</v>
      </c>
      <c r="E329" s="30" t="s">
        <v>2683</v>
      </c>
      <c r="F329" s="79" t="s">
        <v>1134</v>
      </c>
      <c r="G329" s="47" t="s">
        <v>1141</v>
      </c>
      <c r="H329" s="33">
        <v>34200</v>
      </c>
      <c r="I329" s="86">
        <v>32600</v>
      </c>
      <c r="J329" s="34">
        <v>1550</v>
      </c>
      <c r="K329" s="38">
        <v>250</v>
      </c>
      <c r="L329" s="366">
        <v>249</v>
      </c>
      <c r="M329" s="39">
        <v>124</v>
      </c>
      <c r="N329" s="36">
        <v>125</v>
      </c>
      <c r="O329" s="36">
        <v>1.33</v>
      </c>
      <c r="P329" s="38">
        <v>148</v>
      </c>
      <c r="Q329" s="366">
        <v>148</v>
      </c>
      <c r="R329" s="36">
        <v>48.8</v>
      </c>
      <c r="S329" s="36">
        <v>99</v>
      </c>
      <c r="T329" s="36">
        <v>7.7899999999999997E-2</v>
      </c>
      <c r="U329" s="38">
        <v>102</v>
      </c>
      <c r="V329" s="366">
        <v>101</v>
      </c>
      <c r="W329" s="36">
        <v>74.900000000000006</v>
      </c>
      <c r="X329" s="36">
        <v>25.8</v>
      </c>
      <c r="Y329" s="36">
        <v>1.25</v>
      </c>
      <c r="Z329" s="87">
        <v>20.2</v>
      </c>
      <c r="AA329" s="78">
        <v>19</v>
      </c>
      <c r="AB329" s="74">
        <v>1.2</v>
      </c>
      <c r="AC329" s="367">
        <v>11.6</v>
      </c>
      <c r="AD329" s="110" t="s">
        <v>2684</v>
      </c>
      <c r="AE329" s="30" t="s">
        <v>2685</v>
      </c>
      <c r="AF329" s="438">
        <v>16.2</v>
      </c>
      <c r="AG329" s="399">
        <v>14.7</v>
      </c>
      <c r="AH329" s="399">
        <v>1.49</v>
      </c>
      <c r="AI329" s="330">
        <f t="shared" si="7"/>
        <v>0.19801980198019803</v>
      </c>
    </row>
    <row r="330" spans="1:35" s="364" customFormat="1" ht="14.25" customHeight="1">
      <c r="A330" s="365" t="s">
        <v>2686</v>
      </c>
      <c r="B330" s="235" t="s">
        <v>2687</v>
      </c>
      <c r="C330" s="45" t="s">
        <v>2688</v>
      </c>
      <c r="D330" s="45" t="s">
        <v>2689</v>
      </c>
      <c r="E330" s="30" t="s">
        <v>2690</v>
      </c>
      <c r="F330" s="79" t="s">
        <v>1134</v>
      </c>
      <c r="G330" s="47" t="s">
        <v>1141</v>
      </c>
      <c r="H330" s="33">
        <v>27400</v>
      </c>
      <c r="I330" s="86">
        <v>26000</v>
      </c>
      <c r="J330" s="34">
        <v>1480</v>
      </c>
      <c r="K330" s="38">
        <v>396</v>
      </c>
      <c r="L330" s="366">
        <v>394</v>
      </c>
      <c r="M330" s="39">
        <v>256</v>
      </c>
      <c r="N330" s="36">
        <v>138</v>
      </c>
      <c r="O330" s="36">
        <v>2.23</v>
      </c>
      <c r="P330" s="38">
        <v>335</v>
      </c>
      <c r="Q330" s="366">
        <v>335</v>
      </c>
      <c r="R330" s="36">
        <v>206</v>
      </c>
      <c r="S330" s="36">
        <v>129</v>
      </c>
      <c r="T330" s="36">
        <v>0.14099999999999999</v>
      </c>
      <c r="U330" s="38">
        <v>60.7</v>
      </c>
      <c r="V330" s="366">
        <v>58.6</v>
      </c>
      <c r="W330" s="36">
        <v>49.8</v>
      </c>
      <c r="X330" s="36">
        <v>8.81</v>
      </c>
      <c r="Y330" s="36">
        <v>2.09</v>
      </c>
      <c r="Z330" s="87">
        <v>12.6</v>
      </c>
      <c r="AA330" s="78">
        <v>11.7</v>
      </c>
      <c r="AB330" s="74">
        <v>0.91500000000000004</v>
      </c>
      <c r="AC330" s="367">
        <v>6.36</v>
      </c>
      <c r="AD330" s="110" t="s">
        <v>2691</v>
      </c>
      <c r="AE330" s="30" t="s">
        <v>2692</v>
      </c>
      <c r="AF330" s="438">
        <v>4.3600000000000003</v>
      </c>
      <c r="AG330" s="399">
        <v>4.1900000000000004</v>
      </c>
      <c r="AH330" s="399">
        <v>0.17100000000000001</v>
      </c>
      <c r="AI330" s="330">
        <f t="shared" si="7"/>
        <v>0.65396825396825387</v>
      </c>
    </row>
    <row r="331" spans="1:35" s="364" customFormat="1" ht="14.25" customHeight="1">
      <c r="A331" s="365" t="s">
        <v>2693</v>
      </c>
      <c r="B331" s="235" t="s">
        <v>2694</v>
      </c>
      <c r="C331" s="45" t="s">
        <v>2695</v>
      </c>
      <c r="D331" s="89" t="s">
        <v>1338</v>
      </c>
      <c r="E331" s="30" t="s">
        <v>1339</v>
      </c>
      <c r="F331" s="79" t="s">
        <v>1134</v>
      </c>
      <c r="G331" s="47" t="s">
        <v>1141</v>
      </c>
      <c r="H331" s="33">
        <v>158000</v>
      </c>
      <c r="I331" s="86">
        <v>155000</v>
      </c>
      <c r="J331" s="34">
        <v>3510</v>
      </c>
      <c r="K331" s="38">
        <v>427</v>
      </c>
      <c r="L331" s="366">
        <v>423</v>
      </c>
      <c r="M331" s="39">
        <v>423</v>
      </c>
      <c r="N331" s="36">
        <v>0</v>
      </c>
      <c r="O331" s="36">
        <v>4.5199999999999996</v>
      </c>
      <c r="P331" s="38">
        <v>71.5</v>
      </c>
      <c r="Q331" s="366">
        <v>71.3</v>
      </c>
      <c r="R331" s="36">
        <v>71.3</v>
      </c>
      <c r="S331" s="36">
        <v>0</v>
      </c>
      <c r="T331" s="36">
        <v>0.17799999999999999</v>
      </c>
      <c r="U331" s="38">
        <v>356</v>
      </c>
      <c r="V331" s="366">
        <v>351</v>
      </c>
      <c r="W331" s="36">
        <v>351</v>
      </c>
      <c r="X331" s="36">
        <v>0</v>
      </c>
      <c r="Y331" s="36">
        <v>4.34</v>
      </c>
      <c r="Z331" s="87">
        <v>41.1</v>
      </c>
      <c r="AA331" s="78">
        <v>40</v>
      </c>
      <c r="AB331" s="74">
        <v>1.05</v>
      </c>
      <c r="AC331" s="367">
        <v>0</v>
      </c>
      <c r="AD331" s="110" t="s">
        <v>2696</v>
      </c>
      <c r="AE331" s="30" t="s">
        <v>2138</v>
      </c>
      <c r="AF331" s="438">
        <v>11.3</v>
      </c>
      <c r="AG331" s="399">
        <v>11.1</v>
      </c>
      <c r="AH331" s="399">
        <v>0.21</v>
      </c>
      <c r="AI331" s="330">
        <f t="shared" si="7"/>
        <v>0.72506082725060828</v>
      </c>
    </row>
    <row r="332" spans="1:35" s="364" customFormat="1" ht="14.25" customHeight="1">
      <c r="A332" s="365" t="s">
        <v>2697</v>
      </c>
      <c r="B332" s="235" t="s">
        <v>2698</v>
      </c>
      <c r="C332" s="45" t="s">
        <v>2699</v>
      </c>
      <c r="D332" s="45" t="s">
        <v>2700</v>
      </c>
      <c r="E332" s="30" t="s">
        <v>2701</v>
      </c>
      <c r="F332" s="79" t="s">
        <v>1134</v>
      </c>
      <c r="G332" s="129" t="s">
        <v>2655</v>
      </c>
      <c r="H332" s="33">
        <v>356000</v>
      </c>
      <c r="I332" s="86">
        <v>338000</v>
      </c>
      <c r="J332" s="34">
        <v>17700</v>
      </c>
      <c r="K332" s="38">
        <v>667</v>
      </c>
      <c r="L332" s="366">
        <v>666</v>
      </c>
      <c r="M332" s="39">
        <v>666</v>
      </c>
      <c r="N332" s="36">
        <v>0</v>
      </c>
      <c r="O332" s="36">
        <v>1.35</v>
      </c>
      <c r="P332" s="38">
        <v>69.3</v>
      </c>
      <c r="Q332" s="366">
        <v>69.2</v>
      </c>
      <c r="R332" s="36">
        <v>69.2</v>
      </c>
      <c r="S332" s="36">
        <v>0</v>
      </c>
      <c r="T332" s="36">
        <v>3.8300000000000001E-2</v>
      </c>
      <c r="U332" s="38">
        <v>598</v>
      </c>
      <c r="V332" s="366">
        <v>596</v>
      </c>
      <c r="W332" s="36">
        <v>596</v>
      </c>
      <c r="X332" s="36">
        <v>0</v>
      </c>
      <c r="Y332" s="36">
        <v>1.31</v>
      </c>
      <c r="Z332" s="87">
        <v>151</v>
      </c>
      <c r="AA332" s="78">
        <v>133</v>
      </c>
      <c r="AB332" s="74">
        <v>17.100000000000001</v>
      </c>
      <c r="AC332" s="367">
        <v>0</v>
      </c>
      <c r="AD332" s="110" t="s">
        <v>2702</v>
      </c>
      <c r="AE332" s="30" t="s">
        <v>2703</v>
      </c>
      <c r="AF332" s="438">
        <v>78.099999999999994</v>
      </c>
      <c r="AG332" s="399">
        <v>64.2</v>
      </c>
      <c r="AH332" s="399">
        <v>14</v>
      </c>
      <c r="AI332" s="330">
        <f t="shared" si="7"/>
        <v>0.48278145695364244</v>
      </c>
    </row>
    <row r="333" spans="1:35" s="364" customFormat="1" ht="14.25" customHeight="1">
      <c r="A333" s="365" t="s">
        <v>2704</v>
      </c>
      <c r="B333" s="235" t="s">
        <v>2705</v>
      </c>
      <c r="C333" s="45" t="s">
        <v>2706</v>
      </c>
      <c r="D333" s="45" t="s">
        <v>2707</v>
      </c>
      <c r="E333" s="30" t="s">
        <v>2708</v>
      </c>
      <c r="F333" s="79" t="s">
        <v>1134</v>
      </c>
      <c r="G333" s="129" t="s">
        <v>2655</v>
      </c>
      <c r="H333" s="33">
        <v>1000000</v>
      </c>
      <c r="I333" s="86">
        <v>942000</v>
      </c>
      <c r="J333" s="34">
        <v>62600</v>
      </c>
      <c r="K333" s="38">
        <v>7020</v>
      </c>
      <c r="L333" s="366">
        <v>6980</v>
      </c>
      <c r="M333" s="39">
        <v>4950</v>
      </c>
      <c r="N333" s="36">
        <v>2030</v>
      </c>
      <c r="O333" s="36">
        <v>40.700000000000003</v>
      </c>
      <c r="P333" s="38">
        <v>5040</v>
      </c>
      <c r="Q333" s="366">
        <v>5040</v>
      </c>
      <c r="R333" s="36">
        <v>3140</v>
      </c>
      <c r="S333" s="36">
        <v>1900</v>
      </c>
      <c r="T333" s="36">
        <v>2.44</v>
      </c>
      <c r="U333" s="38">
        <v>1980</v>
      </c>
      <c r="V333" s="366">
        <v>1940</v>
      </c>
      <c r="W333" s="36">
        <v>1810</v>
      </c>
      <c r="X333" s="36">
        <v>129</v>
      </c>
      <c r="Y333" s="36">
        <v>38.200000000000003</v>
      </c>
      <c r="Z333" s="87">
        <v>470</v>
      </c>
      <c r="AA333" s="78">
        <v>418</v>
      </c>
      <c r="AB333" s="74">
        <v>51.3</v>
      </c>
      <c r="AC333" s="367">
        <v>160</v>
      </c>
      <c r="AD333" s="110" t="s">
        <v>2709</v>
      </c>
      <c r="AE333" s="30" t="s">
        <v>2710</v>
      </c>
      <c r="AF333" s="438">
        <v>226</v>
      </c>
      <c r="AG333" s="399">
        <v>185</v>
      </c>
      <c r="AH333" s="399">
        <v>41.1</v>
      </c>
      <c r="AI333" s="330">
        <f t="shared" si="7"/>
        <v>0.51914893617021274</v>
      </c>
    </row>
    <row r="334" spans="1:35" s="364" customFormat="1" ht="14.25" customHeight="1">
      <c r="A334" s="365" t="s">
        <v>2711</v>
      </c>
      <c r="B334" s="235" t="s">
        <v>2712</v>
      </c>
      <c r="C334" s="45" t="s">
        <v>2713</v>
      </c>
      <c r="D334" s="45" t="s">
        <v>2714</v>
      </c>
      <c r="E334" s="30" t="s">
        <v>2715</v>
      </c>
      <c r="F334" s="79" t="s">
        <v>1134</v>
      </c>
      <c r="G334" s="129" t="s">
        <v>2655</v>
      </c>
      <c r="H334" s="33">
        <v>6610000</v>
      </c>
      <c r="I334" s="86">
        <v>6550000</v>
      </c>
      <c r="J334" s="34">
        <v>54300</v>
      </c>
      <c r="K334" s="38">
        <v>10900</v>
      </c>
      <c r="L334" s="366">
        <v>10900</v>
      </c>
      <c r="M334" s="39">
        <v>10900</v>
      </c>
      <c r="N334" s="36">
        <v>67.3</v>
      </c>
      <c r="O334" s="36">
        <v>5.39</v>
      </c>
      <c r="P334" s="38">
        <v>682</v>
      </c>
      <c r="Q334" s="366">
        <v>682</v>
      </c>
      <c r="R334" s="36">
        <v>615</v>
      </c>
      <c r="S334" s="36">
        <v>67.3</v>
      </c>
      <c r="T334" s="36">
        <v>0.25800000000000001</v>
      </c>
      <c r="U334" s="38">
        <v>10300</v>
      </c>
      <c r="V334" s="366">
        <v>10200</v>
      </c>
      <c r="W334" s="36">
        <v>10200</v>
      </c>
      <c r="X334" s="36">
        <v>0</v>
      </c>
      <c r="Y334" s="36">
        <v>5.13</v>
      </c>
      <c r="Z334" s="87">
        <v>2770</v>
      </c>
      <c r="AA334" s="78">
        <v>2720</v>
      </c>
      <c r="AB334" s="74">
        <v>51</v>
      </c>
      <c r="AC334" s="367">
        <v>3.45</v>
      </c>
      <c r="AD334" s="110" t="s">
        <v>2716</v>
      </c>
      <c r="AE334" s="30" t="s">
        <v>2717</v>
      </c>
      <c r="AF334" s="438">
        <v>1350</v>
      </c>
      <c r="AG334" s="399">
        <v>1330</v>
      </c>
      <c r="AH334" s="399">
        <v>26.4</v>
      </c>
      <c r="AI334" s="330">
        <f t="shared" si="7"/>
        <v>0.5126353790613718</v>
      </c>
    </row>
    <row r="335" spans="1:35" s="364" customFormat="1" ht="14.25" customHeight="1">
      <c r="A335" s="365" t="s">
        <v>2718</v>
      </c>
      <c r="B335" s="235" t="s">
        <v>2719</v>
      </c>
      <c r="C335" s="45" t="s">
        <v>2720</v>
      </c>
      <c r="D335" s="45" t="s">
        <v>2721</v>
      </c>
      <c r="E335" s="30" t="s">
        <v>2722</v>
      </c>
      <c r="F335" s="79" t="s">
        <v>1134</v>
      </c>
      <c r="G335" s="129" t="s">
        <v>2655</v>
      </c>
      <c r="H335" s="33">
        <v>1200000</v>
      </c>
      <c r="I335" s="86">
        <v>1110000</v>
      </c>
      <c r="J335" s="34">
        <v>91000</v>
      </c>
      <c r="K335" s="38">
        <v>5400</v>
      </c>
      <c r="L335" s="366">
        <v>5340</v>
      </c>
      <c r="M335" s="39">
        <v>2880</v>
      </c>
      <c r="N335" s="36">
        <v>2460</v>
      </c>
      <c r="O335" s="36">
        <v>59.6</v>
      </c>
      <c r="P335" s="38">
        <v>2530</v>
      </c>
      <c r="Q335" s="366">
        <v>2520</v>
      </c>
      <c r="R335" s="36">
        <v>599</v>
      </c>
      <c r="S335" s="36">
        <v>1930</v>
      </c>
      <c r="T335" s="36">
        <v>3.46</v>
      </c>
      <c r="U335" s="38">
        <v>2870</v>
      </c>
      <c r="V335" s="366">
        <v>2810</v>
      </c>
      <c r="W335" s="36">
        <v>2280</v>
      </c>
      <c r="X335" s="36">
        <v>531</v>
      </c>
      <c r="Y335" s="36">
        <v>56.2</v>
      </c>
      <c r="Z335" s="87">
        <v>632</v>
      </c>
      <c r="AA335" s="78">
        <v>557</v>
      </c>
      <c r="AB335" s="74">
        <v>74.8</v>
      </c>
      <c r="AC335" s="367">
        <v>223</v>
      </c>
      <c r="AD335" s="110" t="s">
        <v>2723</v>
      </c>
      <c r="AE335" s="30" t="s">
        <v>2724</v>
      </c>
      <c r="AF335" s="438">
        <v>431</v>
      </c>
      <c r="AG335" s="399">
        <v>360</v>
      </c>
      <c r="AH335" s="399">
        <v>70.400000000000006</v>
      </c>
      <c r="AI335" s="330">
        <f t="shared" si="7"/>
        <v>0.31803797468354428</v>
      </c>
    </row>
    <row r="336" spans="1:35" s="364" customFormat="1" ht="14.25" customHeight="1">
      <c r="A336" s="365" t="s">
        <v>2725</v>
      </c>
      <c r="B336" s="235" t="s">
        <v>2726</v>
      </c>
      <c r="C336" s="45" t="s">
        <v>2727</v>
      </c>
      <c r="D336" s="45" t="s">
        <v>2728</v>
      </c>
      <c r="E336" s="30" t="s">
        <v>2729</v>
      </c>
      <c r="F336" s="79" t="s">
        <v>1134</v>
      </c>
      <c r="G336" s="129" t="s">
        <v>2655</v>
      </c>
      <c r="H336" s="33">
        <v>110000</v>
      </c>
      <c r="I336" s="86">
        <v>105000</v>
      </c>
      <c r="J336" s="34">
        <v>5330</v>
      </c>
      <c r="K336" s="38">
        <v>254</v>
      </c>
      <c r="L336" s="366">
        <v>254</v>
      </c>
      <c r="M336" s="39">
        <v>254</v>
      </c>
      <c r="N336" s="36">
        <v>0</v>
      </c>
      <c r="O336" s="36">
        <v>0.746</v>
      </c>
      <c r="P336" s="38">
        <v>40.799999999999997</v>
      </c>
      <c r="Q336" s="366">
        <v>40.799999999999997</v>
      </c>
      <c r="R336" s="36">
        <v>40.799999999999997</v>
      </c>
      <c r="S336" s="36">
        <v>0</v>
      </c>
      <c r="T336" s="36">
        <v>3.5000000000000003E-2</v>
      </c>
      <c r="U336" s="38">
        <v>213</v>
      </c>
      <c r="V336" s="366">
        <v>213</v>
      </c>
      <c r="W336" s="36">
        <v>213</v>
      </c>
      <c r="X336" s="36">
        <v>0</v>
      </c>
      <c r="Y336" s="36">
        <v>0.71099999999999997</v>
      </c>
      <c r="Z336" s="87">
        <v>48.6</v>
      </c>
      <c r="AA336" s="78">
        <v>43.6</v>
      </c>
      <c r="AB336" s="74">
        <v>4.92</v>
      </c>
      <c r="AC336" s="367">
        <v>0</v>
      </c>
      <c r="AD336" s="110" t="s">
        <v>2730</v>
      </c>
      <c r="AE336" s="30" t="s">
        <v>2731</v>
      </c>
      <c r="AF336" s="438">
        <v>20.5</v>
      </c>
      <c r="AG336" s="399">
        <v>15.9</v>
      </c>
      <c r="AH336" s="399">
        <v>4.55</v>
      </c>
      <c r="AI336" s="330">
        <f t="shared" si="7"/>
        <v>0.57818930041152261</v>
      </c>
    </row>
    <row r="337" spans="1:35" s="364" customFormat="1" ht="14.25" customHeight="1">
      <c r="A337" s="365" t="s">
        <v>2732</v>
      </c>
      <c r="B337" s="235" t="s">
        <v>2733</v>
      </c>
      <c r="C337" s="45" t="s">
        <v>2734</v>
      </c>
      <c r="D337" s="45" t="s">
        <v>2735</v>
      </c>
      <c r="E337" s="30" t="s">
        <v>2736</v>
      </c>
      <c r="F337" s="79" t="s">
        <v>1134</v>
      </c>
      <c r="G337" s="129" t="s">
        <v>2655</v>
      </c>
      <c r="H337" s="33">
        <v>46600</v>
      </c>
      <c r="I337" s="86">
        <v>46000</v>
      </c>
      <c r="J337" s="34">
        <v>595</v>
      </c>
      <c r="K337" s="38">
        <v>160</v>
      </c>
      <c r="L337" s="366">
        <v>159</v>
      </c>
      <c r="M337" s="39">
        <v>143</v>
      </c>
      <c r="N337" s="36">
        <v>16.8</v>
      </c>
      <c r="O337" s="36">
        <v>0.76700000000000002</v>
      </c>
      <c r="P337" s="38">
        <v>16.399999999999999</v>
      </c>
      <c r="Q337" s="366">
        <v>16.399999999999999</v>
      </c>
      <c r="R337" s="36">
        <v>16.399999999999999</v>
      </c>
      <c r="S337" s="36">
        <v>0</v>
      </c>
      <c r="T337" s="36">
        <v>3.0300000000000001E-2</v>
      </c>
      <c r="U337" s="38">
        <v>144</v>
      </c>
      <c r="V337" s="366">
        <v>143</v>
      </c>
      <c r="W337" s="36">
        <v>126</v>
      </c>
      <c r="X337" s="36">
        <v>16.8</v>
      </c>
      <c r="Y337" s="36">
        <v>0.73599999999999999</v>
      </c>
      <c r="Z337" s="87">
        <v>30.7</v>
      </c>
      <c r="AA337" s="78">
        <v>30.5</v>
      </c>
      <c r="AB337" s="74">
        <v>0.17799999999999999</v>
      </c>
      <c r="AC337" s="367">
        <v>0</v>
      </c>
      <c r="AD337" s="110" t="s">
        <v>2737</v>
      </c>
      <c r="AE337" s="30" t="s">
        <v>2738</v>
      </c>
      <c r="AF337" s="438">
        <v>34.4</v>
      </c>
      <c r="AG337" s="399">
        <v>28.1</v>
      </c>
      <c r="AH337" s="399">
        <v>6.29</v>
      </c>
      <c r="AI337" s="330">
        <f t="shared" si="7"/>
        <v>-0.12052117263843647</v>
      </c>
    </row>
    <row r="338" spans="1:35" s="364" customFormat="1" ht="14.25" customHeight="1">
      <c r="A338" s="1598" t="s">
        <v>2739</v>
      </c>
      <c r="B338" s="1607"/>
      <c r="C338" s="1607"/>
      <c r="D338" s="1607"/>
      <c r="E338" s="1607"/>
      <c r="F338" s="1607"/>
      <c r="G338" s="1607"/>
      <c r="H338" s="1607"/>
      <c r="I338" s="1607"/>
      <c r="J338" s="1607"/>
      <c r="K338" s="1607"/>
      <c r="L338" s="1607"/>
      <c r="M338" s="1607"/>
      <c r="N338" s="1607"/>
      <c r="O338" s="1607"/>
      <c r="P338" s="1607"/>
      <c r="Q338" s="1607"/>
      <c r="R338" s="1607"/>
      <c r="S338" s="1607"/>
      <c r="T338" s="1607"/>
      <c r="U338" s="1607"/>
      <c r="V338" s="1607"/>
      <c r="W338" s="1607"/>
      <c r="X338" s="1607"/>
      <c r="Y338" s="1607"/>
      <c r="Z338" s="1607"/>
      <c r="AA338" s="1607"/>
      <c r="AB338" s="1607"/>
      <c r="AC338" s="1607"/>
      <c r="AD338" s="1607"/>
      <c r="AE338" s="1608"/>
      <c r="AI338" s="113"/>
    </row>
    <row r="339" spans="1:35" s="389" customFormat="1" ht="14.25" customHeight="1">
      <c r="A339" s="1598" t="s">
        <v>2740</v>
      </c>
      <c r="B339" s="1599"/>
      <c r="C339" s="1599"/>
      <c r="D339" s="1599"/>
      <c r="E339" s="1599"/>
      <c r="F339" s="1599"/>
      <c r="G339" s="1599"/>
      <c r="H339" s="1599"/>
      <c r="I339" s="1599"/>
      <c r="J339" s="1599"/>
      <c r="K339" s="1599"/>
      <c r="L339" s="1599"/>
      <c r="M339" s="1599"/>
      <c r="N339" s="1599"/>
      <c r="O339" s="1599"/>
      <c r="P339" s="1599"/>
      <c r="Q339" s="1599"/>
      <c r="R339" s="1599"/>
      <c r="S339" s="1599"/>
      <c r="T339" s="1599"/>
      <c r="U339" s="1599"/>
      <c r="V339" s="1599"/>
      <c r="W339" s="1599"/>
      <c r="X339" s="1599"/>
      <c r="Y339" s="1599"/>
      <c r="Z339" s="1599"/>
      <c r="AA339" s="1599"/>
      <c r="AB339" s="1599"/>
      <c r="AC339" s="1599"/>
      <c r="AD339" s="1599"/>
      <c r="AE339" s="1600"/>
      <c r="AI339" s="113"/>
    </row>
    <row r="344" spans="1:35">
      <c r="P344" s="811"/>
    </row>
  </sheetData>
  <sheetProtection selectLockedCells="1" selectUnlockedCells="1"/>
  <customSheetViews>
    <customSheetView guid="{B32447E2-AB5B-4CBB-881B-FF11349CA4D6}" fitToPage="1" hiddenRows="1" hiddenColumns="1">
      <pane xSplit="6" ySplit="9" topLeftCell="Y205" activePane="bottomRight" state="frozen"/>
      <selection pane="bottomRight" activeCell="E236" sqref="E236"/>
      <rowBreaks count="4" manualBreakCount="4">
        <brk id="97" max="18" man="1"/>
        <brk id="158" max="18" man="1"/>
        <brk id="239" max="18" man="1"/>
        <brk id="289" max="18" man="1"/>
      </rowBreaks>
      <pageMargins left="0" right="0" top="0" bottom="0" header="0" footer="0"/>
      <pageSetup paperSize="9" scale="36" fitToHeight="0" orientation="landscape" r:id="rId1"/>
      <headerFooter scaleWithDoc="0" alignWithMargins="0">
        <oddFooter>&amp;C&amp;8&amp;P</oddFooter>
      </headerFooter>
    </customSheetView>
    <customSheetView guid="{9FA74287-E657-475B-BF4B-3C8C757714AE}" fitToPage="1" hiddenRows="1" hiddenColumns="1">
      <pane xSplit="6" ySplit="9" topLeftCell="Y205" activePane="bottomRight" state="frozen"/>
      <selection pane="bottomRight" activeCell="E236" sqref="E236"/>
      <rowBreaks count="4" manualBreakCount="4">
        <brk id="97" max="18" man="1"/>
        <brk id="158" max="18" man="1"/>
        <brk id="239" max="18" man="1"/>
        <brk id="289" max="18" man="1"/>
      </rowBreaks>
      <pageMargins left="0" right="0" top="0" bottom="0" header="0" footer="0"/>
      <pageSetup paperSize="9" scale="36" fitToHeight="0" orientation="landscape" r:id="rId2"/>
      <headerFooter scaleWithDoc="0" alignWithMargins="0">
        <oddFooter>&amp;C&amp;8&amp;P</oddFooter>
      </headerFooter>
    </customSheetView>
    <customSheetView guid="{54A7C567-FA7D-467E-B353-ECB5E61AE756}" fitToPage="1" hiddenRows="1" hiddenColumns="1">
      <selection activeCell="I30" sqref="I30"/>
      <rowBreaks count="4" manualBreakCount="4">
        <brk id="97" max="18" man="1"/>
        <brk id="158" max="18" man="1"/>
        <brk id="239" max="18" man="1"/>
        <brk id="289" max="18" man="1"/>
      </rowBreaks>
      <pageMargins left="0" right="0" top="0" bottom="0" header="0" footer="0"/>
      <pageSetup paperSize="9" scale="36" fitToHeight="0" orientation="landscape" r:id="rId3"/>
      <headerFooter scaleWithDoc="0" alignWithMargins="0">
        <oddFooter>&amp;C&amp;8&amp;P</oddFooter>
      </headerFooter>
    </customSheetView>
  </customSheetViews>
  <mergeCells count="35">
    <mergeCell ref="AF1:AL1"/>
    <mergeCell ref="E4:E6"/>
    <mergeCell ref="F4:F5"/>
    <mergeCell ref="G4:G9"/>
    <mergeCell ref="H4:J4"/>
    <mergeCell ref="Z6:AB6"/>
    <mergeCell ref="K4:Y4"/>
    <mergeCell ref="K6:O6"/>
    <mergeCell ref="P6:T6"/>
    <mergeCell ref="U6:Y6"/>
    <mergeCell ref="Z4:AB4"/>
    <mergeCell ref="AD4:AD6"/>
    <mergeCell ref="U5:Y5"/>
    <mergeCell ref="Z5:AB5"/>
    <mergeCell ref="AD7:AD8"/>
    <mergeCell ref="AE4:AE6"/>
    <mergeCell ref="A5:A6"/>
    <mergeCell ref="D5:D6"/>
    <mergeCell ref="H5:J6"/>
    <mergeCell ref="K5:O5"/>
    <mergeCell ref="P5:T5"/>
    <mergeCell ref="F6:F8"/>
    <mergeCell ref="C4:C6"/>
    <mergeCell ref="C7:C8"/>
    <mergeCell ref="A44:AE44"/>
    <mergeCell ref="A45:AE45"/>
    <mergeCell ref="A134:AE134"/>
    <mergeCell ref="A135:AE135"/>
    <mergeCell ref="A136:AE136"/>
    <mergeCell ref="A339:AE339"/>
    <mergeCell ref="A189:AE189"/>
    <mergeCell ref="A190:AE190"/>
    <mergeCell ref="A301:AE301"/>
    <mergeCell ref="A302:AE302"/>
    <mergeCell ref="A338:AE338"/>
  </mergeCells>
  <conditionalFormatting sqref="H48:L58 O48:Q58">
    <cfRule type="cellIs" dxfId="533" priority="161" operator="equal">
      <formula>0</formula>
    </cfRule>
    <cfRule type="cellIs" dxfId="532" priority="162" operator="greaterThan">
      <formula>100</formula>
    </cfRule>
    <cfRule type="cellIs" dxfId="531" priority="163" operator="between">
      <formula>10</formula>
      <formula>100</formula>
    </cfRule>
    <cfRule type="cellIs" dxfId="530" priority="164" operator="between">
      <formula>1</formula>
      <formula>10</formula>
    </cfRule>
    <cfRule type="cellIs" dxfId="529" priority="165" operator="between">
      <formula>0.00000001</formula>
      <formula>1</formula>
    </cfRule>
  </conditionalFormatting>
  <conditionalFormatting sqref="H60:L81 O60:Q81 T60:V81 Y60:AC81">
    <cfRule type="cellIs" dxfId="528" priority="146" operator="equal">
      <formula>0</formula>
    </cfRule>
    <cfRule type="cellIs" dxfId="527" priority="147" operator="greaterThan">
      <formula>100</formula>
    </cfRule>
    <cfRule type="cellIs" dxfId="526" priority="148" operator="between">
      <formula>10</formula>
      <formula>100</formula>
    </cfRule>
    <cfRule type="cellIs" dxfId="525" priority="149" operator="between">
      <formula>1</formula>
      <formula>10</formula>
    </cfRule>
    <cfRule type="cellIs" dxfId="524" priority="150" operator="between">
      <formula>0.00000001</formula>
      <formula>1</formula>
    </cfRule>
  </conditionalFormatting>
  <conditionalFormatting sqref="H83:L99 O83:Q99 T83:V99 Y83:AC99">
    <cfRule type="cellIs" dxfId="523" priority="141" operator="equal">
      <formula>0</formula>
    </cfRule>
    <cfRule type="cellIs" dxfId="522" priority="142" operator="greaterThan">
      <formula>100</formula>
    </cfRule>
    <cfRule type="cellIs" dxfId="521" priority="143" operator="between">
      <formula>10</formula>
      <formula>100</formula>
    </cfRule>
    <cfRule type="cellIs" dxfId="520" priority="144" operator="between">
      <formula>1</formula>
      <formula>10</formula>
    </cfRule>
    <cfRule type="cellIs" dxfId="519" priority="145" operator="between">
      <formula>0.00000001</formula>
      <formula>1</formula>
    </cfRule>
  </conditionalFormatting>
  <conditionalFormatting sqref="H101:L114 O101:Q114 T101:V114 Y106:AB114 H115:AB133">
    <cfRule type="cellIs" dxfId="518" priority="131" operator="equal">
      <formula>0</formula>
    </cfRule>
    <cfRule type="cellIs" dxfId="517" priority="132" operator="greaterThan">
      <formula>100</formula>
    </cfRule>
    <cfRule type="cellIs" dxfId="516" priority="133" operator="between">
      <formula>10</formula>
      <formula>100</formula>
    </cfRule>
    <cfRule type="cellIs" dxfId="515" priority="134" operator="between">
      <formula>1</formula>
      <formula>10</formula>
    </cfRule>
    <cfRule type="cellIs" dxfId="514" priority="135" operator="between">
      <formula>0.00000001</formula>
      <formula>1</formula>
    </cfRule>
  </conditionalFormatting>
  <conditionalFormatting sqref="H154:L160 O154:Q160 T154:AB160">
    <cfRule type="cellIs" dxfId="513" priority="111" operator="equal">
      <formula>0</formula>
    </cfRule>
    <cfRule type="cellIs" dxfId="512" priority="112" operator="greaterThan">
      <formula>100</formula>
    </cfRule>
    <cfRule type="cellIs" dxfId="511" priority="113" operator="between">
      <formula>10</formula>
      <formula>100</formula>
    </cfRule>
    <cfRule type="cellIs" dxfId="510" priority="114" operator="between">
      <formula>1</formula>
      <formula>10</formula>
    </cfRule>
    <cfRule type="cellIs" dxfId="509" priority="115" operator="between">
      <formula>0.00000001</formula>
      <formula>1</formula>
    </cfRule>
  </conditionalFormatting>
  <conditionalFormatting sqref="H198:L224 O198:Q224 T198:V224 Y198:AC224">
    <cfRule type="cellIs" dxfId="508" priority="96" operator="equal">
      <formula>0</formula>
    </cfRule>
    <cfRule type="cellIs" dxfId="507" priority="97" operator="greaterThan">
      <formula>100</formula>
    </cfRule>
    <cfRule type="cellIs" dxfId="506" priority="98" operator="between">
      <formula>10</formula>
      <formula>100</formula>
    </cfRule>
    <cfRule type="cellIs" dxfId="505" priority="99" operator="between">
      <formula>1</formula>
      <formula>10</formula>
    </cfRule>
    <cfRule type="cellIs" dxfId="504" priority="100" operator="between">
      <formula>0.00000001</formula>
      <formula>1</formula>
    </cfRule>
  </conditionalFormatting>
  <conditionalFormatting sqref="H226:L256 O226:Q256 T226:V256">
    <cfRule type="cellIs" dxfId="503" priority="86" operator="equal">
      <formula>0</formula>
    </cfRule>
    <cfRule type="cellIs" dxfId="502" priority="87" operator="greaterThan">
      <formula>100</formula>
    </cfRule>
    <cfRule type="cellIs" dxfId="501" priority="88" operator="between">
      <formula>10</formula>
      <formula>100</formula>
    </cfRule>
    <cfRule type="cellIs" dxfId="500" priority="89" operator="between">
      <formula>1</formula>
      <formula>10</formula>
    </cfRule>
    <cfRule type="cellIs" dxfId="499" priority="90" operator="between">
      <formula>0.00000001</formula>
      <formula>1</formula>
    </cfRule>
  </conditionalFormatting>
  <conditionalFormatting sqref="H258:L287 O258:Q287 T258:V287">
    <cfRule type="cellIs" dxfId="498" priority="76" operator="equal">
      <formula>0</formula>
    </cfRule>
    <cfRule type="cellIs" dxfId="497" priority="77" operator="greaterThan">
      <formula>100</formula>
    </cfRule>
    <cfRule type="cellIs" dxfId="496" priority="78" operator="between">
      <formula>10</formula>
      <formula>100</formula>
    </cfRule>
    <cfRule type="cellIs" dxfId="495" priority="79" operator="between">
      <formula>1</formula>
      <formula>10</formula>
    </cfRule>
    <cfRule type="cellIs" dxfId="494" priority="80" operator="between">
      <formula>0.00000001</formula>
      <formula>1</formula>
    </cfRule>
  </conditionalFormatting>
  <conditionalFormatting sqref="H289:L300 O289:Q300 T289:V300 Z289:AC300">
    <cfRule type="cellIs" dxfId="493" priority="66" operator="equal">
      <formula>0</formula>
    </cfRule>
    <cfRule type="cellIs" dxfId="492" priority="67" operator="greaterThan">
      <formula>100</formula>
    </cfRule>
    <cfRule type="cellIs" dxfId="491" priority="68" operator="between">
      <formula>10</formula>
      <formula>100</formula>
    </cfRule>
    <cfRule type="cellIs" dxfId="490" priority="69" operator="between">
      <formula>1</formula>
      <formula>10</formula>
    </cfRule>
    <cfRule type="cellIs" dxfId="489" priority="70" operator="between">
      <formula>0.00000001</formula>
      <formula>1</formula>
    </cfRule>
  </conditionalFormatting>
  <conditionalFormatting sqref="H304:L308 O304:Q308 T304:V308">
    <cfRule type="cellIs" dxfId="488" priority="56" operator="equal">
      <formula>0</formula>
    </cfRule>
    <cfRule type="cellIs" dxfId="487" priority="57" operator="greaterThan">
      <formula>100</formula>
    </cfRule>
    <cfRule type="cellIs" dxfId="486" priority="58" operator="between">
      <formula>10</formula>
      <formula>100</formula>
    </cfRule>
    <cfRule type="cellIs" dxfId="485" priority="59" operator="between">
      <formula>1</formula>
      <formula>10</formula>
    </cfRule>
    <cfRule type="cellIs" dxfId="484" priority="60" operator="between">
      <formula>0.00000001</formula>
      <formula>1</formula>
    </cfRule>
  </conditionalFormatting>
  <conditionalFormatting sqref="H310:L317 O310:Q317 T310:V317">
    <cfRule type="cellIs" dxfId="483" priority="46" operator="equal">
      <formula>0</formula>
    </cfRule>
    <cfRule type="cellIs" dxfId="482" priority="47" operator="greaterThan">
      <formula>100</formula>
    </cfRule>
    <cfRule type="cellIs" dxfId="481" priority="48" operator="between">
      <formula>10</formula>
      <formula>100</formula>
    </cfRule>
    <cfRule type="cellIs" dxfId="480" priority="49" operator="between">
      <formula>1</formula>
      <formula>10</formula>
    </cfRule>
    <cfRule type="cellIs" dxfId="479" priority="50" operator="between">
      <formula>0.00000001</formula>
      <formula>1</formula>
    </cfRule>
  </conditionalFormatting>
  <conditionalFormatting sqref="H319:L323 O319:Q323 T319:V323">
    <cfRule type="cellIs" dxfId="478" priority="36" operator="equal">
      <formula>0</formula>
    </cfRule>
    <cfRule type="cellIs" dxfId="477" priority="37" operator="greaterThan">
      <formula>100</formula>
    </cfRule>
    <cfRule type="cellIs" dxfId="476" priority="38" operator="between">
      <formula>10</formula>
      <formula>100</formula>
    </cfRule>
    <cfRule type="cellIs" dxfId="475" priority="39" operator="between">
      <formula>1</formula>
      <formula>10</formula>
    </cfRule>
    <cfRule type="cellIs" dxfId="474" priority="40" operator="between">
      <formula>0.00000001</formula>
      <formula>1</formula>
    </cfRule>
  </conditionalFormatting>
  <conditionalFormatting sqref="H325:L337 O325:Q337 T325:V337">
    <cfRule type="cellIs" dxfId="473" priority="26" operator="equal">
      <formula>0</formula>
    </cfRule>
    <cfRule type="cellIs" dxfId="472" priority="27" operator="greaterThan">
      <formula>100</formula>
    </cfRule>
    <cfRule type="cellIs" dxfId="471" priority="28" operator="between">
      <formula>10</formula>
      <formula>100</formula>
    </cfRule>
    <cfRule type="cellIs" dxfId="470" priority="29" operator="between">
      <formula>1</formula>
      <formula>10</formula>
    </cfRule>
    <cfRule type="cellIs" dxfId="469" priority="30" operator="between">
      <formula>0.00000001</formula>
      <formula>1</formula>
    </cfRule>
  </conditionalFormatting>
  <conditionalFormatting sqref="H47:AB47">
    <cfRule type="cellIs" dxfId="468" priority="166" operator="equal">
      <formula>0</formula>
    </cfRule>
    <cfRule type="cellIs" dxfId="467" priority="167" operator="greaterThan">
      <formula>100</formula>
    </cfRule>
    <cfRule type="cellIs" dxfId="466" priority="168" operator="between">
      <formula>10</formula>
      <formula>100</formula>
    </cfRule>
    <cfRule type="cellIs" dxfId="465" priority="169" operator="between">
      <formula>1</formula>
      <formula>10</formula>
    </cfRule>
    <cfRule type="cellIs" dxfId="464" priority="170" operator="between">
      <formula>0.00000001</formula>
      <formula>1</formula>
    </cfRule>
  </conditionalFormatting>
  <conditionalFormatting sqref="H161:AB188">
    <cfRule type="cellIs" dxfId="463" priority="106" operator="equal">
      <formula>0</formula>
    </cfRule>
    <cfRule type="cellIs" dxfId="462" priority="107" operator="greaterThan">
      <formula>100</formula>
    </cfRule>
    <cfRule type="cellIs" dxfId="461" priority="108" operator="between">
      <formula>10</formula>
      <formula>100</formula>
    </cfRule>
    <cfRule type="cellIs" dxfId="460" priority="109" operator="between">
      <formula>1</formula>
      <formula>10</formula>
    </cfRule>
    <cfRule type="cellIs" dxfId="459" priority="110" operator="between">
      <formula>0.00000001</formula>
      <formula>1</formula>
    </cfRule>
  </conditionalFormatting>
  <conditionalFormatting sqref="H192:AB192 H193:L196 O193:Q196 T193:V196 Y193:AB196">
    <cfRule type="cellIs" dxfId="458" priority="101" operator="equal">
      <formula>0</formula>
    </cfRule>
    <cfRule type="cellIs" dxfId="457" priority="102" operator="greaterThan">
      <formula>100</formula>
    </cfRule>
    <cfRule type="cellIs" dxfId="456" priority="103" operator="between">
      <formula>10</formula>
      <formula>100</formula>
    </cfRule>
    <cfRule type="cellIs" dxfId="455" priority="104" operator="between">
      <formula>1</formula>
      <formula>10</formula>
    </cfRule>
    <cfRule type="cellIs" dxfId="454" priority="105" operator="between">
      <formula>0.00000001</formula>
      <formula>1</formula>
    </cfRule>
  </conditionalFormatting>
  <conditionalFormatting sqref="H11:AC34">
    <cfRule type="cellIs" dxfId="453" priority="176" operator="equal">
      <formula>0</formula>
    </cfRule>
    <cfRule type="cellIs" dxfId="452" priority="177" operator="greaterThan">
      <formula>100</formula>
    </cfRule>
    <cfRule type="cellIs" dxfId="451" priority="178" operator="between">
      <formula>10</formula>
      <formula>100</formula>
    </cfRule>
    <cfRule type="cellIs" dxfId="450" priority="179" operator="between">
      <formula>1</formula>
      <formula>10</formula>
    </cfRule>
    <cfRule type="cellIs" dxfId="449" priority="180" operator="between">
      <formula>0.00000001</formula>
      <formula>1</formula>
    </cfRule>
  </conditionalFormatting>
  <conditionalFormatting sqref="H36:AC43">
    <cfRule type="cellIs" dxfId="448" priority="171" operator="equal">
      <formula>0</formula>
    </cfRule>
    <cfRule type="cellIs" dxfId="447" priority="172" operator="greaterThan">
      <formula>100</formula>
    </cfRule>
    <cfRule type="cellIs" dxfId="446" priority="173" operator="between">
      <formula>10</formula>
      <formula>100</formula>
    </cfRule>
    <cfRule type="cellIs" dxfId="445" priority="174" operator="between">
      <formula>1</formula>
      <formula>10</formula>
    </cfRule>
    <cfRule type="cellIs" dxfId="444" priority="175" operator="between">
      <formula>0.00000001</formula>
      <formula>1</formula>
    </cfRule>
  </conditionalFormatting>
  <conditionalFormatting sqref="H138:AC152">
    <cfRule type="cellIs" dxfId="443" priority="121" operator="equal">
      <formula>0</formula>
    </cfRule>
    <cfRule type="cellIs" dxfId="442" priority="122" operator="greaterThan">
      <formula>100</formula>
    </cfRule>
    <cfRule type="cellIs" dxfId="441" priority="123" operator="between">
      <formula>10</formula>
      <formula>100</formula>
    </cfRule>
    <cfRule type="cellIs" dxfId="440" priority="124" operator="between">
      <formula>1</formula>
      <formula>10</formula>
    </cfRule>
    <cfRule type="cellIs" dxfId="439" priority="125" operator="between">
      <formula>0.00000001</formula>
      <formula>1</formula>
    </cfRule>
  </conditionalFormatting>
  <conditionalFormatting sqref="M48:N114 R48:S114 W48:X114">
    <cfRule type="cellIs" dxfId="438" priority="126" operator="equal">
      <formula>0</formula>
    </cfRule>
    <cfRule type="cellIs" dxfId="437" priority="127" operator="greaterThan">
      <formula>100</formula>
    </cfRule>
    <cfRule type="cellIs" dxfId="436" priority="128" operator="between">
      <formula>10</formula>
      <formula>100</formula>
    </cfRule>
    <cfRule type="cellIs" dxfId="435" priority="129" operator="between">
      <formula>1</formula>
      <formula>10</formula>
    </cfRule>
    <cfRule type="cellIs" dxfId="434" priority="130" operator="between">
      <formula>0.00000001</formula>
      <formula>1</formula>
    </cfRule>
  </conditionalFormatting>
  <conditionalFormatting sqref="M153:N160 R153:S160">
    <cfRule type="cellIs" dxfId="433" priority="116" operator="equal">
      <formula>0</formula>
    </cfRule>
    <cfRule type="cellIs" dxfId="432" priority="117" operator="greaterThan">
      <formula>100</formula>
    </cfRule>
    <cfRule type="cellIs" dxfId="431" priority="118" operator="between">
      <formula>10</formula>
      <formula>100</formula>
    </cfRule>
    <cfRule type="cellIs" dxfId="430" priority="119" operator="between">
      <formula>1</formula>
      <formula>10</formula>
    </cfRule>
    <cfRule type="cellIs" dxfId="429" priority="120" operator="between">
      <formula>0.00000001</formula>
      <formula>1</formula>
    </cfRule>
  </conditionalFormatting>
  <conditionalFormatting sqref="M193:N300 R193:S300 W258:Y300">
    <cfRule type="cellIs" dxfId="428" priority="61" operator="equal">
      <formula>0</formula>
    </cfRule>
    <cfRule type="cellIs" dxfId="427" priority="62" operator="greaterThan">
      <formula>100</formula>
    </cfRule>
    <cfRule type="cellIs" dxfId="426" priority="63" operator="between">
      <formula>10</formula>
      <formula>100</formula>
    </cfRule>
    <cfRule type="cellIs" dxfId="425" priority="64" operator="between">
      <formula>1</formula>
      <formula>10</formula>
    </cfRule>
    <cfRule type="cellIs" dxfId="424" priority="65" operator="between">
      <formula>0.00000001</formula>
      <formula>1</formula>
    </cfRule>
  </conditionalFormatting>
  <conditionalFormatting sqref="M304:N337">
    <cfRule type="cellIs" dxfId="423" priority="16" operator="equal">
      <formula>0</formula>
    </cfRule>
    <cfRule type="cellIs" dxfId="422" priority="17" operator="greaterThan">
      <formula>100</formula>
    </cfRule>
    <cfRule type="cellIs" dxfId="421" priority="18" operator="between">
      <formula>10</formula>
      <formula>100</formula>
    </cfRule>
    <cfRule type="cellIs" dxfId="420" priority="19" operator="between">
      <formula>1</formula>
      <formula>10</formula>
    </cfRule>
    <cfRule type="cellIs" dxfId="419" priority="20" operator="between">
      <formula>0.00000001</formula>
      <formula>1</formula>
    </cfRule>
  </conditionalFormatting>
  <conditionalFormatting sqref="R35:S35 W35:X35">
    <cfRule type="cellIs" dxfId="418" priority="206" operator="equal">
      <formula>0</formula>
    </cfRule>
    <cfRule type="cellIs" dxfId="417" priority="207" operator="greaterThan">
      <formula>100</formula>
    </cfRule>
    <cfRule type="cellIs" dxfId="416" priority="208" operator="between">
      <formula>10</formula>
      <formula>100</formula>
    </cfRule>
    <cfRule type="cellIs" dxfId="415" priority="209" operator="between">
      <formula>1</formula>
      <formula>10</formula>
    </cfRule>
    <cfRule type="cellIs" dxfId="414" priority="210" operator="between">
      <formula>0.00000001</formula>
      <formula>1</formula>
    </cfRule>
  </conditionalFormatting>
  <conditionalFormatting sqref="R304:S337">
    <cfRule type="cellIs" dxfId="413" priority="11" operator="equal">
      <formula>0</formula>
    </cfRule>
    <cfRule type="cellIs" dxfId="412" priority="12" operator="greaterThan">
      <formula>100</formula>
    </cfRule>
    <cfRule type="cellIs" dxfId="411" priority="13" operator="between">
      <formula>10</formula>
      <formula>100</formula>
    </cfRule>
    <cfRule type="cellIs" dxfId="410" priority="14" operator="between">
      <formula>1</formula>
      <formula>10</formula>
    </cfRule>
    <cfRule type="cellIs" dxfId="409" priority="15" operator="between">
      <formula>0.00000001</formula>
      <formula>1</formula>
    </cfRule>
  </conditionalFormatting>
  <conditionalFormatting sqref="T48:V58">
    <cfRule type="cellIs" dxfId="408" priority="156" operator="equal">
      <formula>0</formula>
    </cfRule>
    <cfRule type="cellIs" dxfId="407" priority="157" operator="greaterThan">
      <formula>100</formula>
    </cfRule>
    <cfRule type="cellIs" dxfId="406" priority="158" operator="between">
      <formula>10</formula>
      <formula>100</formula>
    </cfRule>
    <cfRule type="cellIs" dxfId="405" priority="159" operator="between">
      <formula>1</formula>
      <formula>10</formula>
    </cfRule>
    <cfRule type="cellIs" dxfId="404" priority="160" operator="between">
      <formula>0.00000001</formula>
      <formula>1</formula>
    </cfRule>
  </conditionalFormatting>
  <conditionalFormatting sqref="W153:X153">
    <cfRule type="cellIs" dxfId="403" priority="191" operator="equal">
      <formula>0</formula>
    </cfRule>
    <cfRule type="cellIs" dxfId="402" priority="192" operator="greaterThan">
      <formula>100</formula>
    </cfRule>
    <cfRule type="cellIs" dxfId="401" priority="193" operator="between">
      <formula>10</formula>
      <formula>100</formula>
    </cfRule>
    <cfRule type="cellIs" dxfId="400" priority="194" operator="between">
      <formula>1</formula>
      <formula>10</formula>
    </cfRule>
    <cfRule type="cellIs" dxfId="399" priority="195" operator="between">
      <formula>0.00000001</formula>
      <formula>1</formula>
    </cfRule>
  </conditionalFormatting>
  <conditionalFormatting sqref="W193:X257">
    <cfRule type="cellIs" dxfId="398" priority="91" operator="equal">
      <formula>0</formula>
    </cfRule>
    <cfRule type="cellIs" dxfId="397" priority="92" operator="greaterThan">
      <formula>100</formula>
    </cfRule>
    <cfRule type="cellIs" dxfId="396" priority="93" operator="between">
      <formula>10</formula>
      <formula>100</formula>
    </cfRule>
    <cfRule type="cellIs" dxfId="395" priority="94" operator="between">
      <formula>1</formula>
      <formula>10</formula>
    </cfRule>
    <cfRule type="cellIs" dxfId="394" priority="95" operator="between">
      <formula>0.00000001</formula>
      <formula>1</formula>
    </cfRule>
  </conditionalFormatting>
  <conditionalFormatting sqref="W304:X337">
    <cfRule type="cellIs" dxfId="393" priority="6" operator="equal">
      <formula>0</formula>
    </cfRule>
    <cfRule type="cellIs" dxfId="392" priority="7" operator="greaterThan">
      <formula>100</formula>
    </cfRule>
    <cfRule type="cellIs" dxfId="391" priority="8" operator="between">
      <formula>10</formula>
      <formula>100</formula>
    </cfRule>
    <cfRule type="cellIs" dxfId="390" priority="9" operator="between">
      <formula>1</formula>
      <formula>10</formula>
    </cfRule>
    <cfRule type="cellIs" dxfId="389" priority="10" operator="between">
      <formula>0.00000001</formula>
      <formula>1</formula>
    </cfRule>
  </conditionalFormatting>
  <conditionalFormatting sqref="Y303:Y337">
    <cfRule type="cellIs" dxfId="388" priority="21" operator="equal">
      <formula>0</formula>
    </cfRule>
    <cfRule type="cellIs" dxfId="387" priority="22" operator="greaterThan">
      <formula>100</formula>
    </cfRule>
    <cfRule type="cellIs" dxfId="386" priority="23" operator="between">
      <formula>10</formula>
      <formula>100</formula>
    </cfRule>
    <cfRule type="cellIs" dxfId="385" priority="24" operator="between">
      <formula>1</formula>
      <formula>10</formula>
    </cfRule>
    <cfRule type="cellIs" dxfId="384" priority="25" operator="between">
      <formula>0.00000001</formula>
      <formula>1</formula>
    </cfRule>
  </conditionalFormatting>
  <conditionalFormatting sqref="Y48:AB58">
    <cfRule type="cellIs" dxfId="383" priority="151" operator="equal">
      <formula>0</formula>
    </cfRule>
    <cfRule type="cellIs" dxfId="382" priority="152" operator="greaterThan">
      <formula>100</formula>
    </cfRule>
    <cfRule type="cellIs" dxfId="381" priority="153" operator="between">
      <formula>10</formula>
      <formula>100</formula>
    </cfRule>
    <cfRule type="cellIs" dxfId="380" priority="154" operator="between">
      <formula>1</formula>
      <formula>10</formula>
    </cfRule>
    <cfRule type="cellIs" dxfId="379" priority="155" operator="between">
      <formula>0.00000001</formula>
      <formula>1</formula>
    </cfRule>
  </conditionalFormatting>
  <conditionalFormatting sqref="Y101:AC105">
    <cfRule type="cellIs" dxfId="378" priority="136" operator="equal">
      <formula>0</formula>
    </cfRule>
    <cfRule type="cellIs" dxfId="377" priority="137" operator="greaterThan">
      <formula>100</formula>
    </cfRule>
    <cfRule type="cellIs" dxfId="376" priority="138" operator="between">
      <formula>10</formula>
      <formula>100</formula>
    </cfRule>
    <cfRule type="cellIs" dxfId="375" priority="139" operator="between">
      <formula>1</formula>
      <formula>10</formula>
    </cfRule>
    <cfRule type="cellIs" dxfId="374" priority="140" operator="between">
      <formula>0.00000001</formula>
      <formula>1</formula>
    </cfRule>
  </conditionalFormatting>
  <conditionalFormatting sqref="Y226:AC256">
    <cfRule type="cellIs" dxfId="373" priority="81" operator="equal">
      <formula>0</formula>
    </cfRule>
    <cfRule type="cellIs" dxfId="372" priority="82" operator="greaterThan">
      <formula>100</formula>
    </cfRule>
    <cfRule type="cellIs" dxfId="371" priority="83" operator="between">
      <formula>10</formula>
      <formula>100</formula>
    </cfRule>
    <cfRule type="cellIs" dxfId="370" priority="84" operator="between">
      <formula>1</formula>
      <formula>10</formula>
    </cfRule>
    <cfRule type="cellIs" dxfId="369" priority="85" operator="between">
      <formula>0.00000001</formula>
      <formula>1</formula>
    </cfRule>
  </conditionalFormatting>
  <conditionalFormatting sqref="Z258:AC287">
    <cfRule type="cellIs" dxfId="368" priority="71" operator="equal">
      <formula>0</formula>
    </cfRule>
    <cfRule type="cellIs" dxfId="367" priority="72" operator="greaterThan">
      <formula>100</formula>
    </cfRule>
    <cfRule type="cellIs" dxfId="366" priority="73" operator="between">
      <formula>10</formula>
      <formula>100</formula>
    </cfRule>
    <cfRule type="cellIs" dxfId="365" priority="74" operator="between">
      <formula>1</formula>
      <formula>10</formula>
    </cfRule>
    <cfRule type="cellIs" dxfId="364" priority="75" operator="between">
      <formula>0.00000001</formula>
      <formula>1</formula>
    </cfRule>
  </conditionalFormatting>
  <conditionalFormatting sqref="Z304:AC308">
    <cfRule type="cellIs" dxfId="363" priority="51" operator="equal">
      <formula>0</formula>
    </cfRule>
    <cfRule type="cellIs" dxfId="362" priority="52" operator="greaterThan">
      <formula>100</formula>
    </cfRule>
    <cfRule type="cellIs" dxfId="361" priority="53" operator="between">
      <formula>10</formula>
      <formula>100</formula>
    </cfRule>
    <cfRule type="cellIs" dxfId="360" priority="54" operator="between">
      <formula>1</formula>
      <formula>10</formula>
    </cfRule>
    <cfRule type="cellIs" dxfId="359" priority="55" operator="between">
      <formula>0.00000001</formula>
      <formula>1</formula>
    </cfRule>
  </conditionalFormatting>
  <conditionalFormatting sqref="Z310:AC317">
    <cfRule type="cellIs" dxfId="358" priority="41" operator="equal">
      <formula>0</formula>
    </cfRule>
    <cfRule type="cellIs" dxfId="357" priority="42" operator="greaterThan">
      <formula>100</formula>
    </cfRule>
    <cfRule type="cellIs" dxfId="356" priority="43" operator="between">
      <formula>10</formula>
      <formula>100</formula>
    </cfRule>
    <cfRule type="cellIs" dxfId="355" priority="44" operator="between">
      <formula>1</formula>
      <formula>10</formula>
    </cfRule>
    <cfRule type="cellIs" dxfId="354" priority="45" operator="between">
      <formula>0.00000001</formula>
      <formula>1</formula>
    </cfRule>
  </conditionalFormatting>
  <conditionalFormatting sqref="Z319:AC323">
    <cfRule type="cellIs" dxfId="353" priority="31" operator="equal">
      <formula>0</formula>
    </cfRule>
    <cfRule type="cellIs" dxfId="352" priority="32" operator="greaterThan">
      <formula>100</formula>
    </cfRule>
    <cfRule type="cellIs" dxfId="351" priority="33" operator="between">
      <formula>10</formula>
      <formula>100</formula>
    </cfRule>
    <cfRule type="cellIs" dxfId="350" priority="34" operator="between">
      <formula>1</formula>
      <formula>10</formula>
    </cfRule>
    <cfRule type="cellIs" dxfId="349" priority="35" operator="between">
      <formula>0.00000001</formula>
      <formula>1</formula>
    </cfRule>
  </conditionalFormatting>
  <conditionalFormatting sqref="Z325:AC337">
    <cfRule type="cellIs" dxfId="348" priority="1" operator="equal">
      <formula>0</formula>
    </cfRule>
    <cfRule type="cellIs" dxfId="347" priority="2" operator="greaterThan">
      <formula>100</formula>
    </cfRule>
    <cfRule type="cellIs" dxfId="346" priority="3" operator="between">
      <formula>10</formula>
      <formula>100</formula>
    </cfRule>
    <cfRule type="cellIs" dxfId="345" priority="4" operator="between">
      <formula>1</formula>
      <formula>10</formula>
    </cfRule>
    <cfRule type="cellIs" dxfId="344" priority="5" operator="between">
      <formula>0.00000001</formula>
      <formula>1</formula>
    </cfRule>
  </conditionalFormatting>
  <conditionalFormatting sqref="AC47:AC58">
    <cfRule type="cellIs" dxfId="343" priority="196" operator="equal">
      <formula>0</formula>
    </cfRule>
    <cfRule type="cellIs" dxfId="342" priority="197" operator="greaterThan">
      <formula>100</formula>
    </cfRule>
    <cfRule type="cellIs" dxfId="341" priority="198" operator="between">
      <formula>10</formula>
      <formula>100</formula>
    </cfRule>
    <cfRule type="cellIs" dxfId="340" priority="199" operator="between">
      <formula>1</formula>
      <formula>10</formula>
    </cfRule>
    <cfRule type="cellIs" dxfId="339" priority="200" operator="between">
      <formula>0.00000001</formula>
      <formula>1</formula>
    </cfRule>
  </conditionalFormatting>
  <conditionalFormatting sqref="AC106:AC133">
    <cfRule type="cellIs" dxfId="338" priority="201" operator="equal">
      <formula>0</formula>
    </cfRule>
    <cfRule type="cellIs" dxfId="337" priority="202" operator="greaterThan">
      <formula>100</formula>
    </cfRule>
    <cfRule type="cellIs" dxfId="336" priority="203" operator="between">
      <formula>10</formula>
      <formula>100</formula>
    </cfRule>
    <cfRule type="cellIs" dxfId="335" priority="204" operator="between">
      <formula>1</formula>
      <formula>10</formula>
    </cfRule>
    <cfRule type="cellIs" dxfId="334" priority="205" operator="between">
      <formula>0.00000001</formula>
      <formula>1</formula>
    </cfRule>
  </conditionalFormatting>
  <conditionalFormatting sqref="AC154:AC188">
    <cfRule type="cellIs" dxfId="333" priority="186" operator="equal">
      <formula>0</formula>
    </cfRule>
    <cfRule type="cellIs" dxfId="332" priority="187" operator="greaterThan">
      <formula>100</formula>
    </cfRule>
    <cfRule type="cellIs" dxfId="331" priority="188" operator="between">
      <formula>10</formula>
      <formula>100</formula>
    </cfRule>
    <cfRule type="cellIs" dxfId="330" priority="189" operator="between">
      <formula>1</formula>
      <formula>10</formula>
    </cfRule>
    <cfRule type="cellIs" dxfId="329" priority="190" operator="between">
      <formula>0.00000001</formula>
      <formula>1</formula>
    </cfRule>
  </conditionalFormatting>
  <conditionalFormatting sqref="AC192:AC196">
    <cfRule type="cellIs" dxfId="328" priority="181" operator="equal">
      <formula>0</formula>
    </cfRule>
    <cfRule type="cellIs" dxfId="327" priority="182" operator="greaterThan">
      <formula>100</formula>
    </cfRule>
    <cfRule type="cellIs" dxfId="326" priority="183" operator="between">
      <formula>10</formula>
      <formula>100</formula>
    </cfRule>
    <cfRule type="cellIs" dxfId="325" priority="184" operator="between">
      <formula>1</formula>
      <formula>10</formula>
    </cfRule>
    <cfRule type="cellIs" dxfId="324" priority="185" operator="between">
      <formula>0.00000001</formula>
      <formula>1</formula>
    </cfRule>
  </conditionalFormatting>
  <conditionalFormatting sqref="AF11:AH34">
    <cfRule type="cellIs" dxfId="323" priority="521" operator="equal">
      <formula>0</formula>
    </cfRule>
    <cfRule type="cellIs" dxfId="322" priority="522" operator="greaterThan">
      <formula>100</formula>
    </cfRule>
    <cfRule type="cellIs" dxfId="321" priority="523" operator="between">
      <formula>10</formula>
      <formula>100</formula>
    </cfRule>
    <cfRule type="cellIs" dxfId="320" priority="524" operator="between">
      <formula>1</formula>
      <formula>10</formula>
    </cfRule>
    <cfRule type="cellIs" dxfId="319" priority="525" operator="between">
      <formula>0.00000001</formula>
      <formula>1</formula>
    </cfRule>
  </conditionalFormatting>
  <conditionalFormatting sqref="AF36:AH42">
    <cfRule type="cellIs" dxfId="318" priority="516" operator="equal">
      <formula>0</formula>
    </cfRule>
    <cfRule type="cellIs" dxfId="317" priority="517" operator="greaterThan">
      <formula>100</formula>
    </cfRule>
    <cfRule type="cellIs" dxfId="316" priority="518" operator="between">
      <formula>10</formula>
      <formula>100</formula>
    </cfRule>
    <cfRule type="cellIs" dxfId="315" priority="519" operator="between">
      <formula>1</formula>
      <formula>10</formula>
    </cfRule>
    <cfRule type="cellIs" dxfId="314" priority="520" operator="between">
      <formula>0.00000001</formula>
      <formula>1</formula>
    </cfRule>
  </conditionalFormatting>
  <conditionalFormatting sqref="AF47:AH47">
    <cfRule type="cellIs" dxfId="313" priority="511" operator="equal">
      <formula>0</formula>
    </cfRule>
    <cfRule type="cellIs" dxfId="312" priority="512" operator="greaterThan">
      <formula>100</formula>
    </cfRule>
    <cfRule type="cellIs" dxfId="311" priority="513" operator="between">
      <formula>10</formula>
      <formula>100</formula>
    </cfRule>
    <cfRule type="cellIs" dxfId="310" priority="514" operator="between">
      <formula>1</formula>
      <formula>10</formula>
    </cfRule>
    <cfRule type="cellIs" dxfId="309" priority="515" operator="between">
      <formula>0.00000001</formula>
      <formula>1</formula>
    </cfRule>
  </conditionalFormatting>
  <conditionalFormatting sqref="AF49:AH49">
    <cfRule type="cellIs" dxfId="308" priority="506" operator="equal">
      <formula>0</formula>
    </cfRule>
    <cfRule type="cellIs" dxfId="307" priority="507" operator="greaterThan">
      <formula>100</formula>
    </cfRule>
    <cfRule type="cellIs" dxfId="306" priority="508" operator="between">
      <formula>10</formula>
      <formula>100</formula>
    </cfRule>
    <cfRule type="cellIs" dxfId="305" priority="509" operator="between">
      <formula>1</formula>
      <formula>10</formula>
    </cfRule>
    <cfRule type="cellIs" dxfId="304" priority="510" operator="between">
      <formula>0.00000001</formula>
      <formula>1</formula>
    </cfRule>
  </conditionalFormatting>
  <conditionalFormatting sqref="AF52:AH56">
    <cfRule type="cellIs" dxfId="303" priority="501" operator="equal">
      <formula>0</formula>
    </cfRule>
    <cfRule type="cellIs" dxfId="302" priority="502" operator="greaterThan">
      <formula>100</formula>
    </cfRule>
    <cfRule type="cellIs" dxfId="301" priority="503" operator="between">
      <formula>10</formula>
      <formula>100</formula>
    </cfRule>
    <cfRule type="cellIs" dxfId="300" priority="504" operator="between">
      <formula>1</formula>
      <formula>10</formula>
    </cfRule>
    <cfRule type="cellIs" dxfId="299" priority="505" operator="between">
      <formula>0.00000001</formula>
      <formula>1</formula>
    </cfRule>
  </conditionalFormatting>
  <conditionalFormatting sqref="AF61:AH69">
    <cfRule type="cellIs" dxfId="298" priority="491" operator="equal">
      <formula>0</formula>
    </cfRule>
    <cfRule type="cellIs" dxfId="297" priority="492" operator="greaterThan">
      <formula>100</formula>
    </cfRule>
    <cfRule type="cellIs" dxfId="296" priority="493" operator="between">
      <formula>10</formula>
      <formula>100</formula>
    </cfRule>
    <cfRule type="cellIs" dxfId="295" priority="494" operator="between">
      <formula>1</formula>
      <formula>10</formula>
    </cfRule>
    <cfRule type="cellIs" dxfId="294" priority="495" operator="between">
      <formula>0.00000001</formula>
      <formula>1</formula>
    </cfRule>
  </conditionalFormatting>
  <conditionalFormatting sqref="AF72:AH75">
    <cfRule type="cellIs" dxfId="293" priority="486" operator="equal">
      <formula>0</formula>
    </cfRule>
    <cfRule type="cellIs" dxfId="292" priority="487" operator="greaterThan">
      <formula>100</formula>
    </cfRule>
    <cfRule type="cellIs" dxfId="291" priority="488" operator="between">
      <formula>10</formula>
      <formula>100</formula>
    </cfRule>
    <cfRule type="cellIs" dxfId="290" priority="489" operator="between">
      <formula>1</formula>
      <formula>10</formula>
    </cfRule>
    <cfRule type="cellIs" dxfId="289" priority="490" operator="between">
      <formula>0.00000001</formula>
      <formula>1</formula>
    </cfRule>
  </conditionalFormatting>
  <conditionalFormatting sqref="AF77:AH81">
    <cfRule type="cellIs" dxfId="288" priority="481" operator="equal">
      <formula>0</formula>
    </cfRule>
    <cfRule type="cellIs" dxfId="287" priority="482" operator="greaterThan">
      <formula>100</formula>
    </cfRule>
    <cfRule type="cellIs" dxfId="286" priority="483" operator="between">
      <formula>10</formula>
      <formula>100</formula>
    </cfRule>
    <cfRule type="cellIs" dxfId="285" priority="484" operator="between">
      <formula>1</formula>
      <formula>10</formula>
    </cfRule>
    <cfRule type="cellIs" dxfId="284" priority="485" operator="between">
      <formula>0.00000001</formula>
      <formula>1</formula>
    </cfRule>
  </conditionalFormatting>
  <conditionalFormatting sqref="AF83:AH99">
    <cfRule type="cellIs" dxfId="283" priority="476" operator="equal">
      <formula>0</formula>
    </cfRule>
    <cfRule type="cellIs" dxfId="282" priority="477" operator="greaterThan">
      <formula>100</formula>
    </cfRule>
    <cfRule type="cellIs" dxfId="281" priority="478" operator="between">
      <formula>10</formula>
      <formula>100</formula>
    </cfRule>
    <cfRule type="cellIs" dxfId="280" priority="479" operator="between">
      <formula>1</formula>
      <formula>10</formula>
    </cfRule>
    <cfRule type="cellIs" dxfId="279" priority="480" operator="between">
      <formula>0.00000001</formula>
      <formula>1</formula>
    </cfRule>
  </conditionalFormatting>
  <conditionalFormatting sqref="AF101:AH102 AF106:AH109">
    <cfRule type="cellIs" dxfId="278" priority="756" operator="equal">
      <formula>0</formula>
    </cfRule>
    <cfRule type="cellIs" dxfId="277" priority="757" operator="greaterThan">
      <formula>100</formula>
    </cfRule>
    <cfRule type="cellIs" dxfId="276" priority="758" operator="between">
      <formula>10</formula>
      <formula>100</formula>
    </cfRule>
    <cfRule type="cellIs" dxfId="275" priority="759" operator="between">
      <formula>1</formula>
      <formula>10</formula>
    </cfRule>
    <cfRule type="cellIs" dxfId="274" priority="760" operator="between">
      <formula>0.00000001</formula>
      <formula>1</formula>
    </cfRule>
  </conditionalFormatting>
  <conditionalFormatting sqref="AF111:AH111">
    <cfRule type="cellIs" dxfId="273" priority="471" operator="equal">
      <formula>0</formula>
    </cfRule>
    <cfRule type="cellIs" dxfId="272" priority="472" operator="greaterThan">
      <formula>100</formula>
    </cfRule>
    <cfRule type="cellIs" dxfId="271" priority="473" operator="between">
      <formula>10</formula>
      <formula>100</formula>
    </cfRule>
    <cfRule type="cellIs" dxfId="270" priority="474" operator="between">
      <formula>1</formula>
      <formula>10</formula>
    </cfRule>
    <cfRule type="cellIs" dxfId="269" priority="475" operator="between">
      <formula>0.00000001</formula>
      <formula>1</formula>
    </cfRule>
  </conditionalFormatting>
  <conditionalFormatting sqref="AF113:AH113">
    <cfRule type="cellIs" dxfId="268" priority="466" operator="equal">
      <formula>0</formula>
    </cfRule>
    <cfRule type="cellIs" dxfId="267" priority="467" operator="greaterThan">
      <formula>100</formula>
    </cfRule>
    <cfRule type="cellIs" dxfId="266" priority="468" operator="between">
      <formula>10</formula>
      <formula>100</formula>
    </cfRule>
    <cfRule type="cellIs" dxfId="265" priority="469" operator="between">
      <formula>1</formula>
      <formula>10</formula>
    </cfRule>
    <cfRule type="cellIs" dxfId="264" priority="470" operator="between">
      <formula>0.00000001</formula>
      <formula>1</formula>
    </cfRule>
  </conditionalFormatting>
  <conditionalFormatting sqref="AF115:AH128">
    <cfRule type="cellIs" dxfId="263" priority="461" operator="equal">
      <formula>0</formula>
    </cfRule>
    <cfRule type="cellIs" dxfId="262" priority="462" operator="greaterThan">
      <formula>100</formula>
    </cfRule>
    <cfRule type="cellIs" dxfId="261" priority="463" operator="between">
      <formula>10</formula>
      <formula>100</formula>
    </cfRule>
    <cfRule type="cellIs" dxfId="260" priority="464" operator="between">
      <formula>1</formula>
      <formula>10</formula>
    </cfRule>
    <cfRule type="cellIs" dxfId="259" priority="465" operator="between">
      <formula>0.00000001</formula>
      <formula>1</formula>
    </cfRule>
  </conditionalFormatting>
  <conditionalFormatting sqref="AF131:AH133">
    <cfRule type="cellIs" dxfId="258" priority="456" operator="equal">
      <formula>0</formula>
    </cfRule>
    <cfRule type="cellIs" dxfId="257" priority="457" operator="greaterThan">
      <formula>100</formula>
    </cfRule>
    <cfRule type="cellIs" dxfId="256" priority="458" operator="between">
      <formula>10</formula>
      <formula>100</formula>
    </cfRule>
    <cfRule type="cellIs" dxfId="255" priority="459" operator="between">
      <formula>1</formula>
      <formula>10</formula>
    </cfRule>
    <cfRule type="cellIs" dxfId="254" priority="460" operator="between">
      <formula>0.00000001</formula>
      <formula>1</formula>
    </cfRule>
  </conditionalFormatting>
  <conditionalFormatting sqref="AF138:AH139">
    <cfRule type="cellIs" dxfId="253" priority="451" operator="equal">
      <formula>0</formula>
    </cfRule>
    <cfRule type="cellIs" dxfId="252" priority="452" operator="greaterThan">
      <formula>100</formula>
    </cfRule>
    <cfRule type="cellIs" dxfId="251" priority="453" operator="between">
      <formula>10</formula>
      <formula>100</formula>
    </cfRule>
    <cfRule type="cellIs" dxfId="250" priority="454" operator="between">
      <formula>1</formula>
      <formula>10</formula>
    </cfRule>
    <cfRule type="cellIs" dxfId="249" priority="455" operator="between">
      <formula>0.00000001</formula>
      <formula>1</formula>
    </cfRule>
  </conditionalFormatting>
  <conditionalFormatting sqref="AF141:AH152">
    <cfRule type="cellIs" dxfId="248" priority="426" operator="equal">
      <formula>0</formula>
    </cfRule>
    <cfRule type="cellIs" dxfId="247" priority="427" operator="greaterThan">
      <formula>100</formula>
    </cfRule>
    <cfRule type="cellIs" dxfId="246" priority="428" operator="between">
      <formula>10</formula>
      <formula>100</formula>
    </cfRule>
    <cfRule type="cellIs" dxfId="245" priority="429" operator="between">
      <formula>1</formula>
      <formula>10</formula>
    </cfRule>
    <cfRule type="cellIs" dxfId="244" priority="430" operator="between">
      <formula>0.00000001</formula>
      <formula>1</formula>
    </cfRule>
  </conditionalFormatting>
  <conditionalFormatting sqref="AF154:AH154">
    <cfRule type="cellIs" dxfId="243" priority="401" operator="equal">
      <formula>0</formula>
    </cfRule>
    <cfRule type="cellIs" dxfId="242" priority="402" operator="greaterThan">
      <formula>100</formula>
    </cfRule>
    <cfRule type="cellIs" dxfId="241" priority="403" operator="between">
      <formula>10</formula>
      <formula>100</formula>
    </cfRule>
    <cfRule type="cellIs" dxfId="240" priority="404" operator="between">
      <formula>1</formula>
      <formula>10</formula>
    </cfRule>
    <cfRule type="cellIs" dxfId="239" priority="405" operator="between">
      <formula>0.00000001</formula>
      <formula>1</formula>
    </cfRule>
  </conditionalFormatting>
  <conditionalFormatting sqref="AF156:AH159">
    <cfRule type="cellIs" dxfId="238" priority="406" operator="equal">
      <formula>0</formula>
    </cfRule>
    <cfRule type="cellIs" dxfId="237" priority="407" operator="greaterThan">
      <formula>100</formula>
    </cfRule>
    <cfRule type="cellIs" dxfId="236" priority="408" operator="between">
      <formula>10</formula>
      <formula>100</formula>
    </cfRule>
    <cfRule type="cellIs" dxfId="235" priority="409" operator="between">
      <formula>1</formula>
      <formula>10</formula>
    </cfRule>
    <cfRule type="cellIs" dxfId="234" priority="410" operator="between">
      <formula>0.00000001</formula>
      <formula>1</formula>
    </cfRule>
  </conditionalFormatting>
  <conditionalFormatting sqref="AF163:AH164">
    <cfRule type="cellIs" dxfId="233" priority="396" operator="equal">
      <formula>0</formula>
    </cfRule>
    <cfRule type="cellIs" dxfId="232" priority="397" operator="greaterThan">
      <formula>100</formula>
    </cfRule>
    <cfRule type="cellIs" dxfId="231" priority="398" operator="between">
      <formula>10</formula>
      <formula>100</formula>
    </cfRule>
    <cfRule type="cellIs" dxfId="230" priority="399" operator="between">
      <formula>1</formula>
      <formula>10</formula>
    </cfRule>
    <cfRule type="cellIs" dxfId="229" priority="400" operator="between">
      <formula>0.00000001</formula>
      <formula>1</formula>
    </cfRule>
  </conditionalFormatting>
  <conditionalFormatting sqref="AF166:AH166">
    <cfRule type="cellIs" dxfId="228" priority="391" operator="equal">
      <formula>0</formula>
    </cfRule>
    <cfRule type="cellIs" dxfId="227" priority="392" operator="greaterThan">
      <formula>100</formula>
    </cfRule>
    <cfRule type="cellIs" dxfId="226" priority="393" operator="between">
      <formula>10</formula>
      <formula>100</formula>
    </cfRule>
    <cfRule type="cellIs" dxfId="225" priority="394" operator="between">
      <formula>1</formula>
      <formula>10</formula>
    </cfRule>
    <cfRule type="cellIs" dxfId="224" priority="395" operator="between">
      <formula>0.00000001</formula>
      <formula>1</formula>
    </cfRule>
  </conditionalFormatting>
  <conditionalFormatting sqref="AF168:AH168">
    <cfRule type="cellIs" dxfId="223" priority="386" operator="equal">
      <formula>0</formula>
    </cfRule>
    <cfRule type="cellIs" dxfId="222" priority="387" operator="greaterThan">
      <formula>100</formula>
    </cfRule>
    <cfRule type="cellIs" dxfId="221" priority="388" operator="between">
      <formula>10</formula>
      <formula>100</formula>
    </cfRule>
    <cfRule type="cellIs" dxfId="220" priority="389" operator="between">
      <formula>1</formula>
      <formula>10</formula>
    </cfRule>
    <cfRule type="cellIs" dxfId="219" priority="390" operator="between">
      <formula>0.00000001</formula>
      <formula>1</formula>
    </cfRule>
  </conditionalFormatting>
  <conditionalFormatting sqref="AF170:AH170">
    <cfRule type="cellIs" dxfId="218" priority="381" operator="equal">
      <formula>0</formula>
    </cfRule>
    <cfRule type="cellIs" dxfId="217" priority="382" operator="greaterThan">
      <formula>100</formula>
    </cfRule>
    <cfRule type="cellIs" dxfId="216" priority="383" operator="between">
      <formula>10</formula>
      <formula>100</formula>
    </cfRule>
    <cfRule type="cellIs" dxfId="215" priority="384" operator="between">
      <formula>1</formula>
      <formula>10</formula>
    </cfRule>
    <cfRule type="cellIs" dxfId="214" priority="385" operator="between">
      <formula>0.00000001</formula>
      <formula>1</formula>
    </cfRule>
  </conditionalFormatting>
  <conditionalFormatting sqref="AF172:AH172">
    <cfRule type="cellIs" dxfId="213" priority="376" operator="equal">
      <formula>0</formula>
    </cfRule>
    <cfRule type="cellIs" dxfId="212" priority="377" operator="greaterThan">
      <formula>100</formula>
    </cfRule>
    <cfRule type="cellIs" dxfId="211" priority="378" operator="between">
      <formula>10</formula>
      <formula>100</formula>
    </cfRule>
    <cfRule type="cellIs" dxfId="210" priority="379" operator="between">
      <formula>1</formula>
      <formula>10</formula>
    </cfRule>
    <cfRule type="cellIs" dxfId="209" priority="380" operator="between">
      <formula>0.00000001</formula>
      <formula>1</formula>
    </cfRule>
  </conditionalFormatting>
  <conditionalFormatting sqref="AF175:AH175">
    <cfRule type="cellIs" dxfId="208" priority="371" operator="equal">
      <formula>0</formula>
    </cfRule>
    <cfRule type="cellIs" dxfId="207" priority="372" operator="greaterThan">
      <formula>100</formula>
    </cfRule>
    <cfRule type="cellIs" dxfId="206" priority="373" operator="between">
      <formula>10</formula>
      <formula>100</formula>
    </cfRule>
    <cfRule type="cellIs" dxfId="205" priority="374" operator="between">
      <formula>1</formula>
      <formula>10</formula>
    </cfRule>
    <cfRule type="cellIs" dxfId="204" priority="375" operator="between">
      <formula>0.00000001</formula>
      <formula>1</formula>
    </cfRule>
  </conditionalFormatting>
  <conditionalFormatting sqref="AF177:AH177">
    <cfRule type="cellIs" dxfId="203" priority="366" operator="equal">
      <formula>0</formula>
    </cfRule>
    <cfRule type="cellIs" dxfId="202" priority="367" operator="greaterThan">
      <formula>100</formula>
    </cfRule>
    <cfRule type="cellIs" dxfId="201" priority="368" operator="between">
      <formula>10</formula>
      <formula>100</formula>
    </cfRule>
    <cfRule type="cellIs" dxfId="200" priority="369" operator="between">
      <formula>1</formula>
      <formula>10</formula>
    </cfRule>
    <cfRule type="cellIs" dxfId="199" priority="370" operator="between">
      <formula>0.00000001</formula>
      <formula>1</formula>
    </cfRule>
  </conditionalFormatting>
  <conditionalFormatting sqref="AF179:AH180">
    <cfRule type="cellIs" dxfId="198" priority="356" operator="equal">
      <formula>0</formula>
    </cfRule>
    <cfRule type="cellIs" dxfId="197" priority="357" operator="greaterThan">
      <formula>100</formula>
    </cfRule>
    <cfRule type="cellIs" dxfId="196" priority="358" operator="between">
      <formula>10</formula>
      <formula>100</formula>
    </cfRule>
    <cfRule type="cellIs" dxfId="195" priority="359" operator="between">
      <formula>1</formula>
      <formula>10</formula>
    </cfRule>
    <cfRule type="cellIs" dxfId="194" priority="360" operator="between">
      <formula>0.00000001</formula>
      <formula>1</formula>
    </cfRule>
  </conditionalFormatting>
  <conditionalFormatting sqref="AF182:AH186">
    <cfRule type="cellIs" dxfId="193" priority="346" operator="equal">
      <formula>0</formula>
    </cfRule>
    <cfRule type="cellIs" dxfId="192" priority="347" operator="greaterThan">
      <formula>100</formula>
    </cfRule>
    <cfRule type="cellIs" dxfId="191" priority="348" operator="between">
      <formula>10</formula>
      <formula>100</formula>
    </cfRule>
    <cfRule type="cellIs" dxfId="190" priority="349" operator="between">
      <formula>1</formula>
      <formula>10</formula>
    </cfRule>
    <cfRule type="cellIs" dxfId="189" priority="350" operator="between">
      <formula>0.00000001</formula>
      <formula>1</formula>
    </cfRule>
  </conditionalFormatting>
  <conditionalFormatting sqref="AF192:AH196">
    <cfRule type="cellIs" dxfId="188" priority="341" operator="equal">
      <formula>0</formula>
    </cfRule>
    <cfRule type="cellIs" dxfId="187" priority="342" operator="greaterThan">
      <formula>100</formula>
    </cfRule>
    <cfRule type="cellIs" dxfId="186" priority="343" operator="between">
      <formula>10</formula>
      <formula>100</formula>
    </cfRule>
    <cfRule type="cellIs" dxfId="185" priority="344" operator="between">
      <formula>1</formula>
      <formula>10</formula>
    </cfRule>
    <cfRule type="cellIs" dxfId="184" priority="345" operator="between">
      <formula>0.00000001</formula>
      <formula>1</formula>
    </cfRule>
  </conditionalFormatting>
  <conditionalFormatting sqref="AF198:AH200">
    <cfRule type="cellIs" dxfId="183" priority="336" operator="equal">
      <formula>0</formula>
    </cfRule>
    <cfRule type="cellIs" dxfId="182" priority="337" operator="greaterThan">
      <formula>100</formula>
    </cfRule>
    <cfRule type="cellIs" dxfId="181" priority="338" operator="between">
      <formula>10</formula>
      <formula>100</formula>
    </cfRule>
    <cfRule type="cellIs" dxfId="180" priority="339" operator="between">
      <formula>1</formula>
      <formula>10</formula>
    </cfRule>
    <cfRule type="cellIs" dxfId="179" priority="340" operator="between">
      <formula>0.00000001</formula>
      <formula>1</formula>
    </cfRule>
  </conditionalFormatting>
  <conditionalFormatting sqref="AF220:AH224">
    <cfRule type="cellIs" dxfId="178" priority="326" operator="equal">
      <formula>0</formula>
    </cfRule>
    <cfRule type="cellIs" dxfId="177" priority="327" operator="greaterThan">
      <formula>100</formula>
    </cfRule>
    <cfRule type="cellIs" dxfId="176" priority="328" operator="between">
      <formula>10</formula>
      <formula>100</formula>
    </cfRule>
    <cfRule type="cellIs" dxfId="175" priority="329" operator="between">
      <formula>1</formula>
      <formula>10</formula>
    </cfRule>
    <cfRule type="cellIs" dxfId="174" priority="330" operator="between">
      <formula>0.00000001</formula>
      <formula>1</formula>
    </cfRule>
  </conditionalFormatting>
  <conditionalFormatting sqref="AF226:AH229">
    <cfRule type="cellIs" dxfId="173" priority="321" operator="equal">
      <formula>0</formula>
    </cfRule>
    <cfRule type="cellIs" dxfId="172" priority="322" operator="greaterThan">
      <formula>100</formula>
    </cfRule>
    <cfRule type="cellIs" dxfId="171" priority="323" operator="between">
      <formula>10</formula>
      <formula>100</formula>
    </cfRule>
    <cfRule type="cellIs" dxfId="170" priority="324" operator="between">
      <formula>1</formula>
      <formula>10</formula>
    </cfRule>
    <cfRule type="cellIs" dxfId="169" priority="325" operator="between">
      <formula>0.00000001</formula>
      <formula>1</formula>
    </cfRule>
  </conditionalFormatting>
  <conditionalFormatting sqref="AF231:AH231">
    <cfRule type="cellIs" dxfId="168" priority="316" operator="equal">
      <formula>0</formula>
    </cfRule>
    <cfRule type="cellIs" dxfId="167" priority="317" operator="greaterThan">
      <formula>100</formula>
    </cfRule>
    <cfRule type="cellIs" dxfId="166" priority="318" operator="between">
      <formula>10</formula>
      <formula>100</formula>
    </cfRule>
    <cfRule type="cellIs" dxfId="165" priority="319" operator="between">
      <formula>1</formula>
      <formula>10</formula>
    </cfRule>
    <cfRule type="cellIs" dxfId="164" priority="320" operator="between">
      <formula>0.00000001</formula>
      <formula>1</formula>
    </cfRule>
  </conditionalFormatting>
  <conditionalFormatting sqref="AF233:AH233">
    <cfRule type="cellIs" dxfId="163" priority="311" operator="equal">
      <formula>0</formula>
    </cfRule>
    <cfRule type="cellIs" dxfId="162" priority="312" operator="greaterThan">
      <formula>100</formula>
    </cfRule>
    <cfRule type="cellIs" dxfId="161" priority="313" operator="between">
      <formula>10</formula>
      <formula>100</formula>
    </cfRule>
    <cfRule type="cellIs" dxfId="160" priority="314" operator="between">
      <formula>1</formula>
      <formula>10</formula>
    </cfRule>
    <cfRule type="cellIs" dxfId="159" priority="315" operator="between">
      <formula>0.00000001</formula>
      <formula>1</formula>
    </cfRule>
  </conditionalFormatting>
  <conditionalFormatting sqref="AF237:AH239">
    <cfRule type="cellIs" dxfId="158" priority="306" operator="equal">
      <formula>0</formula>
    </cfRule>
    <cfRule type="cellIs" dxfId="157" priority="307" operator="greaterThan">
      <formula>100</formula>
    </cfRule>
    <cfRule type="cellIs" dxfId="156" priority="308" operator="between">
      <formula>10</formula>
      <formula>100</formula>
    </cfRule>
    <cfRule type="cellIs" dxfId="155" priority="309" operator="between">
      <formula>1</formula>
      <formula>10</formula>
    </cfRule>
    <cfRule type="cellIs" dxfId="154" priority="310" operator="between">
      <formula>0.00000001</formula>
      <formula>1</formula>
    </cfRule>
  </conditionalFormatting>
  <conditionalFormatting sqref="AF243:AH243">
    <cfRule type="cellIs" dxfId="153" priority="301" operator="equal">
      <formula>0</formula>
    </cfRule>
    <cfRule type="cellIs" dxfId="152" priority="302" operator="greaterThan">
      <formula>100</formula>
    </cfRule>
    <cfRule type="cellIs" dxfId="151" priority="303" operator="between">
      <formula>10</formula>
      <formula>100</formula>
    </cfRule>
    <cfRule type="cellIs" dxfId="150" priority="304" operator="between">
      <formula>1</formula>
      <formula>10</formula>
    </cfRule>
    <cfRule type="cellIs" dxfId="149" priority="305" operator="between">
      <formula>0.00000001</formula>
      <formula>1</formula>
    </cfRule>
  </conditionalFormatting>
  <conditionalFormatting sqref="AF245:AH245">
    <cfRule type="cellIs" dxfId="148" priority="296" operator="equal">
      <formula>0</formula>
    </cfRule>
    <cfRule type="cellIs" dxfId="147" priority="297" operator="greaterThan">
      <formula>100</formula>
    </cfRule>
    <cfRule type="cellIs" dxfId="146" priority="298" operator="between">
      <formula>10</formula>
      <formula>100</formula>
    </cfRule>
    <cfRule type="cellIs" dxfId="145" priority="299" operator="between">
      <formula>1</formula>
      <formula>10</formula>
    </cfRule>
    <cfRule type="cellIs" dxfId="144" priority="300" operator="between">
      <formula>0.00000001</formula>
      <formula>1</formula>
    </cfRule>
  </conditionalFormatting>
  <conditionalFormatting sqref="AF247:AH247">
    <cfRule type="cellIs" dxfId="143" priority="291" operator="equal">
      <formula>0</formula>
    </cfRule>
    <cfRule type="cellIs" dxfId="142" priority="292" operator="greaterThan">
      <formula>100</formula>
    </cfRule>
    <cfRule type="cellIs" dxfId="141" priority="293" operator="between">
      <formula>10</formula>
      <formula>100</formula>
    </cfRule>
    <cfRule type="cellIs" dxfId="140" priority="294" operator="between">
      <formula>1</formula>
      <formula>10</formula>
    </cfRule>
    <cfRule type="cellIs" dxfId="139" priority="295" operator="between">
      <formula>0.00000001</formula>
      <formula>1</formula>
    </cfRule>
  </conditionalFormatting>
  <conditionalFormatting sqref="AF249:AH249">
    <cfRule type="cellIs" dxfId="138" priority="286" operator="equal">
      <formula>0</formula>
    </cfRule>
    <cfRule type="cellIs" dxfId="137" priority="287" operator="greaterThan">
      <formula>100</formula>
    </cfRule>
    <cfRule type="cellIs" dxfId="136" priority="288" operator="between">
      <formula>10</formula>
      <formula>100</formula>
    </cfRule>
    <cfRule type="cellIs" dxfId="135" priority="289" operator="between">
      <formula>1</formula>
      <formula>10</formula>
    </cfRule>
    <cfRule type="cellIs" dxfId="134" priority="290" operator="between">
      <formula>0.00000001</formula>
      <formula>1</formula>
    </cfRule>
  </conditionalFormatting>
  <conditionalFormatting sqref="AF251:AH251">
    <cfRule type="cellIs" dxfId="133" priority="281" operator="equal">
      <formula>0</formula>
    </cfRule>
    <cfRule type="cellIs" dxfId="132" priority="282" operator="greaterThan">
      <formula>100</formula>
    </cfRule>
    <cfRule type="cellIs" dxfId="131" priority="283" operator="between">
      <formula>10</formula>
      <formula>100</formula>
    </cfRule>
    <cfRule type="cellIs" dxfId="130" priority="284" operator="between">
      <formula>1</formula>
      <formula>10</formula>
    </cfRule>
    <cfRule type="cellIs" dxfId="129" priority="285" operator="between">
      <formula>0.00000001</formula>
      <formula>1</formula>
    </cfRule>
  </conditionalFormatting>
  <conditionalFormatting sqref="AF253:AH255">
    <cfRule type="cellIs" dxfId="128" priority="271" operator="equal">
      <formula>0</formula>
    </cfRule>
    <cfRule type="cellIs" dxfId="127" priority="272" operator="greaterThan">
      <formula>100</formula>
    </cfRule>
    <cfRule type="cellIs" dxfId="126" priority="273" operator="between">
      <formula>10</formula>
      <formula>100</formula>
    </cfRule>
    <cfRule type="cellIs" dxfId="125" priority="274" operator="between">
      <formula>1</formula>
      <formula>10</formula>
    </cfRule>
    <cfRule type="cellIs" dxfId="124" priority="275" operator="between">
      <formula>0.00000001</formula>
      <formula>1</formula>
    </cfRule>
  </conditionalFormatting>
  <conditionalFormatting sqref="AF258:AH272">
    <cfRule type="cellIs" dxfId="123" priority="266" operator="equal">
      <formula>0</formula>
    </cfRule>
    <cfRule type="cellIs" dxfId="122" priority="267" operator="greaterThan">
      <formula>100</formula>
    </cfRule>
    <cfRule type="cellIs" dxfId="121" priority="268" operator="between">
      <formula>10</formula>
      <formula>100</formula>
    </cfRule>
    <cfRule type="cellIs" dxfId="120" priority="269" operator="between">
      <formula>1</formula>
      <formula>10</formula>
    </cfRule>
    <cfRule type="cellIs" dxfId="119" priority="270" operator="between">
      <formula>0.00000001</formula>
      <formula>1</formula>
    </cfRule>
  </conditionalFormatting>
  <conditionalFormatting sqref="AF276:AH287">
    <cfRule type="cellIs" dxfId="118" priority="261" operator="equal">
      <formula>0</formula>
    </cfRule>
    <cfRule type="cellIs" dxfId="117" priority="262" operator="greaterThan">
      <formula>100</formula>
    </cfRule>
    <cfRule type="cellIs" dxfId="116" priority="263" operator="between">
      <formula>10</formula>
      <formula>100</formula>
    </cfRule>
    <cfRule type="cellIs" dxfId="115" priority="264" operator="between">
      <formula>1</formula>
      <formula>10</formula>
    </cfRule>
    <cfRule type="cellIs" dxfId="114" priority="265" operator="between">
      <formula>0.00000001</formula>
      <formula>1</formula>
    </cfRule>
  </conditionalFormatting>
  <conditionalFormatting sqref="AF292:AH293">
    <cfRule type="cellIs" dxfId="113" priority="251" operator="equal">
      <formula>0</formula>
    </cfRule>
    <cfRule type="cellIs" dxfId="112" priority="252" operator="greaterThan">
      <formula>100</formula>
    </cfRule>
    <cfRule type="cellIs" dxfId="111" priority="253" operator="between">
      <formula>10</formula>
      <formula>100</formula>
    </cfRule>
    <cfRule type="cellIs" dxfId="110" priority="254" operator="between">
      <formula>1</formula>
      <formula>10</formula>
    </cfRule>
    <cfRule type="cellIs" dxfId="109" priority="255" operator="between">
      <formula>0.00000001</formula>
      <formula>1</formula>
    </cfRule>
  </conditionalFormatting>
  <conditionalFormatting sqref="AF295:AH295">
    <cfRule type="cellIs" dxfId="108" priority="246" operator="equal">
      <formula>0</formula>
    </cfRule>
    <cfRule type="cellIs" dxfId="107" priority="247" operator="greaterThan">
      <formula>100</formula>
    </cfRule>
    <cfRule type="cellIs" dxfId="106" priority="248" operator="between">
      <formula>10</formula>
      <formula>100</formula>
    </cfRule>
    <cfRule type="cellIs" dxfId="105" priority="249" operator="between">
      <formula>1</formula>
      <formula>10</formula>
    </cfRule>
    <cfRule type="cellIs" dxfId="104" priority="250" operator="between">
      <formula>0.00000001</formula>
      <formula>1</formula>
    </cfRule>
  </conditionalFormatting>
  <conditionalFormatting sqref="AF297:AH297">
    <cfRule type="cellIs" dxfId="103" priority="241" operator="equal">
      <formula>0</formula>
    </cfRule>
    <cfRule type="cellIs" dxfId="102" priority="242" operator="greaterThan">
      <formula>100</formula>
    </cfRule>
    <cfRule type="cellIs" dxfId="101" priority="243" operator="between">
      <formula>10</formula>
      <formula>100</formula>
    </cfRule>
    <cfRule type="cellIs" dxfId="100" priority="244" operator="between">
      <formula>1</formula>
      <formula>10</formula>
    </cfRule>
    <cfRule type="cellIs" dxfId="99" priority="245" operator="between">
      <formula>0.00000001</formula>
      <formula>1</formula>
    </cfRule>
  </conditionalFormatting>
  <conditionalFormatting sqref="AF304:AH308">
    <cfRule type="cellIs" dxfId="98" priority="231" operator="equal">
      <formula>0</formula>
    </cfRule>
    <cfRule type="cellIs" dxfId="97" priority="232" operator="greaterThan">
      <formula>100</formula>
    </cfRule>
    <cfRule type="cellIs" dxfId="96" priority="233" operator="between">
      <formula>10</formula>
      <formula>100</formula>
    </cfRule>
    <cfRule type="cellIs" dxfId="95" priority="234" operator="between">
      <formula>1</formula>
      <formula>10</formula>
    </cfRule>
    <cfRule type="cellIs" dxfId="94" priority="235" operator="between">
      <formula>0.00000001</formula>
      <formula>1</formula>
    </cfRule>
  </conditionalFormatting>
  <conditionalFormatting sqref="AF310:AH317">
    <cfRule type="cellIs" dxfId="93" priority="226" operator="equal">
      <formula>0</formula>
    </cfRule>
    <cfRule type="cellIs" dxfId="92" priority="227" operator="greaterThan">
      <formula>100</formula>
    </cfRule>
    <cfRule type="cellIs" dxfId="91" priority="228" operator="between">
      <formula>10</formula>
      <formula>100</formula>
    </cfRule>
    <cfRule type="cellIs" dxfId="90" priority="229" operator="between">
      <formula>1</formula>
      <formula>10</formula>
    </cfRule>
    <cfRule type="cellIs" dxfId="89" priority="230" operator="between">
      <formula>0.00000001</formula>
      <formula>1</formula>
    </cfRule>
  </conditionalFormatting>
  <conditionalFormatting sqref="AF319:AH323">
    <cfRule type="cellIs" dxfId="88" priority="216" operator="equal">
      <formula>0</formula>
    </cfRule>
    <cfRule type="cellIs" dxfId="87" priority="217" operator="greaterThan">
      <formula>100</formula>
    </cfRule>
    <cfRule type="cellIs" dxfId="86" priority="218" operator="between">
      <formula>10</formula>
      <formula>100</formula>
    </cfRule>
    <cfRule type="cellIs" dxfId="85" priority="219" operator="between">
      <formula>1</formula>
      <formula>10</formula>
    </cfRule>
    <cfRule type="cellIs" dxfId="84" priority="220" operator="between">
      <formula>0.00000001</formula>
      <formula>1</formula>
    </cfRule>
  </conditionalFormatting>
  <conditionalFormatting sqref="AF325:AH337">
    <cfRule type="cellIs" dxfId="83" priority="211" operator="equal">
      <formula>0</formula>
    </cfRule>
    <cfRule type="cellIs" dxfId="82" priority="212" operator="greaterThan">
      <formula>100</formula>
    </cfRule>
    <cfRule type="cellIs" dxfId="81" priority="213" operator="between">
      <formula>10</formula>
      <formula>100</formula>
    </cfRule>
    <cfRule type="cellIs" dxfId="80" priority="214" operator="between">
      <formula>1</formula>
      <formula>10</formula>
    </cfRule>
    <cfRule type="cellIs" dxfId="79" priority="215" operator="between">
      <formula>0.00000001</formula>
      <formula>1</formula>
    </cfRule>
  </conditionalFormatting>
  <hyperlinks>
    <hyperlink ref="AF2" r:id="rId4" xr:uid="{B664A7F7-77AC-46C3-9E2D-3BDCBB77F8B6}"/>
  </hyperlinks>
  <pageMargins left="0" right="0" top="0" bottom="0" header="0" footer="0"/>
  <pageSetup paperSize="9" scale="36" fitToHeight="0" orientation="landscape" r:id="rId5"/>
  <headerFooter scaleWithDoc="0" alignWithMargins="0">
    <oddFooter>&amp;C&amp;8&amp;P</oddFooter>
  </headerFooter>
  <rowBreaks count="4" manualBreakCount="4">
    <brk id="97" max="18" man="1"/>
    <brk id="158" max="18" man="1"/>
    <brk id="239" max="18" man="1"/>
    <brk id="289" max="18" man="1"/>
  </rowBreaks>
  <drawing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20">
    <tabColor theme="5" tint="0.59999389629810485"/>
    <outlinePr summaryRight="0"/>
    <pageSetUpPr autoPageBreaks="0" fitToPage="1"/>
  </sheetPr>
  <dimension ref="A1:AA122"/>
  <sheetViews>
    <sheetView topLeftCell="G1" workbookViewId="0"/>
  </sheetViews>
  <sheetFormatPr baseColWidth="10" defaultColWidth="10.75" defaultRowHeight="12.75" outlineLevelRow="1" outlineLevelCol="1"/>
  <cols>
    <col min="1" max="1" width="9.25" style="266" customWidth="1" collapsed="1"/>
    <col min="2" max="2" width="36.625" style="266" hidden="1" customWidth="1" outlineLevel="1"/>
    <col min="3" max="3" width="50.75" style="267" customWidth="1" collapsed="1"/>
    <col min="4" max="4" width="10" style="266" hidden="1" customWidth="1" outlineLevel="1"/>
    <col min="5" max="5" width="55.625" style="267" hidden="1" customWidth="1" outlineLevel="1"/>
    <col min="6" max="6" width="11.125" style="268" customWidth="1" collapsed="1"/>
    <col min="7" max="7" width="6.25" style="862" customWidth="1"/>
    <col min="8" max="10" width="9.25" style="863" customWidth="1"/>
    <col min="11" max="13" width="9.25" style="863" customWidth="1" outlineLevel="1"/>
    <col min="14" max="14" width="9.25" style="863" customWidth="1" collapsed="1"/>
    <col min="15" max="19" width="9.25" style="863" customWidth="1"/>
    <col min="20" max="22" width="9.25" style="864" customWidth="1"/>
    <col min="23" max="23" width="13.25" style="268" bestFit="1" customWidth="1"/>
    <col min="24" max="24" width="59.75" style="865" bestFit="1" customWidth="1"/>
    <col min="25" max="26" width="10.75" style="119" customWidth="1"/>
    <col min="27" max="27" width="62" style="119" customWidth="1"/>
    <col min="28" max="16384" width="10.75" style="119"/>
  </cols>
  <sheetData>
    <row r="1" spans="1:27" s="116" customFormat="1" ht="20.25">
      <c r="A1" s="824"/>
      <c r="B1" s="825"/>
      <c r="C1" s="826" t="s">
        <v>1076</v>
      </c>
      <c r="D1" s="825"/>
      <c r="E1" s="827"/>
      <c r="F1" s="828"/>
      <c r="G1" s="828"/>
      <c r="H1" s="829"/>
      <c r="I1" s="830"/>
      <c r="J1" s="830"/>
      <c r="K1" s="829"/>
      <c r="L1" s="830"/>
      <c r="M1" s="830"/>
      <c r="N1" s="829" t="s">
        <v>1077</v>
      </c>
      <c r="O1" s="830"/>
      <c r="P1" s="830"/>
      <c r="Q1" s="830"/>
      <c r="R1" s="830"/>
      <c r="S1" s="830"/>
      <c r="T1" s="831"/>
      <c r="U1" s="831"/>
      <c r="V1" s="831"/>
      <c r="W1" s="828"/>
      <c r="X1" s="832" t="s">
        <v>2741</v>
      </c>
    </row>
    <row r="2" spans="1:27" s="117" customFormat="1" ht="15">
      <c r="A2" s="833">
        <v>1</v>
      </c>
      <c r="B2" s="834">
        <v>2</v>
      </c>
      <c r="C2" s="833">
        <v>3</v>
      </c>
      <c r="D2" s="834">
        <v>4</v>
      </c>
      <c r="E2" s="833">
        <v>5</v>
      </c>
      <c r="F2" s="834">
        <v>6</v>
      </c>
      <c r="G2" s="833">
        <v>7</v>
      </c>
      <c r="H2" s="834">
        <v>8</v>
      </c>
      <c r="I2" s="833">
        <v>9</v>
      </c>
      <c r="J2" s="834">
        <v>10</v>
      </c>
      <c r="K2" s="833">
        <v>11</v>
      </c>
      <c r="L2" s="834">
        <v>12</v>
      </c>
      <c r="M2" s="833">
        <v>13</v>
      </c>
      <c r="N2" s="834">
        <v>14</v>
      </c>
      <c r="O2" s="833">
        <v>15</v>
      </c>
      <c r="P2" s="834">
        <v>16</v>
      </c>
      <c r="Q2" s="833">
        <v>17</v>
      </c>
      <c r="R2" s="834">
        <v>18</v>
      </c>
      <c r="S2" s="833">
        <v>19</v>
      </c>
      <c r="T2" s="834">
        <v>20</v>
      </c>
      <c r="U2" s="833">
        <v>21</v>
      </c>
      <c r="V2" s="834">
        <v>22</v>
      </c>
      <c r="W2" s="833">
        <v>23</v>
      </c>
      <c r="X2" s="834">
        <v>24</v>
      </c>
    </row>
    <row r="3" spans="1:27" s="14" customFormat="1" ht="12.75" hidden="1" customHeight="1" outlineLevel="1">
      <c r="A3" s="12"/>
      <c r="C3" s="13"/>
      <c r="D3" s="1432"/>
      <c r="E3" s="1433"/>
      <c r="F3" s="1433"/>
      <c r="H3" s="15"/>
      <c r="I3" s="14" t="s">
        <v>1128</v>
      </c>
      <c r="J3" s="14" t="s">
        <v>1128</v>
      </c>
      <c r="L3" s="14" t="s">
        <v>2742</v>
      </c>
      <c r="M3" s="14" t="s">
        <v>2742</v>
      </c>
      <c r="O3" s="14" t="s">
        <v>2743</v>
      </c>
      <c r="P3" s="14" t="s">
        <v>2743</v>
      </c>
      <c r="R3" s="14" t="s">
        <v>2744</v>
      </c>
      <c r="S3" s="16" t="s">
        <v>2744</v>
      </c>
      <c r="U3" s="14" t="s">
        <v>2745</v>
      </c>
      <c r="V3" s="14" t="s">
        <v>2745</v>
      </c>
      <c r="W3" s="799"/>
    </row>
    <row r="4" spans="1:27" ht="25.5" customHeight="1" collapsed="1">
      <c r="A4" s="118" t="s">
        <v>1088</v>
      </c>
      <c r="B4" s="17" t="s">
        <v>1089</v>
      </c>
      <c r="C4" s="1682" t="s">
        <v>2746</v>
      </c>
      <c r="D4" s="118" t="s">
        <v>1091</v>
      </c>
      <c r="E4" s="1627" t="s">
        <v>1092</v>
      </c>
      <c r="F4" s="1685" t="s">
        <v>1094</v>
      </c>
      <c r="G4" s="1686"/>
      <c r="H4" s="1687" t="s">
        <v>1095</v>
      </c>
      <c r="I4" s="1688"/>
      <c r="J4" s="1689"/>
      <c r="K4" s="1680" t="s">
        <v>1096</v>
      </c>
      <c r="L4" s="1680"/>
      <c r="M4" s="1680"/>
      <c r="N4" s="1680"/>
      <c r="O4" s="1680"/>
      <c r="P4" s="1680"/>
      <c r="Q4" s="1680"/>
      <c r="R4" s="1680"/>
      <c r="S4" s="1680"/>
      <c r="T4" s="1661" t="s">
        <v>1097</v>
      </c>
      <c r="U4" s="1662"/>
      <c r="V4" s="1663"/>
      <c r="W4" s="213" t="s">
        <v>619</v>
      </c>
      <c r="X4" s="1664" t="s">
        <v>2747</v>
      </c>
    </row>
    <row r="5" spans="1:27" ht="12.75" customHeight="1">
      <c r="A5" s="1666" t="s">
        <v>1101</v>
      </c>
      <c r="B5" s="779"/>
      <c r="C5" s="1683"/>
      <c r="D5" s="1666" t="s">
        <v>1102</v>
      </c>
      <c r="E5" s="1684"/>
      <c r="F5" s="836"/>
      <c r="G5" s="212"/>
      <c r="H5" s="1668" t="s">
        <v>1128</v>
      </c>
      <c r="I5" s="1669"/>
      <c r="J5" s="1670"/>
      <c r="K5" s="1674" t="s">
        <v>1104</v>
      </c>
      <c r="L5" s="1674"/>
      <c r="M5" s="1674"/>
      <c r="N5" s="1675" t="s">
        <v>1105</v>
      </c>
      <c r="O5" s="1675"/>
      <c r="P5" s="1675"/>
      <c r="Q5" s="1675" t="s">
        <v>2748</v>
      </c>
      <c r="R5" s="1675"/>
      <c r="S5" s="1675"/>
      <c r="T5" s="1676" t="s">
        <v>1107</v>
      </c>
      <c r="U5" s="1677"/>
      <c r="V5" s="1678"/>
      <c r="W5" s="837"/>
      <c r="X5" s="1665"/>
    </row>
    <row r="6" spans="1:27" ht="12.75" customHeight="1">
      <c r="A6" s="1667"/>
      <c r="B6" s="838"/>
      <c r="C6" s="1683"/>
      <c r="D6" s="1667"/>
      <c r="E6" s="1684"/>
      <c r="F6" s="216" t="s">
        <v>2749</v>
      </c>
      <c r="G6" s="216"/>
      <c r="H6" s="1671"/>
      <c r="I6" s="1672"/>
      <c r="J6" s="1673"/>
      <c r="K6" s="1679" t="s">
        <v>1109</v>
      </c>
      <c r="L6" s="1679"/>
      <c r="M6" s="1679"/>
      <c r="N6" s="1681" t="s">
        <v>1110</v>
      </c>
      <c r="O6" s="1681"/>
      <c r="P6" s="1681"/>
      <c r="Q6" s="1681" t="s">
        <v>2750</v>
      </c>
      <c r="R6" s="1681"/>
      <c r="S6" s="1681"/>
      <c r="T6" s="1657" t="s">
        <v>1112</v>
      </c>
      <c r="U6" s="1658"/>
      <c r="V6" s="1659"/>
      <c r="W6" s="839" t="s">
        <v>2751</v>
      </c>
      <c r="X6" s="1665"/>
    </row>
    <row r="7" spans="1:27" s="121" customFormat="1" ht="22.5" customHeight="1">
      <c r="A7" s="18"/>
      <c r="B7" s="18"/>
      <c r="C7" s="840" t="s">
        <v>217</v>
      </c>
      <c r="D7" s="18"/>
      <c r="E7" s="120" t="s">
        <v>217</v>
      </c>
      <c r="F7" s="781"/>
      <c r="G7" s="216"/>
      <c r="H7" s="841" t="s">
        <v>290</v>
      </c>
      <c r="I7" s="842" t="s">
        <v>1114</v>
      </c>
      <c r="J7" s="842" t="s">
        <v>1092</v>
      </c>
      <c r="K7" s="843" t="s">
        <v>290</v>
      </c>
      <c r="L7" s="844" t="s">
        <v>1114</v>
      </c>
      <c r="M7" s="844" t="s">
        <v>1092</v>
      </c>
      <c r="N7" s="843" t="s">
        <v>290</v>
      </c>
      <c r="O7" s="844" t="s">
        <v>1114</v>
      </c>
      <c r="P7" s="844" t="s">
        <v>1092</v>
      </c>
      <c r="Q7" s="843" t="s">
        <v>290</v>
      </c>
      <c r="R7" s="844" t="s">
        <v>1114</v>
      </c>
      <c r="S7" s="844" t="s">
        <v>1092</v>
      </c>
      <c r="T7" s="845" t="s">
        <v>290</v>
      </c>
      <c r="U7" s="846" t="s">
        <v>1114</v>
      </c>
      <c r="V7" s="846" t="s">
        <v>1092</v>
      </c>
      <c r="W7" s="847"/>
      <c r="X7" s="848"/>
    </row>
    <row r="8" spans="1:27" s="122" customFormat="1" ht="22.5" customHeight="1">
      <c r="A8" s="23"/>
      <c r="B8" s="23"/>
      <c r="C8" s="840"/>
      <c r="D8" s="23"/>
      <c r="E8" s="120"/>
      <c r="F8" s="216"/>
      <c r="G8" s="218"/>
      <c r="H8" s="849" t="s">
        <v>290</v>
      </c>
      <c r="I8" s="850" t="s">
        <v>1122</v>
      </c>
      <c r="J8" s="850" t="s">
        <v>1100</v>
      </c>
      <c r="K8" s="851" t="s">
        <v>290</v>
      </c>
      <c r="L8" s="852" t="s">
        <v>1122</v>
      </c>
      <c r="M8" s="852" t="s">
        <v>1100</v>
      </c>
      <c r="N8" s="851" t="s">
        <v>290</v>
      </c>
      <c r="O8" s="852" t="s">
        <v>1122</v>
      </c>
      <c r="P8" s="852" t="s">
        <v>1100</v>
      </c>
      <c r="Q8" s="851" t="s">
        <v>290</v>
      </c>
      <c r="R8" s="852" t="s">
        <v>1122</v>
      </c>
      <c r="S8" s="852" t="s">
        <v>1100</v>
      </c>
      <c r="T8" s="853" t="s">
        <v>290</v>
      </c>
      <c r="U8" s="854" t="s">
        <v>1122</v>
      </c>
      <c r="V8" s="854" t="s">
        <v>1100</v>
      </c>
      <c r="W8" s="847"/>
      <c r="X8" s="848"/>
      <c r="Y8" s="121"/>
      <c r="Z8" s="121"/>
      <c r="AA8" s="121"/>
    </row>
    <row r="9" spans="1:27" s="122" customFormat="1" ht="24">
      <c r="A9" s="26"/>
      <c r="B9" s="26"/>
      <c r="C9" s="855"/>
      <c r="D9" s="26"/>
      <c r="E9" s="123"/>
      <c r="F9" s="856"/>
      <c r="G9" s="857" t="s">
        <v>2752</v>
      </c>
      <c r="H9" s="858" t="s">
        <v>1128</v>
      </c>
      <c r="I9" s="858" t="s">
        <v>1128</v>
      </c>
      <c r="J9" s="858" t="s">
        <v>1128</v>
      </c>
      <c r="K9" s="224" t="s">
        <v>1129</v>
      </c>
      <c r="L9" s="224" t="s">
        <v>1129</v>
      </c>
      <c r="M9" s="224" t="s">
        <v>1129</v>
      </c>
      <c r="N9" s="224" t="s">
        <v>1129</v>
      </c>
      <c r="O9" s="224" t="s">
        <v>1129</v>
      </c>
      <c r="P9" s="224" t="s">
        <v>1129</v>
      </c>
      <c r="Q9" s="224" t="s">
        <v>1129</v>
      </c>
      <c r="R9" s="224" t="s">
        <v>1129</v>
      </c>
      <c r="S9" s="224" t="s">
        <v>1129</v>
      </c>
      <c r="T9" s="225" t="s">
        <v>1130</v>
      </c>
      <c r="U9" s="225" t="s">
        <v>1130</v>
      </c>
      <c r="V9" s="225" t="s">
        <v>1130</v>
      </c>
      <c r="W9" s="859"/>
      <c r="X9" s="227"/>
      <c r="Y9" s="119"/>
      <c r="Z9" s="119"/>
      <c r="AA9" s="119"/>
    </row>
    <row r="10" spans="1:27" s="208" customFormat="1" ht="16.5" customHeight="1">
      <c r="A10" s="124" t="s">
        <v>2753</v>
      </c>
      <c r="B10" s="124"/>
      <c r="C10" s="490" t="s">
        <v>2754</v>
      </c>
      <c r="D10" s="125"/>
      <c r="E10" s="126"/>
      <c r="F10" s="491"/>
      <c r="G10" s="491"/>
      <c r="H10" s="492"/>
      <c r="I10" s="492"/>
      <c r="J10" s="492"/>
      <c r="K10" s="492"/>
      <c r="L10" s="778"/>
      <c r="M10" s="778"/>
      <c r="N10" s="492"/>
      <c r="O10" s="778"/>
      <c r="P10" s="778"/>
      <c r="Q10" s="1660"/>
      <c r="R10" s="1660"/>
      <c r="S10" s="1660"/>
      <c r="T10" s="493"/>
      <c r="U10" s="493"/>
      <c r="V10" s="493"/>
      <c r="W10" s="491"/>
      <c r="X10" s="490" t="s">
        <v>2755</v>
      </c>
      <c r="Y10" s="41"/>
      <c r="Z10" s="266"/>
      <c r="AA10" s="266"/>
    </row>
    <row r="11" spans="1:27" s="208" customFormat="1" ht="16.5" customHeight="1">
      <c r="A11" s="127" t="s">
        <v>1037</v>
      </c>
      <c r="B11" s="235" t="s">
        <v>2756</v>
      </c>
      <c r="C11" s="494" t="s">
        <v>2757</v>
      </c>
      <c r="D11" s="127" t="s">
        <v>2758</v>
      </c>
      <c r="E11" s="128" t="s">
        <v>2759</v>
      </c>
      <c r="F11" s="240" t="s">
        <v>2760</v>
      </c>
      <c r="G11" s="129" t="s">
        <v>1141</v>
      </c>
      <c r="H11" s="495">
        <v>1810</v>
      </c>
      <c r="I11" s="496">
        <v>1770</v>
      </c>
      <c r="J11" s="496">
        <v>36.5</v>
      </c>
      <c r="K11" s="497">
        <v>3.46</v>
      </c>
      <c r="L11" s="498">
        <v>3.46</v>
      </c>
      <c r="M11" s="498">
        <v>7.2300000000000003E-3</v>
      </c>
      <c r="N11" s="497">
        <v>0.29499999999999998</v>
      </c>
      <c r="O11" s="498">
        <v>0.29499999999999998</v>
      </c>
      <c r="P11" s="498">
        <v>2.9300000000000002E-4</v>
      </c>
      <c r="Q11" s="497">
        <v>3.17</v>
      </c>
      <c r="R11" s="498">
        <v>3.16</v>
      </c>
      <c r="S11" s="498">
        <v>6.9300000000000004E-3</v>
      </c>
      <c r="T11" s="497">
        <v>0.85799999999999998</v>
      </c>
      <c r="U11" s="498">
        <v>0.84899999999999998</v>
      </c>
      <c r="V11" s="498">
        <v>9.6100000000000005E-3</v>
      </c>
      <c r="W11" s="499" t="s">
        <v>275</v>
      </c>
      <c r="X11" s="494" t="s">
        <v>2761</v>
      </c>
      <c r="Y11" s="45" t="s">
        <v>2762</v>
      </c>
      <c r="Z11" s="266"/>
      <c r="AA11" s="266"/>
    </row>
    <row r="12" spans="1:27" s="208" customFormat="1" ht="16.5" customHeight="1">
      <c r="A12" s="127" t="s">
        <v>1040</v>
      </c>
      <c r="B12" s="235" t="s">
        <v>2763</v>
      </c>
      <c r="C12" s="258" t="s">
        <v>2764</v>
      </c>
      <c r="D12" s="127" t="s">
        <v>2765</v>
      </c>
      <c r="E12" s="128" t="s">
        <v>2766</v>
      </c>
      <c r="F12" s="240" t="s">
        <v>2760</v>
      </c>
      <c r="G12" s="129" t="s">
        <v>1141</v>
      </c>
      <c r="H12" s="495">
        <v>5420</v>
      </c>
      <c r="I12" s="496">
        <v>5310</v>
      </c>
      <c r="J12" s="496">
        <v>110</v>
      </c>
      <c r="K12" s="497">
        <v>10.4</v>
      </c>
      <c r="L12" s="498">
        <v>10.4</v>
      </c>
      <c r="M12" s="498">
        <v>2.1700000000000001E-2</v>
      </c>
      <c r="N12" s="497">
        <v>0.88600000000000001</v>
      </c>
      <c r="O12" s="498">
        <v>0.88500000000000001</v>
      </c>
      <c r="P12" s="498">
        <v>8.8000000000000003E-4</v>
      </c>
      <c r="Q12" s="497">
        <v>9.5</v>
      </c>
      <c r="R12" s="498">
        <v>9.48</v>
      </c>
      <c r="S12" s="498">
        <v>2.0799999999999999E-2</v>
      </c>
      <c r="T12" s="497">
        <v>2.57</v>
      </c>
      <c r="U12" s="498">
        <v>2.5499999999999998</v>
      </c>
      <c r="V12" s="498">
        <v>2.8799999999999999E-2</v>
      </c>
      <c r="W12" s="240" t="s">
        <v>275</v>
      </c>
      <c r="X12" s="258" t="s">
        <v>2767</v>
      </c>
      <c r="Y12" s="45" t="s">
        <v>2768</v>
      </c>
      <c r="Z12" s="266"/>
      <c r="AA12" s="266"/>
    </row>
    <row r="13" spans="1:27" s="208" customFormat="1" ht="16.5" customHeight="1">
      <c r="A13" s="127" t="s">
        <v>1043</v>
      </c>
      <c r="B13" s="235" t="s">
        <v>2769</v>
      </c>
      <c r="C13" s="258" t="s">
        <v>2770</v>
      </c>
      <c r="D13" s="127" t="s">
        <v>2771</v>
      </c>
      <c r="E13" s="128" t="s">
        <v>2772</v>
      </c>
      <c r="F13" s="240" t="s">
        <v>2760</v>
      </c>
      <c r="G13" s="129" t="s">
        <v>1141</v>
      </c>
      <c r="H13" s="495">
        <v>9030</v>
      </c>
      <c r="I13" s="496">
        <v>8850</v>
      </c>
      <c r="J13" s="496">
        <v>183</v>
      </c>
      <c r="K13" s="497">
        <v>17.3</v>
      </c>
      <c r="L13" s="498">
        <v>17.3</v>
      </c>
      <c r="M13" s="498">
        <v>3.61E-2</v>
      </c>
      <c r="N13" s="497">
        <v>1.48</v>
      </c>
      <c r="O13" s="498">
        <v>1.48</v>
      </c>
      <c r="P13" s="498">
        <v>1.47E-3</v>
      </c>
      <c r="Q13" s="497">
        <v>15.8</v>
      </c>
      <c r="R13" s="498">
        <v>15.8</v>
      </c>
      <c r="S13" s="498">
        <v>3.4599999999999999E-2</v>
      </c>
      <c r="T13" s="497">
        <v>4.29</v>
      </c>
      <c r="U13" s="498">
        <v>4.24</v>
      </c>
      <c r="V13" s="498">
        <v>4.8000000000000001E-2</v>
      </c>
      <c r="W13" s="240" t="s">
        <v>275</v>
      </c>
      <c r="X13" s="258" t="s">
        <v>2773</v>
      </c>
      <c r="Y13" s="45" t="s">
        <v>2774</v>
      </c>
      <c r="Z13" s="266"/>
      <c r="AA13" s="266"/>
    </row>
    <row r="14" spans="1:27" s="253" customFormat="1" ht="16.5" customHeight="1">
      <c r="A14" s="244" t="s">
        <v>2775</v>
      </c>
      <c r="B14" s="235" t="s">
        <v>2776</v>
      </c>
      <c r="C14" s="500" t="s">
        <v>2777</v>
      </c>
      <c r="D14" s="244" t="s">
        <v>2778</v>
      </c>
      <c r="E14" s="501" t="s">
        <v>2779</v>
      </c>
      <c r="F14" s="250" t="s">
        <v>2780</v>
      </c>
      <c r="G14" s="502" t="s">
        <v>294</v>
      </c>
      <c r="H14" s="503">
        <v>7070</v>
      </c>
      <c r="I14" s="504">
        <v>6720</v>
      </c>
      <c r="J14" s="504">
        <v>348</v>
      </c>
      <c r="K14" s="505">
        <v>11.6</v>
      </c>
      <c r="L14" s="506">
        <v>11.4</v>
      </c>
      <c r="M14" s="506">
        <v>0.20799999999999999</v>
      </c>
      <c r="N14" s="505">
        <v>0.96699999999999997</v>
      </c>
      <c r="O14" s="506">
        <v>0.94899999999999995</v>
      </c>
      <c r="P14" s="506">
        <v>1.7999999999999999E-2</v>
      </c>
      <c r="Q14" s="505">
        <v>10.6</v>
      </c>
      <c r="R14" s="506">
        <v>10.5</v>
      </c>
      <c r="S14" s="506">
        <v>0.19</v>
      </c>
      <c r="T14" s="505">
        <v>2.87</v>
      </c>
      <c r="U14" s="506">
        <v>2.58</v>
      </c>
      <c r="V14" s="506">
        <v>0.29599999999999999</v>
      </c>
      <c r="W14" s="250" t="s">
        <v>2781</v>
      </c>
      <c r="X14" s="500" t="s">
        <v>2782</v>
      </c>
      <c r="Y14" s="30" t="s">
        <v>2783</v>
      </c>
      <c r="Z14" s="507"/>
      <c r="AA14" s="507"/>
    </row>
    <row r="15" spans="1:27" s="208" customFormat="1" ht="16.5" customHeight="1">
      <c r="A15" s="127" t="s">
        <v>1046</v>
      </c>
      <c r="B15" s="235" t="s">
        <v>2784</v>
      </c>
      <c r="C15" s="258" t="s">
        <v>2785</v>
      </c>
      <c r="D15" s="127" t="s">
        <v>2786</v>
      </c>
      <c r="E15" s="128" t="s">
        <v>2787</v>
      </c>
      <c r="F15" s="240" t="s">
        <v>2760</v>
      </c>
      <c r="G15" s="129" t="s">
        <v>1141</v>
      </c>
      <c r="H15" s="495">
        <v>7030</v>
      </c>
      <c r="I15" s="496">
        <v>5630</v>
      </c>
      <c r="J15" s="496">
        <v>1400</v>
      </c>
      <c r="K15" s="497">
        <v>14.8</v>
      </c>
      <c r="L15" s="498">
        <v>12.3</v>
      </c>
      <c r="M15" s="498">
        <v>2.5099999999999998</v>
      </c>
      <c r="N15" s="497">
        <v>1.54</v>
      </c>
      <c r="O15" s="498">
        <v>1.17</v>
      </c>
      <c r="P15" s="498">
        <v>0.36599999999999999</v>
      </c>
      <c r="Q15" s="497">
        <v>13.2</v>
      </c>
      <c r="R15" s="498">
        <v>11.1</v>
      </c>
      <c r="S15" s="498">
        <v>2.14</v>
      </c>
      <c r="T15" s="497">
        <v>3.46</v>
      </c>
      <c r="U15" s="498">
        <v>2.77</v>
      </c>
      <c r="V15" s="498">
        <v>0.69499999999999995</v>
      </c>
      <c r="W15" s="240" t="s">
        <v>275</v>
      </c>
      <c r="X15" s="258" t="s">
        <v>2788</v>
      </c>
      <c r="Y15" s="45" t="s">
        <v>2789</v>
      </c>
      <c r="Z15" s="266"/>
      <c r="AA15" s="266"/>
    </row>
    <row r="16" spans="1:27" s="208" customFormat="1" ht="16.5" customHeight="1">
      <c r="A16" s="127" t="s">
        <v>1050</v>
      </c>
      <c r="B16" s="235" t="s">
        <v>2790</v>
      </c>
      <c r="C16" s="258" t="s">
        <v>2791</v>
      </c>
      <c r="D16" s="127" t="s">
        <v>2792</v>
      </c>
      <c r="E16" s="128" t="s">
        <v>2793</v>
      </c>
      <c r="F16" s="240" t="s">
        <v>2760</v>
      </c>
      <c r="G16" s="129" t="s">
        <v>1141</v>
      </c>
      <c r="H16" s="495">
        <v>18100</v>
      </c>
      <c r="I16" s="496">
        <v>16100</v>
      </c>
      <c r="J16" s="496">
        <v>2020</v>
      </c>
      <c r="K16" s="497">
        <v>32.6</v>
      </c>
      <c r="L16" s="498">
        <v>29.6</v>
      </c>
      <c r="M16" s="498">
        <v>3</v>
      </c>
      <c r="N16" s="497">
        <v>2.77</v>
      </c>
      <c r="O16" s="498">
        <v>2.34</v>
      </c>
      <c r="P16" s="498">
        <v>0.43</v>
      </c>
      <c r="Q16" s="497">
        <v>29.9</v>
      </c>
      <c r="R16" s="498">
        <v>27.3</v>
      </c>
      <c r="S16" s="498">
        <v>2.57</v>
      </c>
      <c r="T16" s="497">
        <v>9.14</v>
      </c>
      <c r="U16" s="498">
        <v>8.06</v>
      </c>
      <c r="V16" s="498">
        <v>1.08</v>
      </c>
      <c r="W16" s="240" t="s">
        <v>275</v>
      </c>
      <c r="X16" s="258" t="s">
        <v>2794</v>
      </c>
      <c r="Y16" s="45" t="s">
        <v>2795</v>
      </c>
      <c r="Z16" s="266"/>
      <c r="AA16" s="266"/>
    </row>
    <row r="17" spans="1:27" s="208" customFormat="1" ht="16.5" customHeight="1">
      <c r="A17" s="127" t="s">
        <v>1051</v>
      </c>
      <c r="B17" s="235" t="s">
        <v>2796</v>
      </c>
      <c r="C17" s="258" t="s">
        <v>2797</v>
      </c>
      <c r="D17" s="127" t="s">
        <v>2798</v>
      </c>
      <c r="E17" s="128" t="s">
        <v>2799</v>
      </c>
      <c r="F17" s="240" t="s">
        <v>2760</v>
      </c>
      <c r="G17" s="129" t="s">
        <v>1141</v>
      </c>
      <c r="H17" s="495">
        <v>12800</v>
      </c>
      <c r="I17" s="496">
        <v>12100</v>
      </c>
      <c r="J17" s="496">
        <v>700</v>
      </c>
      <c r="K17" s="497">
        <v>22.7</v>
      </c>
      <c r="L17" s="498">
        <v>22.7</v>
      </c>
      <c r="M17" s="498">
        <v>2.98E-2</v>
      </c>
      <c r="N17" s="497">
        <v>1.66</v>
      </c>
      <c r="O17" s="498">
        <v>1.66</v>
      </c>
      <c r="P17" s="498">
        <v>2.66E-3</v>
      </c>
      <c r="Q17" s="497">
        <v>21.1</v>
      </c>
      <c r="R17" s="498">
        <v>21</v>
      </c>
      <c r="S17" s="498">
        <v>2.7099999999999999E-2</v>
      </c>
      <c r="T17" s="497">
        <v>6.5</v>
      </c>
      <c r="U17" s="498">
        <v>6.48</v>
      </c>
      <c r="V17" s="498">
        <v>2.1999999999999999E-2</v>
      </c>
      <c r="W17" s="240" t="s">
        <v>275</v>
      </c>
      <c r="X17" s="258" t="s">
        <v>2800</v>
      </c>
      <c r="Y17" s="45" t="s">
        <v>2801</v>
      </c>
      <c r="Z17" s="266"/>
      <c r="AA17" s="266"/>
    </row>
    <row r="18" spans="1:27" s="208" customFormat="1" ht="16.5" customHeight="1">
      <c r="A18" s="127" t="s">
        <v>1047</v>
      </c>
      <c r="B18" s="235" t="s">
        <v>2802</v>
      </c>
      <c r="C18" s="258" t="s">
        <v>2803</v>
      </c>
      <c r="D18" s="127" t="s">
        <v>2804</v>
      </c>
      <c r="E18" s="128" t="s">
        <v>2805</v>
      </c>
      <c r="F18" s="240" t="s">
        <v>2760</v>
      </c>
      <c r="G18" s="129" t="s">
        <v>1141</v>
      </c>
      <c r="H18" s="495">
        <v>7380</v>
      </c>
      <c r="I18" s="496">
        <v>5300</v>
      </c>
      <c r="J18" s="496">
        <v>2090</v>
      </c>
      <c r="K18" s="497">
        <v>23.3</v>
      </c>
      <c r="L18" s="498">
        <v>23.2</v>
      </c>
      <c r="M18" s="498">
        <v>8.8099999999999998E-2</v>
      </c>
      <c r="N18" s="497">
        <v>1.44</v>
      </c>
      <c r="O18" s="498">
        <v>1.44</v>
      </c>
      <c r="P18" s="498">
        <v>2.0999999999999999E-3</v>
      </c>
      <c r="Q18" s="497">
        <v>21.8</v>
      </c>
      <c r="R18" s="498">
        <v>21.8</v>
      </c>
      <c r="S18" s="498">
        <v>8.5999999999999993E-2</v>
      </c>
      <c r="T18" s="497">
        <v>5.05</v>
      </c>
      <c r="U18" s="498">
        <v>3.02</v>
      </c>
      <c r="V18" s="498">
        <v>2.04</v>
      </c>
      <c r="W18" s="240" t="s">
        <v>275</v>
      </c>
      <c r="X18" s="258" t="s">
        <v>2806</v>
      </c>
      <c r="Y18" s="45" t="s">
        <v>2807</v>
      </c>
      <c r="Z18" s="266"/>
      <c r="AA18" s="266"/>
    </row>
    <row r="19" spans="1:27" s="208" customFormat="1" ht="16.5" customHeight="1">
      <c r="A19" s="127" t="s">
        <v>2808</v>
      </c>
      <c r="B19" s="235" t="s">
        <v>2809</v>
      </c>
      <c r="C19" s="258" t="s">
        <v>2810</v>
      </c>
      <c r="D19" s="127" t="s">
        <v>2811</v>
      </c>
      <c r="E19" s="128" t="s">
        <v>2812</v>
      </c>
      <c r="F19" s="240" t="s">
        <v>2760</v>
      </c>
      <c r="G19" s="129" t="s">
        <v>1141</v>
      </c>
      <c r="H19" s="495">
        <v>24300</v>
      </c>
      <c r="I19" s="496">
        <v>24200</v>
      </c>
      <c r="J19" s="496">
        <v>141</v>
      </c>
      <c r="K19" s="497">
        <v>29.4</v>
      </c>
      <c r="L19" s="498">
        <v>29.3</v>
      </c>
      <c r="M19" s="498">
        <v>2.86E-2</v>
      </c>
      <c r="N19" s="497">
        <v>4.3899999999999997</v>
      </c>
      <c r="O19" s="498">
        <v>4.3899999999999997</v>
      </c>
      <c r="P19" s="498">
        <v>2.2699999999999999E-3</v>
      </c>
      <c r="Q19" s="497">
        <v>25</v>
      </c>
      <c r="R19" s="498">
        <v>24.9</v>
      </c>
      <c r="S19" s="498">
        <v>2.63E-2</v>
      </c>
      <c r="T19" s="497">
        <v>5.78</v>
      </c>
      <c r="U19" s="498">
        <v>5.65</v>
      </c>
      <c r="V19" s="498">
        <v>0.13400000000000001</v>
      </c>
      <c r="W19" s="240" t="s">
        <v>275</v>
      </c>
      <c r="X19" s="258" t="s">
        <v>2813</v>
      </c>
      <c r="Y19" s="45" t="s">
        <v>2814</v>
      </c>
      <c r="Z19" s="266"/>
      <c r="AA19" s="266"/>
    </row>
    <row r="20" spans="1:27" s="208" customFormat="1" ht="16.5" customHeight="1">
      <c r="A20" s="127" t="s">
        <v>2815</v>
      </c>
      <c r="B20" s="235" t="s">
        <v>2816</v>
      </c>
      <c r="C20" s="258" t="s">
        <v>2817</v>
      </c>
      <c r="D20" s="127" t="s">
        <v>2818</v>
      </c>
      <c r="E20" s="128" t="s">
        <v>2819</v>
      </c>
      <c r="F20" s="240" t="s">
        <v>2760</v>
      </c>
      <c r="G20" s="129" t="s">
        <v>1141</v>
      </c>
      <c r="H20" s="495">
        <v>3870</v>
      </c>
      <c r="I20" s="496">
        <v>3260</v>
      </c>
      <c r="J20" s="496">
        <v>613</v>
      </c>
      <c r="K20" s="497">
        <v>7.53</v>
      </c>
      <c r="L20" s="498">
        <v>7.53</v>
      </c>
      <c r="M20" s="498">
        <v>3.6900000000000001E-3</v>
      </c>
      <c r="N20" s="497">
        <v>0.42099999999999999</v>
      </c>
      <c r="O20" s="498">
        <v>0.42099999999999999</v>
      </c>
      <c r="P20" s="498">
        <v>1.03E-4</v>
      </c>
      <c r="Q20" s="497">
        <v>7.11</v>
      </c>
      <c r="R20" s="498">
        <v>7.11</v>
      </c>
      <c r="S20" s="498">
        <v>3.5799999999999998E-3</v>
      </c>
      <c r="T20" s="497">
        <v>1.83</v>
      </c>
      <c r="U20" s="498">
        <v>1.76</v>
      </c>
      <c r="V20" s="498">
        <v>6.6799999999999998E-2</v>
      </c>
      <c r="W20" s="240" t="s">
        <v>275</v>
      </c>
      <c r="X20" s="258" t="s">
        <v>2820</v>
      </c>
      <c r="Y20" s="45" t="s">
        <v>2821</v>
      </c>
      <c r="Z20" s="266"/>
      <c r="AA20" s="266"/>
    </row>
    <row r="21" spans="1:27" s="208" customFormat="1" ht="16.5" customHeight="1">
      <c r="A21" s="127" t="s">
        <v>1052</v>
      </c>
      <c r="B21" s="235" t="s">
        <v>2822</v>
      </c>
      <c r="C21" s="258" t="s">
        <v>2823</v>
      </c>
      <c r="D21" s="127" t="s">
        <v>2824</v>
      </c>
      <c r="E21" s="128" t="s">
        <v>2825</v>
      </c>
      <c r="F21" s="240" t="s">
        <v>2826</v>
      </c>
      <c r="G21" s="129" t="s">
        <v>362</v>
      </c>
      <c r="H21" s="503">
        <v>46100</v>
      </c>
      <c r="I21" s="504">
        <v>40900</v>
      </c>
      <c r="J21" s="504">
        <v>5220</v>
      </c>
      <c r="K21" s="505">
        <v>104</v>
      </c>
      <c r="L21" s="506">
        <v>103</v>
      </c>
      <c r="M21" s="506">
        <v>1.57</v>
      </c>
      <c r="N21" s="505">
        <v>2.2799999999999998</v>
      </c>
      <c r="O21" s="506">
        <v>2</v>
      </c>
      <c r="P21" s="506">
        <v>0.27800000000000002</v>
      </c>
      <c r="Q21" s="505">
        <v>102</v>
      </c>
      <c r="R21" s="506">
        <v>101</v>
      </c>
      <c r="S21" s="506">
        <v>1.29</v>
      </c>
      <c r="T21" s="505">
        <v>23.2</v>
      </c>
      <c r="U21" s="506">
        <v>20.7</v>
      </c>
      <c r="V21" s="506">
        <v>2.5499999999999998</v>
      </c>
      <c r="W21" s="240" t="s">
        <v>2827</v>
      </c>
      <c r="X21" s="500" t="s">
        <v>2828</v>
      </c>
      <c r="Y21" s="45" t="s">
        <v>2829</v>
      </c>
      <c r="Z21" s="266"/>
      <c r="AA21" s="266"/>
    </row>
    <row r="22" spans="1:27" s="253" customFormat="1" ht="16.5" customHeight="1">
      <c r="A22" s="244" t="s">
        <v>2830</v>
      </c>
      <c r="B22" s="235" t="s">
        <v>2831</v>
      </c>
      <c r="C22" s="500" t="s">
        <v>2832</v>
      </c>
      <c r="D22" s="244" t="s">
        <v>2833</v>
      </c>
      <c r="E22" s="501" t="s">
        <v>2834</v>
      </c>
      <c r="F22" s="250" t="s">
        <v>2835</v>
      </c>
      <c r="G22" s="502" t="s">
        <v>2655</v>
      </c>
      <c r="H22" s="503">
        <v>947000</v>
      </c>
      <c r="I22" s="504">
        <v>840000</v>
      </c>
      <c r="J22" s="504">
        <v>107000</v>
      </c>
      <c r="K22" s="505">
        <v>1830</v>
      </c>
      <c r="L22" s="506">
        <v>1780</v>
      </c>
      <c r="M22" s="506">
        <v>48.9</v>
      </c>
      <c r="N22" s="505">
        <v>47.7</v>
      </c>
      <c r="O22" s="506">
        <v>43.6</v>
      </c>
      <c r="P22" s="506">
        <v>4.08</v>
      </c>
      <c r="Q22" s="505">
        <v>1780</v>
      </c>
      <c r="R22" s="506">
        <v>1740</v>
      </c>
      <c r="S22" s="506">
        <v>44.8</v>
      </c>
      <c r="T22" s="505">
        <v>661</v>
      </c>
      <c r="U22" s="506">
        <v>566</v>
      </c>
      <c r="V22" s="506">
        <v>95.7</v>
      </c>
      <c r="W22" s="250" t="s">
        <v>2836</v>
      </c>
      <c r="X22" s="500" t="s">
        <v>2837</v>
      </c>
      <c r="Y22" s="30" t="s">
        <v>2838</v>
      </c>
      <c r="Z22" s="507"/>
      <c r="AA22" s="507"/>
    </row>
    <row r="23" spans="1:27" s="208" customFormat="1" ht="16.5" customHeight="1">
      <c r="A23" s="127" t="s">
        <v>2839</v>
      </c>
      <c r="B23" s="235" t="s">
        <v>2840</v>
      </c>
      <c r="C23" s="500" t="s">
        <v>2841</v>
      </c>
      <c r="D23" s="127" t="s">
        <v>2842</v>
      </c>
      <c r="E23" s="128" t="s">
        <v>2843</v>
      </c>
      <c r="F23" s="240" t="s">
        <v>2835</v>
      </c>
      <c r="G23" s="129" t="s">
        <v>2655</v>
      </c>
      <c r="H23" s="503">
        <v>4690000</v>
      </c>
      <c r="I23" s="504">
        <v>4200000</v>
      </c>
      <c r="J23" s="504">
        <v>486000</v>
      </c>
      <c r="K23" s="505">
        <v>4950</v>
      </c>
      <c r="L23" s="506">
        <v>4910</v>
      </c>
      <c r="M23" s="506">
        <v>38</v>
      </c>
      <c r="N23" s="505">
        <v>488</v>
      </c>
      <c r="O23" s="506">
        <v>485</v>
      </c>
      <c r="P23" s="506">
        <v>3.04</v>
      </c>
      <c r="Q23" s="505">
        <v>4460</v>
      </c>
      <c r="R23" s="506">
        <v>4430</v>
      </c>
      <c r="S23" s="506">
        <v>34.9</v>
      </c>
      <c r="T23" s="505">
        <v>2400</v>
      </c>
      <c r="U23" s="506">
        <v>1930</v>
      </c>
      <c r="V23" s="506">
        <v>473</v>
      </c>
      <c r="W23" s="240" t="s">
        <v>2836</v>
      </c>
      <c r="X23" s="500" t="s">
        <v>2844</v>
      </c>
      <c r="Y23" s="45" t="s">
        <v>2845</v>
      </c>
      <c r="Z23" s="266"/>
      <c r="AA23" s="266"/>
    </row>
    <row r="24" spans="1:27" s="208" customFormat="1" ht="16.5" customHeight="1">
      <c r="A24" s="127" t="s">
        <v>2846</v>
      </c>
      <c r="B24" s="235" t="s">
        <v>2847</v>
      </c>
      <c r="C24" s="500" t="s">
        <v>2841</v>
      </c>
      <c r="D24" s="127" t="s">
        <v>2848</v>
      </c>
      <c r="E24" s="128" t="s">
        <v>2843</v>
      </c>
      <c r="F24" s="240" t="s">
        <v>2780</v>
      </c>
      <c r="G24" s="129" t="s">
        <v>294</v>
      </c>
      <c r="H24" s="503">
        <v>29700</v>
      </c>
      <c r="I24" s="504">
        <v>26600</v>
      </c>
      <c r="J24" s="504">
        <v>3080</v>
      </c>
      <c r="K24" s="505">
        <v>31.3</v>
      </c>
      <c r="L24" s="506">
        <v>31.1</v>
      </c>
      <c r="M24" s="506">
        <v>0.24</v>
      </c>
      <c r="N24" s="505">
        <v>3.09</v>
      </c>
      <c r="O24" s="506">
        <v>3.07</v>
      </c>
      <c r="P24" s="506">
        <v>1.9300000000000001E-2</v>
      </c>
      <c r="Q24" s="505">
        <v>28.2</v>
      </c>
      <c r="R24" s="506">
        <v>28</v>
      </c>
      <c r="S24" s="506">
        <v>0.221</v>
      </c>
      <c r="T24" s="505">
        <v>15.2</v>
      </c>
      <c r="U24" s="506">
        <v>12.2</v>
      </c>
      <c r="V24" s="506">
        <v>2.99</v>
      </c>
      <c r="W24" s="240" t="s">
        <v>2781</v>
      </c>
      <c r="X24" s="500" t="s">
        <v>2844</v>
      </c>
      <c r="Y24" s="45" t="s">
        <v>2845</v>
      </c>
      <c r="Z24" s="266"/>
      <c r="AA24" s="266"/>
    </row>
    <row r="25" spans="1:27" s="208" customFormat="1" ht="16.5" customHeight="1">
      <c r="A25" s="127" t="s">
        <v>2849</v>
      </c>
      <c r="B25" s="235" t="s">
        <v>2850</v>
      </c>
      <c r="C25" s="500" t="s">
        <v>2851</v>
      </c>
      <c r="D25" s="127" t="s">
        <v>2852</v>
      </c>
      <c r="E25" s="128" t="s">
        <v>2853</v>
      </c>
      <c r="F25" s="240" t="s">
        <v>2835</v>
      </c>
      <c r="G25" s="129" t="s">
        <v>2655</v>
      </c>
      <c r="H25" s="503">
        <v>7440000</v>
      </c>
      <c r="I25" s="504">
        <v>6590000</v>
      </c>
      <c r="J25" s="504">
        <v>845000</v>
      </c>
      <c r="K25" s="505">
        <v>8140</v>
      </c>
      <c r="L25" s="506">
        <v>8070</v>
      </c>
      <c r="M25" s="506">
        <v>62.2</v>
      </c>
      <c r="N25" s="505">
        <v>1010</v>
      </c>
      <c r="O25" s="506">
        <v>1000</v>
      </c>
      <c r="P25" s="506">
        <v>4.96</v>
      </c>
      <c r="Q25" s="505">
        <v>7130</v>
      </c>
      <c r="R25" s="506">
        <v>7070</v>
      </c>
      <c r="S25" s="506">
        <v>57.2</v>
      </c>
      <c r="T25" s="505">
        <v>4000</v>
      </c>
      <c r="U25" s="506">
        <v>3180</v>
      </c>
      <c r="V25" s="506">
        <v>824</v>
      </c>
      <c r="W25" s="240" t="s">
        <v>2836</v>
      </c>
      <c r="X25" s="500" t="s">
        <v>2854</v>
      </c>
      <c r="Y25" s="45" t="s">
        <v>2855</v>
      </c>
      <c r="Z25" s="266"/>
      <c r="AA25" s="266"/>
    </row>
    <row r="26" spans="1:27" s="208" customFormat="1" ht="16.5" customHeight="1">
      <c r="A26" s="127" t="s">
        <v>2856</v>
      </c>
      <c r="B26" s="235" t="s">
        <v>2857</v>
      </c>
      <c r="C26" s="500" t="s">
        <v>2851</v>
      </c>
      <c r="D26" s="127" t="s">
        <v>2858</v>
      </c>
      <c r="E26" s="128" t="s">
        <v>2853</v>
      </c>
      <c r="F26" s="240" t="s">
        <v>2780</v>
      </c>
      <c r="G26" s="129" t="s">
        <v>294</v>
      </c>
      <c r="H26" s="503">
        <v>29100</v>
      </c>
      <c r="I26" s="504">
        <v>25800</v>
      </c>
      <c r="J26" s="504">
        <v>3300</v>
      </c>
      <c r="K26" s="497">
        <v>31.8</v>
      </c>
      <c r="L26" s="498">
        <v>31.5</v>
      </c>
      <c r="M26" s="498">
        <v>0.24299999999999999</v>
      </c>
      <c r="N26" s="497">
        <v>3.94</v>
      </c>
      <c r="O26" s="498">
        <v>3.92</v>
      </c>
      <c r="P26" s="498">
        <v>1.9400000000000001E-2</v>
      </c>
      <c r="Q26" s="497">
        <v>27.8</v>
      </c>
      <c r="R26" s="498">
        <v>27.6</v>
      </c>
      <c r="S26" s="498">
        <v>0.224</v>
      </c>
      <c r="T26" s="497">
        <v>15.6</v>
      </c>
      <c r="U26" s="498">
        <v>12.4</v>
      </c>
      <c r="V26" s="498">
        <v>3.22</v>
      </c>
      <c r="W26" s="240" t="s">
        <v>2781</v>
      </c>
      <c r="X26" s="500" t="s">
        <v>2854</v>
      </c>
      <c r="Y26" s="45" t="s">
        <v>2855</v>
      </c>
      <c r="Z26" s="266"/>
      <c r="AA26" s="266"/>
    </row>
    <row r="27" spans="1:27" s="208" customFormat="1" ht="16.5" customHeight="1">
      <c r="A27" s="127" t="s">
        <v>2859</v>
      </c>
      <c r="B27" s="235" t="s">
        <v>2860</v>
      </c>
      <c r="C27" s="258" t="s">
        <v>2861</v>
      </c>
      <c r="D27" s="508" t="s">
        <v>1134</v>
      </c>
      <c r="E27" s="509" t="s">
        <v>2862</v>
      </c>
      <c r="F27" s="240" t="s">
        <v>2863</v>
      </c>
      <c r="G27" s="129" t="s">
        <v>1141</v>
      </c>
      <c r="H27" s="495">
        <v>687000</v>
      </c>
      <c r="I27" s="496">
        <v>687000</v>
      </c>
      <c r="J27" s="510" t="s">
        <v>1031</v>
      </c>
      <c r="K27" s="497">
        <v>1210</v>
      </c>
      <c r="L27" s="498">
        <v>1210</v>
      </c>
      <c r="M27" s="498" t="s">
        <v>1031</v>
      </c>
      <c r="N27" s="497">
        <v>146</v>
      </c>
      <c r="O27" s="498">
        <v>146</v>
      </c>
      <c r="P27" s="498" t="s">
        <v>1031</v>
      </c>
      <c r="Q27" s="497">
        <v>1070</v>
      </c>
      <c r="R27" s="498">
        <v>1070</v>
      </c>
      <c r="S27" s="498" t="s">
        <v>1031</v>
      </c>
      <c r="T27" s="497">
        <v>289</v>
      </c>
      <c r="U27" s="498">
        <v>289</v>
      </c>
      <c r="V27" s="498" t="s">
        <v>1031</v>
      </c>
      <c r="W27" s="240" t="s">
        <v>2864</v>
      </c>
      <c r="X27" s="258" t="s">
        <v>2865</v>
      </c>
      <c r="Y27" s="511" t="s">
        <v>2866</v>
      </c>
      <c r="Z27" s="266"/>
      <c r="AA27" s="266"/>
    </row>
    <row r="28" spans="1:27" s="208" customFormat="1" ht="16.5" customHeight="1">
      <c r="A28" s="127" t="s">
        <v>2867</v>
      </c>
      <c r="B28" s="235" t="s">
        <v>2868</v>
      </c>
      <c r="C28" s="258" t="s">
        <v>2869</v>
      </c>
      <c r="D28" s="508" t="s">
        <v>1134</v>
      </c>
      <c r="E28" s="509" t="s">
        <v>2862</v>
      </c>
      <c r="F28" s="240" t="s">
        <v>2863</v>
      </c>
      <c r="G28" s="129" t="s">
        <v>1141</v>
      </c>
      <c r="H28" s="495">
        <v>482000</v>
      </c>
      <c r="I28" s="496">
        <v>482000</v>
      </c>
      <c r="J28" s="510" t="s">
        <v>1031</v>
      </c>
      <c r="K28" s="497">
        <v>887</v>
      </c>
      <c r="L28" s="498">
        <v>887</v>
      </c>
      <c r="M28" s="498" t="s">
        <v>1031</v>
      </c>
      <c r="N28" s="497">
        <v>105</v>
      </c>
      <c r="O28" s="498">
        <v>105</v>
      </c>
      <c r="P28" s="498" t="s">
        <v>1031</v>
      </c>
      <c r="Q28" s="497">
        <v>782</v>
      </c>
      <c r="R28" s="498">
        <v>782</v>
      </c>
      <c r="S28" s="498" t="s">
        <v>1031</v>
      </c>
      <c r="T28" s="497">
        <v>204</v>
      </c>
      <c r="U28" s="498">
        <v>204</v>
      </c>
      <c r="V28" s="498" t="s">
        <v>1031</v>
      </c>
      <c r="W28" s="240" t="s">
        <v>2864</v>
      </c>
      <c r="X28" s="258" t="s">
        <v>2870</v>
      </c>
      <c r="Y28" s="511" t="s">
        <v>2866</v>
      </c>
      <c r="Z28" s="266"/>
      <c r="AA28" s="266"/>
    </row>
    <row r="29" spans="1:27" s="208" customFormat="1" ht="16.5" customHeight="1">
      <c r="A29" s="127" t="s">
        <v>1054</v>
      </c>
      <c r="B29" s="235" t="s">
        <v>2871</v>
      </c>
      <c r="C29" s="258" t="s">
        <v>1053</v>
      </c>
      <c r="D29" s="508" t="s">
        <v>1134</v>
      </c>
      <c r="E29" s="509" t="s">
        <v>2862</v>
      </c>
      <c r="F29" s="240" t="s">
        <v>2863</v>
      </c>
      <c r="G29" s="129" t="s">
        <v>1141</v>
      </c>
      <c r="H29" s="495">
        <v>411000</v>
      </c>
      <c r="I29" s="496">
        <v>411000</v>
      </c>
      <c r="J29" s="510" t="s">
        <v>1031</v>
      </c>
      <c r="K29" s="497">
        <v>748</v>
      </c>
      <c r="L29" s="498">
        <v>748</v>
      </c>
      <c r="M29" s="498" t="s">
        <v>1031</v>
      </c>
      <c r="N29" s="497">
        <v>81.400000000000006</v>
      </c>
      <c r="O29" s="498">
        <v>81.400000000000006</v>
      </c>
      <c r="P29" s="498" t="s">
        <v>1031</v>
      </c>
      <c r="Q29" s="497">
        <v>667</v>
      </c>
      <c r="R29" s="498">
        <v>667</v>
      </c>
      <c r="S29" s="498" t="s">
        <v>1031</v>
      </c>
      <c r="T29" s="497">
        <v>168</v>
      </c>
      <c r="U29" s="498">
        <v>168</v>
      </c>
      <c r="V29" s="498" t="s">
        <v>1031</v>
      </c>
      <c r="W29" s="240" t="s">
        <v>2864</v>
      </c>
      <c r="X29" s="258" t="s">
        <v>2872</v>
      </c>
      <c r="Y29" s="511" t="s">
        <v>2866</v>
      </c>
      <c r="Z29" s="266"/>
      <c r="AA29" s="266"/>
    </row>
    <row r="30" spans="1:27" s="208" customFormat="1" ht="16.5" customHeight="1">
      <c r="A30" s="127" t="s">
        <v>2873</v>
      </c>
      <c r="B30" s="235" t="s">
        <v>2874</v>
      </c>
      <c r="C30" s="258" t="s">
        <v>2875</v>
      </c>
      <c r="D30" s="508" t="s">
        <v>1134</v>
      </c>
      <c r="E30" s="509" t="s">
        <v>2862</v>
      </c>
      <c r="F30" s="240" t="s">
        <v>2863</v>
      </c>
      <c r="G30" s="129" t="s">
        <v>1141</v>
      </c>
      <c r="H30" s="495">
        <v>492000</v>
      </c>
      <c r="I30" s="496">
        <v>492000</v>
      </c>
      <c r="J30" s="510" t="s">
        <v>1031</v>
      </c>
      <c r="K30" s="497">
        <v>987</v>
      </c>
      <c r="L30" s="498">
        <v>987</v>
      </c>
      <c r="M30" s="498" t="s">
        <v>1031</v>
      </c>
      <c r="N30" s="497">
        <v>102</v>
      </c>
      <c r="O30" s="498">
        <v>102</v>
      </c>
      <c r="P30" s="498" t="s">
        <v>1031</v>
      </c>
      <c r="Q30" s="497">
        <v>884</v>
      </c>
      <c r="R30" s="498">
        <v>884</v>
      </c>
      <c r="S30" s="498" t="s">
        <v>1031</v>
      </c>
      <c r="T30" s="497">
        <v>230</v>
      </c>
      <c r="U30" s="498">
        <v>230</v>
      </c>
      <c r="V30" s="498" t="s">
        <v>1031</v>
      </c>
      <c r="W30" s="240" t="s">
        <v>2864</v>
      </c>
      <c r="X30" s="258" t="s">
        <v>2876</v>
      </c>
      <c r="Y30" s="511" t="s">
        <v>2866</v>
      </c>
      <c r="Z30" s="266"/>
      <c r="AA30" s="266"/>
    </row>
    <row r="31" spans="1:27" s="253" customFormat="1" ht="16.5" customHeight="1">
      <c r="A31" s="244" t="s">
        <v>2877</v>
      </c>
      <c r="B31" s="235" t="s">
        <v>2878</v>
      </c>
      <c r="C31" s="500" t="s">
        <v>2879</v>
      </c>
      <c r="D31" s="508" t="s">
        <v>1134</v>
      </c>
      <c r="E31" s="509" t="s">
        <v>2862</v>
      </c>
      <c r="F31" s="250" t="s">
        <v>2863</v>
      </c>
      <c r="G31" s="502" t="s">
        <v>1581</v>
      </c>
      <c r="H31" s="503">
        <v>715000</v>
      </c>
      <c r="I31" s="504">
        <v>715000</v>
      </c>
      <c r="J31" s="512" t="s">
        <v>1031</v>
      </c>
      <c r="K31" s="505">
        <v>1450</v>
      </c>
      <c r="L31" s="506">
        <v>1450</v>
      </c>
      <c r="M31" s="506" t="s">
        <v>1031</v>
      </c>
      <c r="N31" s="505">
        <v>152</v>
      </c>
      <c r="O31" s="506">
        <v>152</v>
      </c>
      <c r="P31" s="506" t="s">
        <v>1031</v>
      </c>
      <c r="Q31" s="505">
        <v>1300</v>
      </c>
      <c r="R31" s="506">
        <v>1300</v>
      </c>
      <c r="S31" s="506" t="s">
        <v>1031</v>
      </c>
      <c r="T31" s="505">
        <v>343</v>
      </c>
      <c r="U31" s="506">
        <v>343</v>
      </c>
      <c r="V31" s="506" t="s">
        <v>1031</v>
      </c>
      <c r="W31" s="250" t="s">
        <v>2864</v>
      </c>
      <c r="X31" s="500" t="s">
        <v>2880</v>
      </c>
      <c r="Y31" s="511" t="s">
        <v>2866</v>
      </c>
      <c r="Z31" s="507"/>
      <c r="AA31" s="507"/>
    </row>
    <row r="32" spans="1:27" s="253" customFormat="1" ht="16.5" customHeight="1">
      <c r="A32" s="244" t="s">
        <v>2881</v>
      </c>
      <c r="B32" s="235" t="s">
        <v>2882</v>
      </c>
      <c r="C32" s="500" t="s">
        <v>2883</v>
      </c>
      <c r="D32" s="508" t="s">
        <v>1134</v>
      </c>
      <c r="E32" s="509" t="s">
        <v>2862</v>
      </c>
      <c r="F32" s="250" t="s">
        <v>2863</v>
      </c>
      <c r="G32" s="502" t="s">
        <v>1581</v>
      </c>
      <c r="H32" s="503">
        <v>769000</v>
      </c>
      <c r="I32" s="504">
        <v>769000</v>
      </c>
      <c r="J32" s="512" t="s">
        <v>1031</v>
      </c>
      <c r="K32" s="505">
        <v>1540</v>
      </c>
      <c r="L32" s="506">
        <v>1540</v>
      </c>
      <c r="M32" s="506" t="s">
        <v>1031</v>
      </c>
      <c r="N32" s="505">
        <v>167</v>
      </c>
      <c r="O32" s="506">
        <v>167</v>
      </c>
      <c r="P32" s="506" t="s">
        <v>1031</v>
      </c>
      <c r="Q32" s="505">
        <v>1380</v>
      </c>
      <c r="R32" s="506">
        <v>1380</v>
      </c>
      <c r="S32" s="506" t="s">
        <v>1031</v>
      </c>
      <c r="T32" s="505">
        <v>369</v>
      </c>
      <c r="U32" s="506">
        <v>369</v>
      </c>
      <c r="V32" s="506" t="s">
        <v>1031</v>
      </c>
      <c r="W32" s="250" t="s">
        <v>2864</v>
      </c>
      <c r="X32" s="500" t="s">
        <v>2884</v>
      </c>
      <c r="Y32" s="511" t="s">
        <v>2866</v>
      </c>
      <c r="Z32" s="507"/>
      <c r="AA32" s="507"/>
    </row>
    <row r="33" spans="1:27" s="208" customFormat="1" ht="16.5" customHeight="1">
      <c r="A33" s="124" t="s">
        <v>2885</v>
      </c>
      <c r="B33" s="860"/>
      <c r="C33" s="513" t="s">
        <v>2886</v>
      </c>
      <c r="D33" s="125"/>
      <c r="E33" s="513"/>
      <c r="F33" s="247"/>
      <c r="G33" s="247"/>
      <c r="H33" s="514"/>
      <c r="I33" s="514"/>
      <c r="J33" s="514"/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  <c r="W33" s="514"/>
      <c r="X33" s="513" t="s">
        <v>278</v>
      </c>
      <c r="Y33" s="513"/>
      <c r="Z33" s="266"/>
      <c r="AA33" s="266"/>
    </row>
    <row r="34" spans="1:27" s="208" customFormat="1" ht="16.5" customHeight="1">
      <c r="A34" s="127" t="s">
        <v>1059</v>
      </c>
      <c r="B34" s="235" t="s">
        <v>2887</v>
      </c>
      <c r="C34" s="258" t="s">
        <v>2888</v>
      </c>
      <c r="D34" s="127" t="s">
        <v>2889</v>
      </c>
      <c r="E34" s="128" t="s">
        <v>2890</v>
      </c>
      <c r="F34" s="240" t="s">
        <v>2760</v>
      </c>
      <c r="G34" s="129" t="s">
        <v>1141</v>
      </c>
      <c r="H34" s="495">
        <v>34200</v>
      </c>
      <c r="I34" s="496">
        <v>33600</v>
      </c>
      <c r="J34" s="496">
        <v>591</v>
      </c>
      <c r="K34" s="497">
        <v>54.9</v>
      </c>
      <c r="L34" s="498">
        <v>54.8</v>
      </c>
      <c r="M34" s="498">
        <v>0.153</v>
      </c>
      <c r="N34" s="497">
        <v>4.43</v>
      </c>
      <c r="O34" s="498">
        <v>4.42</v>
      </c>
      <c r="P34" s="498">
        <v>9.5300000000000003E-3</v>
      </c>
      <c r="Q34" s="497">
        <v>50.5</v>
      </c>
      <c r="R34" s="498">
        <v>50.3</v>
      </c>
      <c r="S34" s="498">
        <v>0.14399999999999999</v>
      </c>
      <c r="T34" s="497">
        <v>15</v>
      </c>
      <c r="U34" s="498">
        <v>14.6</v>
      </c>
      <c r="V34" s="498">
        <v>0.33800000000000002</v>
      </c>
      <c r="W34" s="240" t="s">
        <v>275</v>
      </c>
      <c r="X34" s="258" t="s">
        <v>2891</v>
      </c>
      <c r="Y34" s="45" t="s">
        <v>2892</v>
      </c>
      <c r="Z34" s="266"/>
      <c r="AA34" s="266"/>
    </row>
    <row r="35" spans="1:27" s="208" customFormat="1" ht="16.5" customHeight="1">
      <c r="A35" s="127" t="s">
        <v>1062</v>
      </c>
      <c r="B35" s="235" t="s">
        <v>2893</v>
      </c>
      <c r="C35" s="258" t="s">
        <v>2894</v>
      </c>
      <c r="D35" s="127" t="s">
        <v>2895</v>
      </c>
      <c r="E35" s="128" t="s">
        <v>2896</v>
      </c>
      <c r="F35" s="240" t="s">
        <v>2760</v>
      </c>
      <c r="G35" s="129" t="s">
        <v>1141</v>
      </c>
      <c r="H35" s="495">
        <v>46100</v>
      </c>
      <c r="I35" s="496">
        <v>45200</v>
      </c>
      <c r="J35" s="496">
        <v>828</v>
      </c>
      <c r="K35" s="497">
        <v>74.099999999999994</v>
      </c>
      <c r="L35" s="498">
        <v>73.900000000000006</v>
      </c>
      <c r="M35" s="498">
        <v>0.21099999999999999</v>
      </c>
      <c r="N35" s="497">
        <v>5.95</v>
      </c>
      <c r="O35" s="498">
        <v>5.94</v>
      </c>
      <c r="P35" s="498">
        <v>1.2999999999999999E-2</v>
      </c>
      <c r="Q35" s="497">
        <v>68.2</v>
      </c>
      <c r="R35" s="498">
        <v>68</v>
      </c>
      <c r="S35" s="498">
        <v>0.19800000000000001</v>
      </c>
      <c r="T35" s="497">
        <v>20.2</v>
      </c>
      <c r="U35" s="498">
        <v>19.7</v>
      </c>
      <c r="V35" s="498">
        <v>0.47499999999999998</v>
      </c>
      <c r="W35" s="240" t="s">
        <v>275</v>
      </c>
      <c r="X35" s="258" t="s">
        <v>2897</v>
      </c>
      <c r="Y35" s="45" t="s">
        <v>2898</v>
      </c>
      <c r="Z35" s="266"/>
      <c r="AA35" s="266"/>
    </row>
    <row r="36" spans="1:27" s="208" customFormat="1" ht="16.5" customHeight="1">
      <c r="A36" s="127" t="s">
        <v>1065</v>
      </c>
      <c r="B36" s="235" t="s">
        <v>2899</v>
      </c>
      <c r="C36" s="258" t="s">
        <v>2900</v>
      </c>
      <c r="D36" s="127" t="s">
        <v>2901</v>
      </c>
      <c r="E36" s="128" t="s">
        <v>2902</v>
      </c>
      <c r="F36" s="240" t="s">
        <v>2760</v>
      </c>
      <c r="G36" s="129" t="s">
        <v>1141</v>
      </c>
      <c r="H36" s="495">
        <v>69800</v>
      </c>
      <c r="I36" s="496">
        <v>68500</v>
      </c>
      <c r="J36" s="496">
        <v>1300</v>
      </c>
      <c r="K36" s="497">
        <v>113</v>
      </c>
      <c r="L36" s="498">
        <v>112</v>
      </c>
      <c r="M36" s="498">
        <v>0.32600000000000001</v>
      </c>
      <c r="N36" s="497">
        <v>9</v>
      </c>
      <c r="O36" s="498">
        <v>8.98</v>
      </c>
      <c r="P36" s="498">
        <v>1.9800000000000002E-2</v>
      </c>
      <c r="Q36" s="497">
        <v>104</v>
      </c>
      <c r="R36" s="498">
        <v>103</v>
      </c>
      <c r="S36" s="498">
        <v>0.30599999999999999</v>
      </c>
      <c r="T36" s="497">
        <v>30.6</v>
      </c>
      <c r="U36" s="498">
        <v>29.8</v>
      </c>
      <c r="V36" s="498">
        <v>0.748</v>
      </c>
      <c r="W36" s="240" t="s">
        <v>275</v>
      </c>
      <c r="X36" s="258" t="s">
        <v>2903</v>
      </c>
      <c r="Y36" s="45" t="s">
        <v>2904</v>
      </c>
      <c r="Z36" s="266"/>
      <c r="AA36" s="266"/>
    </row>
    <row r="37" spans="1:27" s="208" customFormat="1" ht="16.5" customHeight="1">
      <c r="A37" s="127" t="s">
        <v>2905</v>
      </c>
      <c r="B37" s="235" t="s">
        <v>2906</v>
      </c>
      <c r="C37" s="258" t="s">
        <v>2907</v>
      </c>
      <c r="D37" s="127" t="s">
        <v>2908</v>
      </c>
      <c r="E37" s="128" t="s">
        <v>2909</v>
      </c>
      <c r="F37" s="240" t="s">
        <v>2760</v>
      </c>
      <c r="G37" s="129" t="s">
        <v>1141</v>
      </c>
      <c r="H37" s="495">
        <v>93600</v>
      </c>
      <c r="I37" s="496">
        <v>91900</v>
      </c>
      <c r="J37" s="496">
        <v>1770</v>
      </c>
      <c r="K37" s="497">
        <v>151</v>
      </c>
      <c r="L37" s="498">
        <v>151</v>
      </c>
      <c r="M37" s="498">
        <v>0.441</v>
      </c>
      <c r="N37" s="497">
        <v>12</v>
      </c>
      <c r="O37" s="498">
        <v>12</v>
      </c>
      <c r="P37" s="498">
        <v>2.6700000000000002E-2</v>
      </c>
      <c r="Q37" s="497">
        <v>139</v>
      </c>
      <c r="R37" s="498">
        <v>139</v>
      </c>
      <c r="S37" s="498">
        <v>0.41399999999999998</v>
      </c>
      <c r="T37" s="497">
        <v>41</v>
      </c>
      <c r="U37" s="498">
        <v>39.9</v>
      </c>
      <c r="V37" s="498">
        <v>1.02</v>
      </c>
      <c r="W37" s="240" t="s">
        <v>275</v>
      </c>
      <c r="X37" s="258" t="s">
        <v>2910</v>
      </c>
      <c r="Y37" s="45" t="s">
        <v>2911</v>
      </c>
      <c r="Z37" s="266"/>
      <c r="AA37" s="266"/>
    </row>
    <row r="38" spans="1:27" s="208" customFormat="1" ht="16.5" customHeight="1">
      <c r="A38" s="127" t="s">
        <v>2912</v>
      </c>
      <c r="B38" s="235" t="s">
        <v>2913</v>
      </c>
      <c r="C38" s="258" t="s">
        <v>2914</v>
      </c>
      <c r="D38" s="127" t="s">
        <v>2915</v>
      </c>
      <c r="E38" s="128" t="s">
        <v>2916</v>
      </c>
      <c r="F38" s="240" t="s">
        <v>2760</v>
      </c>
      <c r="G38" s="129" t="s">
        <v>1141</v>
      </c>
      <c r="H38" s="495">
        <v>117000</v>
      </c>
      <c r="I38" s="496">
        <v>115000</v>
      </c>
      <c r="J38" s="496">
        <v>2250</v>
      </c>
      <c r="K38" s="497">
        <v>190</v>
      </c>
      <c r="L38" s="498">
        <v>189</v>
      </c>
      <c r="M38" s="498">
        <v>0.55600000000000005</v>
      </c>
      <c r="N38" s="497">
        <v>15.1</v>
      </c>
      <c r="O38" s="498">
        <v>15.1</v>
      </c>
      <c r="P38" s="498">
        <v>3.3500000000000002E-2</v>
      </c>
      <c r="Q38" s="497">
        <v>174</v>
      </c>
      <c r="R38" s="498">
        <v>174</v>
      </c>
      <c r="S38" s="498">
        <v>0.52200000000000002</v>
      </c>
      <c r="T38" s="497">
        <v>51.4</v>
      </c>
      <c r="U38" s="498">
        <v>50.1</v>
      </c>
      <c r="V38" s="498">
        <v>1.29</v>
      </c>
      <c r="W38" s="240" t="s">
        <v>275</v>
      </c>
      <c r="X38" s="258" t="s">
        <v>2917</v>
      </c>
      <c r="Y38" s="45" t="s">
        <v>2918</v>
      </c>
      <c r="Z38" s="266"/>
      <c r="AA38" s="266"/>
    </row>
    <row r="39" spans="1:27" s="208" customFormat="1" ht="16.5" customHeight="1">
      <c r="A39" s="127" t="s">
        <v>2919</v>
      </c>
      <c r="B39" s="235" t="s">
        <v>2920</v>
      </c>
      <c r="C39" s="258" t="s">
        <v>2921</v>
      </c>
      <c r="D39" s="127" t="s">
        <v>2922</v>
      </c>
      <c r="E39" s="128" t="s">
        <v>2923</v>
      </c>
      <c r="F39" s="240" t="s">
        <v>2760</v>
      </c>
      <c r="G39" s="129" t="s">
        <v>1141</v>
      </c>
      <c r="H39" s="495">
        <v>41400</v>
      </c>
      <c r="I39" s="496">
        <v>41000</v>
      </c>
      <c r="J39" s="496">
        <v>361</v>
      </c>
      <c r="K39" s="497">
        <v>53.9</v>
      </c>
      <c r="L39" s="498">
        <v>53.8</v>
      </c>
      <c r="M39" s="498">
        <v>7.2800000000000004E-2</v>
      </c>
      <c r="N39" s="497">
        <v>4.18</v>
      </c>
      <c r="O39" s="498">
        <v>4.18</v>
      </c>
      <c r="P39" s="498">
        <v>5.3800000000000002E-3</v>
      </c>
      <c r="Q39" s="497">
        <v>49.7</v>
      </c>
      <c r="R39" s="498">
        <v>49.6</v>
      </c>
      <c r="S39" s="498">
        <v>6.7400000000000002E-2</v>
      </c>
      <c r="T39" s="497">
        <v>14.1</v>
      </c>
      <c r="U39" s="498">
        <v>13.8</v>
      </c>
      <c r="V39" s="498">
        <v>0.29799999999999999</v>
      </c>
      <c r="W39" s="240" t="s">
        <v>275</v>
      </c>
      <c r="X39" s="258" t="s">
        <v>2924</v>
      </c>
      <c r="Y39" s="45" t="s">
        <v>2925</v>
      </c>
      <c r="Z39" s="266"/>
      <c r="AA39" s="266"/>
    </row>
    <row r="40" spans="1:27" s="208" customFormat="1" ht="16.5" customHeight="1">
      <c r="A40" s="127" t="s">
        <v>2926</v>
      </c>
      <c r="B40" s="235" t="s">
        <v>2927</v>
      </c>
      <c r="C40" s="258" t="s">
        <v>2928</v>
      </c>
      <c r="D40" s="127" t="s">
        <v>2929</v>
      </c>
      <c r="E40" s="128" t="s">
        <v>2930</v>
      </c>
      <c r="F40" s="240" t="s">
        <v>2760</v>
      </c>
      <c r="G40" s="129" t="s">
        <v>1141</v>
      </c>
      <c r="H40" s="495">
        <v>21300</v>
      </c>
      <c r="I40" s="496">
        <v>20600</v>
      </c>
      <c r="J40" s="496">
        <v>781</v>
      </c>
      <c r="K40" s="497">
        <v>33.200000000000003</v>
      </c>
      <c r="L40" s="498">
        <v>33.1</v>
      </c>
      <c r="M40" s="498">
        <v>6.5299999999999997E-2</v>
      </c>
      <c r="N40" s="497">
        <v>2.4700000000000002</v>
      </c>
      <c r="O40" s="498">
        <v>2.4700000000000002</v>
      </c>
      <c r="P40" s="498">
        <v>3.3600000000000001E-3</v>
      </c>
      <c r="Q40" s="497">
        <v>30.7</v>
      </c>
      <c r="R40" s="498">
        <v>30.6</v>
      </c>
      <c r="S40" s="498">
        <v>6.1899999999999997E-2</v>
      </c>
      <c r="T40" s="497">
        <v>8.25</v>
      </c>
      <c r="U40" s="498">
        <v>7.53</v>
      </c>
      <c r="V40" s="498">
        <v>0.72299999999999998</v>
      </c>
      <c r="W40" s="240" t="s">
        <v>275</v>
      </c>
      <c r="X40" s="258" t="s">
        <v>2931</v>
      </c>
      <c r="Y40" s="45" t="s">
        <v>2932</v>
      </c>
      <c r="Z40" s="266"/>
      <c r="AA40" s="266"/>
    </row>
    <row r="41" spans="1:27" s="208" customFormat="1" ht="16.5" customHeight="1">
      <c r="A41" s="127" t="s">
        <v>1056</v>
      </c>
      <c r="B41" s="235" t="s">
        <v>2933</v>
      </c>
      <c r="C41" s="258" t="s">
        <v>1055</v>
      </c>
      <c r="D41" s="127" t="s">
        <v>2934</v>
      </c>
      <c r="E41" s="128" t="s">
        <v>2935</v>
      </c>
      <c r="F41" s="240" t="s">
        <v>2760</v>
      </c>
      <c r="G41" s="129" t="s">
        <v>1141</v>
      </c>
      <c r="H41" s="495">
        <v>11500</v>
      </c>
      <c r="I41" s="496">
        <v>11300</v>
      </c>
      <c r="J41" s="496">
        <v>175</v>
      </c>
      <c r="K41" s="497">
        <v>14.9</v>
      </c>
      <c r="L41" s="498">
        <v>14.9</v>
      </c>
      <c r="M41" s="498">
        <v>8.2000000000000007E-3</v>
      </c>
      <c r="N41" s="497">
        <v>1.1499999999999999</v>
      </c>
      <c r="O41" s="498">
        <v>1.1499999999999999</v>
      </c>
      <c r="P41" s="498">
        <v>2.5900000000000001E-4</v>
      </c>
      <c r="Q41" s="497">
        <v>13.8</v>
      </c>
      <c r="R41" s="498">
        <v>13.7</v>
      </c>
      <c r="S41" s="498">
        <v>7.9299999999999995E-3</v>
      </c>
      <c r="T41" s="497">
        <v>3.64</v>
      </c>
      <c r="U41" s="498">
        <v>3.52</v>
      </c>
      <c r="V41" s="498">
        <v>0.125</v>
      </c>
      <c r="W41" s="240" t="s">
        <v>275</v>
      </c>
      <c r="X41" s="258" t="s">
        <v>2936</v>
      </c>
      <c r="Y41" s="45" t="s">
        <v>2937</v>
      </c>
      <c r="Z41" s="266"/>
      <c r="AA41" s="266"/>
    </row>
    <row r="42" spans="1:27" s="208" customFormat="1" ht="16.5" customHeight="1">
      <c r="A42" s="127" t="s">
        <v>2938</v>
      </c>
      <c r="B42" s="235" t="s">
        <v>2939</v>
      </c>
      <c r="C42" s="258" t="s">
        <v>2940</v>
      </c>
      <c r="D42" s="127" t="s">
        <v>2941</v>
      </c>
      <c r="E42" s="128" t="s">
        <v>2942</v>
      </c>
      <c r="F42" s="240" t="s">
        <v>2760</v>
      </c>
      <c r="G42" s="129" t="s">
        <v>1141</v>
      </c>
      <c r="H42" s="495">
        <v>6870</v>
      </c>
      <c r="I42" s="496">
        <v>4590</v>
      </c>
      <c r="J42" s="496">
        <v>2280</v>
      </c>
      <c r="K42" s="497">
        <v>15.9</v>
      </c>
      <c r="L42" s="498">
        <v>14.8</v>
      </c>
      <c r="M42" s="498">
        <v>1.1299999999999999</v>
      </c>
      <c r="N42" s="497">
        <v>0.59799999999999998</v>
      </c>
      <c r="O42" s="498">
        <v>0.52700000000000002</v>
      </c>
      <c r="P42" s="498">
        <v>7.0900000000000005E-2</v>
      </c>
      <c r="Q42" s="497">
        <v>15.3</v>
      </c>
      <c r="R42" s="498">
        <v>14.2</v>
      </c>
      <c r="S42" s="498">
        <v>1.06</v>
      </c>
      <c r="T42" s="497">
        <v>4.43</v>
      </c>
      <c r="U42" s="498">
        <v>2.81</v>
      </c>
      <c r="V42" s="498">
        <v>1.62</v>
      </c>
      <c r="W42" s="240" t="s">
        <v>275</v>
      </c>
      <c r="X42" s="258" t="s">
        <v>2943</v>
      </c>
      <c r="Y42" s="45" t="s">
        <v>2944</v>
      </c>
      <c r="Z42" s="266"/>
      <c r="AA42" s="266"/>
    </row>
    <row r="43" spans="1:27" s="208" customFormat="1" ht="16.5" customHeight="1">
      <c r="A43" s="127" t="s">
        <v>2945</v>
      </c>
      <c r="B43" s="235" t="s">
        <v>2946</v>
      </c>
      <c r="C43" s="258" t="s">
        <v>2947</v>
      </c>
      <c r="D43" s="127" t="s">
        <v>2948</v>
      </c>
      <c r="E43" s="128" t="s">
        <v>2949</v>
      </c>
      <c r="F43" s="240" t="s">
        <v>2760</v>
      </c>
      <c r="G43" s="129" t="s">
        <v>1141</v>
      </c>
      <c r="H43" s="495">
        <v>11900</v>
      </c>
      <c r="I43" s="496">
        <v>7950</v>
      </c>
      <c r="J43" s="496">
        <v>3950</v>
      </c>
      <c r="K43" s="497">
        <v>27.5</v>
      </c>
      <c r="L43" s="498">
        <v>25.6</v>
      </c>
      <c r="M43" s="498">
        <v>1.96</v>
      </c>
      <c r="N43" s="497">
        <v>1.04</v>
      </c>
      <c r="O43" s="498">
        <v>0.91400000000000003</v>
      </c>
      <c r="P43" s="498">
        <v>0.123</v>
      </c>
      <c r="Q43" s="497">
        <v>26.5</v>
      </c>
      <c r="R43" s="498">
        <v>24.7</v>
      </c>
      <c r="S43" s="498">
        <v>1.84</v>
      </c>
      <c r="T43" s="497">
        <v>7.67</v>
      </c>
      <c r="U43" s="498">
        <v>4.87</v>
      </c>
      <c r="V43" s="498">
        <v>2.81</v>
      </c>
      <c r="W43" s="240" t="s">
        <v>275</v>
      </c>
      <c r="X43" s="258" t="s">
        <v>2950</v>
      </c>
      <c r="Y43" s="45" t="s">
        <v>2951</v>
      </c>
      <c r="Z43" s="266"/>
      <c r="AA43" s="266"/>
    </row>
    <row r="44" spans="1:27" s="208" customFormat="1" ht="16.5" customHeight="1">
      <c r="A44" s="127" t="s">
        <v>2952</v>
      </c>
      <c r="B44" s="235" t="s">
        <v>2953</v>
      </c>
      <c r="C44" s="258" t="s">
        <v>2954</v>
      </c>
      <c r="D44" s="127" t="s">
        <v>2955</v>
      </c>
      <c r="E44" s="128" t="s">
        <v>2956</v>
      </c>
      <c r="F44" s="240" t="s">
        <v>2760</v>
      </c>
      <c r="G44" s="129" t="s">
        <v>1141</v>
      </c>
      <c r="H44" s="495">
        <v>29800</v>
      </c>
      <c r="I44" s="496">
        <v>19900</v>
      </c>
      <c r="J44" s="496">
        <v>9880</v>
      </c>
      <c r="K44" s="497">
        <v>68.8</v>
      </c>
      <c r="L44" s="498">
        <v>63.9</v>
      </c>
      <c r="M44" s="498">
        <v>4.9000000000000004</v>
      </c>
      <c r="N44" s="497">
        <v>2.59</v>
      </c>
      <c r="O44" s="498">
        <v>2.29</v>
      </c>
      <c r="P44" s="498">
        <v>0.307</v>
      </c>
      <c r="Q44" s="497">
        <v>66.2</v>
      </c>
      <c r="R44" s="498">
        <v>61.6</v>
      </c>
      <c r="S44" s="498">
        <v>4.59</v>
      </c>
      <c r="T44" s="497">
        <v>19.2</v>
      </c>
      <c r="U44" s="498">
        <v>12.2</v>
      </c>
      <c r="V44" s="498">
        <v>7.02</v>
      </c>
      <c r="W44" s="240" t="s">
        <v>275</v>
      </c>
      <c r="X44" s="258" t="s">
        <v>2957</v>
      </c>
      <c r="Y44" s="45" t="s">
        <v>2958</v>
      </c>
      <c r="Z44" s="266"/>
      <c r="AA44" s="266"/>
    </row>
    <row r="45" spans="1:27" s="208" customFormat="1" ht="16.5" customHeight="1">
      <c r="A45" s="127" t="s">
        <v>2959</v>
      </c>
      <c r="B45" s="235" t="s">
        <v>2960</v>
      </c>
      <c r="C45" s="258" t="s">
        <v>2961</v>
      </c>
      <c r="D45" s="127" t="s">
        <v>2962</v>
      </c>
      <c r="E45" s="128" t="s">
        <v>2963</v>
      </c>
      <c r="F45" s="240" t="s">
        <v>2835</v>
      </c>
      <c r="G45" s="129" t="s">
        <v>2655</v>
      </c>
      <c r="H45" s="495">
        <v>84200</v>
      </c>
      <c r="I45" s="496">
        <v>78000</v>
      </c>
      <c r="J45" s="496">
        <v>6130</v>
      </c>
      <c r="K45" s="497">
        <v>320</v>
      </c>
      <c r="L45" s="498">
        <v>319</v>
      </c>
      <c r="M45" s="498">
        <v>1.41</v>
      </c>
      <c r="N45" s="497">
        <v>106</v>
      </c>
      <c r="O45" s="498">
        <v>106</v>
      </c>
      <c r="P45" s="498">
        <v>7.6200000000000004E-2</v>
      </c>
      <c r="Q45" s="497">
        <v>214</v>
      </c>
      <c r="R45" s="498">
        <v>213</v>
      </c>
      <c r="S45" s="498">
        <v>1.33</v>
      </c>
      <c r="T45" s="497">
        <v>43.7</v>
      </c>
      <c r="U45" s="498">
        <v>38.200000000000003</v>
      </c>
      <c r="V45" s="498">
        <v>5.48</v>
      </c>
      <c r="W45" s="240" t="s">
        <v>2836</v>
      </c>
      <c r="X45" s="258" t="s">
        <v>2964</v>
      </c>
      <c r="Y45" s="45" t="s">
        <v>2965</v>
      </c>
      <c r="Z45" s="266"/>
      <c r="AA45" s="266"/>
    </row>
    <row r="46" spans="1:27" s="208" customFormat="1" ht="16.5" customHeight="1">
      <c r="A46" s="124" t="s">
        <v>2966</v>
      </c>
      <c r="B46" s="860"/>
      <c r="C46" s="513" t="s">
        <v>2967</v>
      </c>
      <c r="D46" s="125"/>
      <c r="E46" s="513"/>
      <c r="F46" s="247"/>
      <c r="G46" s="247"/>
      <c r="H46" s="515"/>
      <c r="I46" s="515"/>
      <c r="J46" s="515"/>
      <c r="K46" s="515"/>
      <c r="L46" s="515"/>
      <c r="M46" s="515"/>
      <c r="N46" s="515"/>
      <c r="O46" s="515"/>
      <c r="P46" s="515"/>
      <c r="Q46" s="515"/>
      <c r="R46" s="515"/>
      <c r="S46" s="515"/>
      <c r="T46" s="515"/>
      <c r="U46" s="515"/>
      <c r="V46" s="515"/>
      <c r="W46" s="247"/>
      <c r="X46" s="513" t="s">
        <v>2968</v>
      </c>
      <c r="Y46" s="513"/>
      <c r="Z46" s="266"/>
      <c r="AA46" s="266"/>
    </row>
    <row r="47" spans="1:27" s="208" customFormat="1" ht="16.5" customHeight="1">
      <c r="A47" s="127" t="s">
        <v>1072</v>
      </c>
      <c r="B47" s="235" t="s">
        <v>2969</v>
      </c>
      <c r="C47" s="258" t="s">
        <v>1071</v>
      </c>
      <c r="D47" s="128" t="s">
        <v>2970</v>
      </c>
      <c r="E47" s="128" t="s">
        <v>2971</v>
      </c>
      <c r="F47" s="240" t="s">
        <v>2760</v>
      </c>
      <c r="G47" s="129" t="s">
        <v>1141</v>
      </c>
      <c r="H47" s="495">
        <v>8490</v>
      </c>
      <c r="I47" s="496">
        <v>7280</v>
      </c>
      <c r="J47" s="496">
        <v>1200</v>
      </c>
      <c r="K47" s="497">
        <v>20.3</v>
      </c>
      <c r="L47" s="498">
        <v>20.100000000000001</v>
      </c>
      <c r="M47" s="498">
        <v>0.121</v>
      </c>
      <c r="N47" s="497">
        <v>1.19</v>
      </c>
      <c r="O47" s="498">
        <v>1.18</v>
      </c>
      <c r="P47" s="498">
        <v>6.4999999999999997E-3</v>
      </c>
      <c r="Q47" s="497">
        <v>19.100000000000001</v>
      </c>
      <c r="R47" s="498">
        <v>18.899999999999999</v>
      </c>
      <c r="S47" s="498">
        <v>0.115</v>
      </c>
      <c r="T47" s="497">
        <v>4.7300000000000004</v>
      </c>
      <c r="U47" s="498">
        <v>3.58</v>
      </c>
      <c r="V47" s="498">
        <v>1.1499999999999999</v>
      </c>
      <c r="W47" s="47" t="s">
        <v>275</v>
      </c>
      <c r="X47" s="110" t="s">
        <v>2972</v>
      </c>
      <c r="Y47" s="45" t="s">
        <v>2973</v>
      </c>
      <c r="Z47" s="266"/>
      <c r="AA47" s="266"/>
    </row>
    <row r="48" spans="1:27" s="208" customFormat="1" ht="16.5" customHeight="1">
      <c r="A48" s="127" t="s">
        <v>1075</v>
      </c>
      <c r="B48" s="235" t="s">
        <v>2974</v>
      </c>
      <c r="C48" s="258" t="s">
        <v>1074</v>
      </c>
      <c r="D48" s="128" t="s">
        <v>2975</v>
      </c>
      <c r="E48" s="128" t="s">
        <v>2976</v>
      </c>
      <c r="F48" s="240" t="s">
        <v>2760</v>
      </c>
      <c r="G48" s="129" t="s">
        <v>1141</v>
      </c>
      <c r="H48" s="495">
        <v>21000</v>
      </c>
      <c r="I48" s="496">
        <v>17000</v>
      </c>
      <c r="J48" s="496">
        <v>3950</v>
      </c>
      <c r="K48" s="497">
        <v>48.9</v>
      </c>
      <c r="L48" s="498">
        <v>48.4</v>
      </c>
      <c r="M48" s="498">
        <v>0.44700000000000001</v>
      </c>
      <c r="N48" s="497">
        <v>3.32</v>
      </c>
      <c r="O48" s="498">
        <v>3.3</v>
      </c>
      <c r="P48" s="498">
        <v>2.0199999999999999E-2</v>
      </c>
      <c r="Q48" s="497">
        <v>45.6</v>
      </c>
      <c r="R48" s="498">
        <v>45.1</v>
      </c>
      <c r="S48" s="498">
        <v>0.42699999999999999</v>
      </c>
      <c r="T48" s="497">
        <v>12.3</v>
      </c>
      <c r="U48" s="498">
        <v>8.52</v>
      </c>
      <c r="V48" s="498">
        <v>3.76</v>
      </c>
      <c r="W48" s="47" t="s">
        <v>275</v>
      </c>
      <c r="X48" s="110" t="s">
        <v>2977</v>
      </c>
      <c r="Y48" s="45" t="s">
        <v>2978</v>
      </c>
      <c r="Z48" s="266"/>
      <c r="AA48" s="266"/>
    </row>
    <row r="49" spans="1:27" s="208" customFormat="1" ht="16.5" customHeight="1">
      <c r="A49" s="127" t="s">
        <v>1069</v>
      </c>
      <c r="B49" s="235" t="s">
        <v>2979</v>
      </c>
      <c r="C49" s="258" t="s">
        <v>1068</v>
      </c>
      <c r="D49" s="128" t="s">
        <v>2980</v>
      </c>
      <c r="E49" s="128" t="s">
        <v>2981</v>
      </c>
      <c r="F49" s="240" t="s">
        <v>2760</v>
      </c>
      <c r="G49" s="129" t="s">
        <v>1141</v>
      </c>
      <c r="H49" s="495">
        <v>26300</v>
      </c>
      <c r="I49" s="496">
        <v>24700</v>
      </c>
      <c r="J49" s="496">
        <v>1670</v>
      </c>
      <c r="K49" s="497">
        <v>50</v>
      </c>
      <c r="L49" s="498">
        <v>49.7</v>
      </c>
      <c r="M49" s="498">
        <v>0.30599999999999999</v>
      </c>
      <c r="N49" s="497">
        <v>3.9</v>
      </c>
      <c r="O49" s="498">
        <v>3.88</v>
      </c>
      <c r="P49" s="498">
        <v>2.29E-2</v>
      </c>
      <c r="Q49" s="497">
        <v>46.1</v>
      </c>
      <c r="R49" s="498">
        <v>45.8</v>
      </c>
      <c r="S49" s="498">
        <v>0.28299999999999997</v>
      </c>
      <c r="T49" s="497">
        <v>12.5</v>
      </c>
      <c r="U49" s="498">
        <v>11</v>
      </c>
      <c r="V49" s="498">
        <v>1.54</v>
      </c>
      <c r="W49" s="47" t="s">
        <v>275</v>
      </c>
      <c r="X49" s="110" t="s">
        <v>2982</v>
      </c>
      <c r="Y49" s="45" t="s">
        <v>2983</v>
      </c>
      <c r="Z49" s="266"/>
      <c r="AA49" s="266"/>
    </row>
    <row r="50" spans="1:27" s="208" customFormat="1" ht="16.5" customHeight="1">
      <c r="A50" s="124" t="s">
        <v>2984</v>
      </c>
      <c r="B50" s="860"/>
      <c r="C50" s="513" t="s">
        <v>2985</v>
      </c>
      <c r="D50" s="125"/>
      <c r="E50" s="513"/>
      <c r="F50" s="247"/>
      <c r="G50" s="247"/>
      <c r="H50" s="515"/>
      <c r="I50" s="515"/>
      <c r="J50" s="515"/>
      <c r="K50" s="515"/>
      <c r="L50" s="515"/>
      <c r="M50" s="515"/>
      <c r="N50" s="515"/>
      <c r="O50" s="515"/>
      <c r="P50" s="515"/>
      <c r="Q50" s="515"/>
      <c r="R50" s="515"/>
      <c r="S50" s="515"/>
      <c r="T50" s="515"/>
      <c r="U50" s="515"/>
      <c r="V50" s="515"/>
      <c r="W50" s="247"/>
      <c r="X50" s="513" t="s">
        <v>2986</v>
      </c>
      <c r="Y50" s="513"/>
      <c r="Z50" s="266"/>
      <c r="AA50" s="266"/>
    </row>
    <row r="51" spans="1:27" s="208" customFormat="1" ht="16.5" customHeight="1">
      <c r="A51" s="127" t="s">
        <v>1025</v>
      </c>
      <c r="B51" s="235" t="s">
        <v>2987</v>
      </c>
      <c r="C51" s="258" t="s">
        <v>2988</v>
      </c>
      <c r="D51" s="128" t="s">
        <v>2989</v>
      </c>
      <c r="E51" s="128" t="s">
        <v>2990</v>
      </c>
      <c r="F51" s="240" t="s">
        <v>2760</v>
      </c>
      <c r="G51" s="129" t="s">
        <v>1141</v>
      </c>
      <c r="H51" s="495">
        <v>37000</v>
      </c>
      <c r="I51" s="496">
        <v>33400</v>
      </c>
      <c r="J51" s="496">
        <v>3630</v>
      </c>
      <c r="K51" s="497">
        <v>58.6</v>
      </c>
      <c r="L51" s="498">
        <v>57.8</v>
      </c>
      <c r="M51" s="498">
        <v>0.77900000000000003</v>
      </c>
      <c r="N51" s="497">
        <v>4.68</v>
      </c>
      <c r="O51" s="498">
        <v>4.62</v>
      </c>
      <c r="P51" s="498">
        <v>6.0499999999999998E-2</v>
      </c>
      <c r="Q51" s="497">
        <v>53.9</v>
      </c>
      <c r="R51" s="498">
        <v>53.2</v>
      </c>
      <c r="S51" s="498">
        <v>0.71799999999999997</v>
      </c>
      <c r="T51" s="497">
        <v>13</v>
      </c>
      <c r="U51" s="498">
        <v>9.5299999999999994</v>
      </c>
      <c r="V51" s="498">
        <v>3.42</v>
      </c>
      <c r="W51" s="47" t="s">
        <v>275</v>
      </c>
      <c r="X51" s="110" t="s">
        <v>2991</v>
      </c>
      <c r="Y51" s="45" t="s">
        <v>2992</v>
      </c>
      <c r="Z51" s="266"/>
      <c r="AA51" s="266"/>
    </row>
    <row r="52" spans="1:27" s="208" customFormat="1" ht="16.5" customHeight="1">
      <c r="A52" s="127" t="s">
        <v>1028</v>
      </c>
      <c r="B52" s="235" t="s">
        <v>2993</v>
      </c>
      <c r="C52" s="258" t="s">
        <v>2994</v>
      </c>
      <c r="D52" s="128" t="s">
        <v>2995</v>
      </c>
      <c r="E52" s="128" t="s">
        <v>2996</v>
      </c>
      <c r="F52" s="240" t="s">
        <v>2760</v>
      </c>
      <c r="G52" s="129" t="s">
        <v>1141</v>
      </c>
      <c r="H52" s="495">
        <v>83100</v>
      </c>
      <c r="I52" s="496">
        <v>81500</v>
      </c>
      <c r="J52" s="496">
        <v>1660</v>
      </c>
      <c r="K52" s="497">
        <v>182</v>
      </c>
      <c r="L52" s="498">
        <v>182</v>
      </c>
      <c r="M52" s="498">
        <v>0.86299999999999999</v>
      </c>
      <c r="N52" s="497">
        <v>76.900000000000006</v>
      </c>
      <c r="O52" s="498">
        <v>76.8</v>
      </c>
      <c r="P52" s="498">
        <v>5.1900000000000002E-2</v>
      </c>
      <c r="Q52" s="497">
        <v>106</v>
      </c>
      <c r="R52" s="498">
        <v>105</v>
      </c>
      <c r="S52" s="498">
        <v>0.81</v>
      </c>
      <c r="T52" s="497">
        <v>24.1</v>
      </c>
      <c r="U52" s="498">
        <v>22.6</v>
      </c>
      <c r="V52" s="498">
        <v>1.47</v>
      </c>
      <c r="W52" s="47" t="s">
        <v>275</v>
      </c>
      <c r="X52" s="110" t="s">
        <v>2997</v>
      </c>
      <c r="Y52" s="45" t="s">
        <v>2998</v>
      </c>
      <c r="Z52" s="266"/>
      <c r="AA52" s="266"/>
    </row>
    <row r="53" spans="1:27" s="208" customFormat="1" ht="16.5" customHeight="1">
      <c r="A53" s="127" t="s">
        <v>2999</v>
      </c>
      <c r="B53" s="235" t="s">
        <v>3000</v>
      </c>
      <c r="C53" s="516" t="s">
        <v>3001</v>
      </c>
      <c r="D53" s="517" t="s">
        <v>1134</v>
      </c>
      <c r="E53" s="509" t="s">
        <v>2862</v>
      </c>
      <c r="F53" s="240" t="s">
        <v>3002</v>
      </c>
      <c r="G53" s="129" t="s">
        <v>104</v>
      </c>
      <c r="H53" s="503">
        <v>2230000</v>
      </c>
      <c r="I53" s="504">
        <v>2230000</v>
      </c>
      <c r="J53" s="504" t="s">
        <v>1031</v>
      </c>
      <c r="K53" s="505">
        <v>4240</v>
      </c>
      <c r="L53" s="506">
        <v>4240</v>
      </c>
      <c r="M53" s="506" t="s">
        <v>1031</v>
      </c>
      <c r="N53" s="505">
        <v>416</v>
      </c>
      <c r="O53" s="506">
        <v>416</v>
      </c>
      <c r="P53" s="506" t="s">
        <v>1031</v>
      </c>
      <c r="Q53" s="505">
        <v>3820</v>
      </c>
      <c r="R53" s="506">
        <v>3820</v>
      </c>
      <c r="S53" s="506" t="s">
        <v>1031</v>
      </c>
      <c r="T53" s="505">
        <v>1070</v>
      </c>
      <c r="U53" s="506">
        <v>1070</v>
      </c>
      <c r="V53" s="506" t="s">
        <v>1031</v>
      </c>
      <c r="W53" s="47" t="s">
        <v>3003</v>
      </c>
      <c r="X53" s="110" t="s">
        <v>3004</v>
      </c>
      <c r="Y53" s="511" t="s">
        <v>2866</v>
      </c>
      <c r="Z53" s="266"/>
      <c r="AA53" s="266"/>
    </row>
    <row r="54" spans="1:27" s="208" customFormat="1" ht="16.5" customHeight="1">
      <c r="A54" s="127" t="s">
        <v>3005</v>
      </c>
      <c r="B54" s="235" t="s">
        <v>3006</v>
      </c>
      <c r="C54" s="516" t="s">
        <v>3007</v>
      </c>
      <c r="D54" s="517" t="s">
        <v>1134</v>
      </c>
      <c r="E54" s="509" t="s">
        <v>2862</v>
      </c>
      <c r="F54" s="240" t="s">
        <v>3002</v>
      </c>
      <c r="G54" s="129" t="s">
        <v>104</v>
      </c>
      <c r="H54" s="503">
        <v>2090000</v>
      </c>
      <c r="I54" s="504">
        <v>2090000</v>
      </c>
      <c r="J54" s="504" t="s">
        <v>1031</v>
      </c>
      <c r="K54" s="505">
        <v>3960</v>
      </c>
      <c r="L54" s="506">
        <v>3960</v>
      </c>
      <c r="M54" s="506" t="s">
        <v>1031</v>
      </c>
      <c r="N54" s="505">
        <v>392</v>
      </c>
      <c r="O54" s="506">
        <v>392</v>
      </c>
      <c r="P54" s="506" t="s">
        <v>1031</v>
      </c>
      <c r="Q54" s="505">
        <v>3570</v>
      </c>
      <c r="R54" s="506">
        <v>3570</v>
      </c>
      <c r="S54" s="506" t="s">
        <v>1031</v>
      </c>
      <c r="T54" s="505">
        <v>1000</v>
      </c>
      <c r="U54" s="506">
        <v>1000</v>
      </c>
      <c r="V54" s="506" t="s">
        <v>1031</v>
      </c>
      <c r="W54" s="47" t="s">
        <v>3003</v>
      </c>
      <c r="X54" s="110" t="s">
        <v>3008</v>
      </c>
      <c r="Y54" s="511" t="s">
        <v>2866</v>
      </c>
      <c r="Z54" s="266"/>
      <c r="AA54" s="266"/>
    </row>
    <row r="55" spans="1:27" s="208" customFormat="1" ht="16.5" customHeight="1">
      <c r="A55" s="127" t="s">
        <v>1030</v>
      </c>
      <c r="B55" s="235" t="s">
        <v>3009</v>
      </c>
      <c r="C55" s="516" t="s">
        <v>3010</v>
      </c>
      <c r="D55" s="517" t="s">
        <v>1134</v>
      </c>
      <c r="E55" s="509" t="s">
        <v>2862</v>
      </c>
      <c r="F55" s="240" t="s">
        <v>3002</v>
      </c>
      <c r="G55" s="129" t="s">
        <v>104</v>
      </c>
      <c r="H55" s="503">
        <v>2370000</v>
      </c>
      <c r="I55" s="504">
        <v>2370000</v>
      </c>
      <c r="J55" s="504" t="s">
        <v>1031</v>
      </c>
      <c r="K55" s="505">
        <v>4500</v>
      </c>
      <c r="L55" s="506">
        <v>4500</v>
      </c>
      <c r="M55" s="506" t="s">
        <v>1031</v>
      </c>
      <c r="N55" s="505">
        <v>439</v>
      </c>
      <c r="O55" s="506">
        <v>439</v>
      </c>
      <c r="P55" s="506" t="s">
        <v>1031</v>
      </c>
      <c r="Q55" s="505">
        <v>4060</v>
      </c>
      <c r="R55" s="506">
        <v>4060</v>
      </c>
      <c r="S55" s="506" t="s">
        <v>1031</v>
      </c>
      <c r="T55" s="505">
        <v>1140</v>
      </c>
      <c r="U55" s="506">
        <v>1140</v>
      </c>
      <c r="V55" s="506" t="s">
        <v>1031</v>
      </c>
      <c r="W55" s="47" t="s">
        <v>3003</v>
      </c>
      <c r="X55" s="110" t="s">
        <v>3011</v>
      </c>
      <c r="Y55" s="511" t="s">
        <v>2866</v>
      </c>
      <c r="Z55" s="266"/>
      <c r="AA55" s="266"/>
    </row>
    <row r="56" spans="1:27" s="208" customFormat="1" ht="16.5" customHeight="1">
      <c r="A56" s="127" t="s">
        <v>3012</v>
      </c>
      <c r="B56" s="235" t="s">
        <v>3013</v>
      </c>
      <c r="C56" s="516" t="s">
        <v>3014</v>
      </c>
      <c r="D56" s="517" t="s">
        <v>1134</v>
      </c>
      <c r="E56" s="509" t="s">
        <v>2862</v>
      </c>
      <c r="F56" s="240" t="s">
        <v>3002</v>
      </c>
      <c r="G56" s="129" t="s">
        <v>104</v>
      </c>
      <c r="H56" s="503">
        <v>2890000</v>
      </c>
      <c r="I56" s="504">
        <v>2890000</v>
      </c>
      <c r="J56" s="504" t="s">
        <v>1031</v>
      </c>
      <c r="K56" s="505">
        <v>4920</v>
      </c>
      <c r="L56" s="506">
        <v>4920</v>
      </c>
      <c r="M56" s="506" t="s">
        <v>1031</v>
      </c>
      <c r="N56" s="505">
        <v>490</v>
      </c>
      <c r="O56" s="506">
        <v>490</v>
      </c>
      <c r="P56" s="506" t="s">
        <v>1031</v>
      </c>
      <c r="Q56" s="505">
        <v>4430</v>
      </c>
      <c r="R56" s="506">
        <v>4430</v>
      </c>
      <c r="S56" s="506" t="s">
        <v>1031</v>
      </c>
      <c r="T56" s="505">
        <v>1220</v>
      </c>
      <c r="U56" s="506">
        <v>1220</v>
      </c>
      <c r="V56" s="506" t="s">
        <v>1031</v>
      </c>
      <c r="W56" s="47" t="s">
        <v>3003</v>
      </c>
      <c r="X56" s="110" t="s">
        <v>3015</v>
      </c>
      <c r="Y56" s="511" t="s">
        <v>2866</v>
      </c>
      <c r="Z56" s="266"/>
      <c r="AA56" s="266"/>
    </row>
    <row r="57" spans="1:27" s="208" customFormat="1" ht="16.5" customHeight="1" outlineLevel="1">
      <c r="A57" s="518" t="s">
        <v>3016</v>
      </c>
      <c r="B57" s="808" t="s">
        <v>3017</v>
      </c>
      <c r="C57" s="519" t="s">
        <v>3018</v>
      </c>
      <c r="D57" s="520" t="s">
        <v>3019</v>
      </c>
      <c r="E57" s="520" t="s">
        <v>3020</v>
      </c>
      <c r="F57" s="521" t="s">
        <v>3021</v>
      </c>
      <c r="G57" s="522" t="s">
        <v>1581</v>
      </c>
      <c r="H57" s="523">
        <v>5860</v>
      </c>
      <c r="I57" s="524">
        <v>5810</v>
      </c>
      <c r="J57" s="524">
        <v>44</v>
      </c>
      <c r="K57" s="525">
        <v>16</v>
      </c>
      <c r="L57" s="526">
        <v>16</v>
      </c>
      <c r="M57" s="526">
        <v>3.0999999999999999E-3</v>
      </c>
      <c r="N57" s="525">
        <v>4.1500000000000004</v>
      </c>
      <c r="O57" s="526">
        <v>4.1500000000000004</v>
      </c>
      <c r="P57" s="526">
        <v>9.6299999999999996E-5</v>
      </c>
      <c r="Q57" s="525">
        <v>11.9</v>
      </c>
      <c r="R57" s="526">
        <v>11.9</v>
      </c>
      <c r="S57" s="526">
        <v>3.0000000000000001E-3</v>
      </c>
      <c r="T57" s="525">
        <v>2.69</v>
      </c>
      <c r="U57" s="526">
        <v>2.65</v>
      </c>
      <c r="V57" s="526">
        <v>4.2200000000000001E-2</v>
      </c>
      <c r="W57" s="64" t="s">
        <v>3022</v>
      </c>
      <c r="X57" s="397" t="s">
        <v>3023</v>
      </c>
      <c r="Y57" s="61" t="s">
        <v>3024</v>
      </c>
      <c r="Z57" s="266"/>
      <c r="AA57" s="266"/>
    </row>
    <row r="58" spans="1:27" s="208" customFormat="1" ht="16.5" customHeight="1" outlineLevel="1">
      <c r="A58" s="518" t="s">
        <v>3025</v>
      </c>
      <c r="B58" s="808" t="s">
        <v>3026</v>
      </c>
      <c r="C58" s="519" t="s">
        <v>3027</v>
      </c>
      <c r="D58" s="520" t="s">
        <v>3028</v>
      </c>
      <c r="E58" s="520" t="s">
        <v>3029</v>
      </c>
      <c r="F58" s="521" t="s">
        <v>3021</v>
      </c>
      <c r="G58" s="522" t="s">
        <v>1581</v>
      </c>
      <c r="H58" s="523">
        <v>60300</v>
      </c>
      <c r="I58" s="524">
        <v>60200</v>
      </c>
      <c r="J58" s="524">
        <v>99.7</v>
      </c>
      <c r="K58" s="525">
        <v>142</v>
      </c>
      <c r="L58" s="526">
        <v>142</v>
      </c>
      <c r="M58" s="526">
        <v>7.0200000000000002E-3</v>
      </c>
      <c r="N58" s="525">
        <v>20.9</v>
      </c>
      <c r="O58" s="526">
        <v>20.9</v>
      </c>
      <c r="P58" s="526">
        <v>2.1800000000000001E-4</v>
      </c>
      <c r="Q58" s="525">
        <v>121</v>
      </c>
      <c r="R58" s="526">
        <v>121</v>
      </c>
      <c r="S58" s="526">
        <v>6.7999999999999996E-3</v>
      </c>
      <c r="T58" s="525">
        <v>28.5</v>
      </c>
      <c r="U58" s="526">
        <v>28.4</v>
      </c>
      <c r="V58" s="526">
        <v>9.5600000000000004E-2</v>
      </c>
      <c r="W58" s="64" t="s">
        <v>3022</v>
      </c>
      <c r="X58" s="397" t="s">
        <v>3030</v>
      </c>
      <c r="Y58" s="61" t="s">
        <v>3031</v>
      </c>
      <c r="Z58" s="266"/>
      <c r="AA58" s="266"/>
    </row>
    <row r="59" spans="1:27" s="208" customFormat="1" ht="16.5" customHeight="1" outlineLevel="1">
      <c r="A59" s="518" t="s">
        <v>3032</v>
      </c>
      <c r="B59" s="808" t="s">
        <v>3033</v>
      </c>
      <c r="C59" s="519" t="s">
        <v>3034</v>
      </c>
      <c r="D59" s="520" t="s">
        <v>3035</v>
      </c>
      <c r="E59" s="520" t="s">
        <v>3036</v>
      </c>
      <c r="F59" s="521" t="s">
        <v>3021</v>
      </c>
      <c r="G59" s="522" t="s">
        <v>1581</v>
      </c>
      <c r="H59" s="523">
        <v>83600</v>
      </c>
      <c r="I59" s="524">
        <v>83500</v>
      </c>
      <c r="J59" s="524">
        <v>99.7</v>
      </c>
      <c r="K59" s="525">
        <v>199</v>
      </c>
      <c r="L59" s="526">
        <v>199</v>
      </c>
      <c r="M59" s="526">
        <v>7.0200000000000002E-3</v>
      </c>
      <c r="N59" s="525">
        <v>31.6</v>
      </c>
      <c r="O59" s="526">
        <v>31.6</v>
      </c>
      <c r="P59" s="526">
        <v>2.1800000000000001E-4</v>
      </c>
      <c r="Q59" s="525">
        <v>167</v>
      </c>
      <c r="R59" s="526">
        <v>167</v>
      </c>
      <c r="S59" s="526">
        <v>6.7999999999999996E-3</v>
      </c>
      <c r="T59" s="525">
        <v>39.1</v>
      </c>
      <c r="U59" s="526">
        <v>39</v>
      </c>
      <c r="V59" s="526">
        <v>9.5600000000000004E-2</v>
      </c>
      <c r="W59" s="64" t="s">
        <v>3022</v>
      </c>
      <c r="X59" s="397" t="s">
        <v>3037</v>
      </c>
      <c r="Y59" s="61" t="s">
        <v>3038</v>
      </c>
      <c r="Z59" s="266"/>
      <c r="AA59" s="266"/>
    </row>
    <row r="60" spans="1:27" s="208" customFormat="1" ht="16.5" customHeight="1" outlineLevel="1">
      <c r="A60" s="518" t="s">
        <v>3039</v>
      </c>
      <c r="B60" s="808" t="s">
        <v>3040</v>
      </c>
      <c r="C60" s="519" t="s">
        <v>3041</v>
      </c>
      <c r="D60" s="520" t="s">
        <v>3042</v>
      </c>
      <c r="E60" s="520" t="s">
        <v>3043</v>
      </c>
      <c r="F60" s="521" t="s">
        <v>3021</v>
      </c>
      <c r="G60" s="522" t="s">
        <v>1581</v>
      </c>
      <c r="H60" s="523">
        <v>85300</v>
      </c>
      <c r="I60" s="524">
        <v>84100</v>
      </c>
      <c r="J60" s="524">
        <v>1270</v>
      </c>
      <c r="K60" s="525">
        <v>218</v>
      </c>
      <c r="L60" s="526">
        <v>217</v>
      </c>
      <c r="M60" s="526">
        <v>9.8400000000000001E-2</v>
      </c>
      <c r="N60" s="525">
        <v>33.1</v>
      </c>
      <c r="O60" s="526">
        <v>33.1</v>
      </c>
      <c r="P60" s="526">
        <v>3.5999999999999999E-3</v>
      </c>
      <c r="Q60" s="525">
        <v>184</v>
      </c>
      <c r="R60" s="526">
        <v>184</v>
      </c>
      <c r="S60" s="526">
        <v>9.4799999999999995E-2</v>
      </c>
      <c r="T60" s="525">
        <v>42.1</v>
      </c>
      <c r="U60" s="526">
        <v>40.9</v>
      </c>
      <c r="V60" s="526">
        <v>1.22</v>
      </c>
      <c r="W60" s="64" t="s">
        <v>3022</v>
      </c>
      <c r="X60" s="397" t="s">
        <v>3044</v>
      </c>
      <c r="Y60" s="61" t="s">
        <v>3045</v>
      </c>
      <c r="Z60" s="266"/>
      <c r="AA60" s="266"/>
    </row>
    <row r="61" spans="1:27" s="208" customFormat="1" ht="16.5" customHeight="1" outlineLevel="1">
      <c r="A61" s="518" t="s">
        <v>3046</v>
      </c>
      <c r="B61" s="808" t="s">
        <v>3047</v>
      </c>
      <c r="C61" s="519" t="s">
        <v>3048</v>
      </c>
      <c r="D61" s="520" t="s">
        <v>3049</v>
      </c>
      <c r="E61" s="520" t="s">
        <v>3050</v>
      </c>
      <c r="F61" s="521" t="s">
        <v>3021</v>
      </c>
      <c r="G61" s="522" t="s">
        <v>1581</v>
      </c>
      <c r="H61" s="523">
        <v>32500</v>
      </c>
      <c r="I61" s="524">
        <v>31900</v>
      </c>
      <c r="J61" s="524">
        <v>586</v>
      </c>
      <c r="K61" s="525">
        <v>133</v>
      </c>
      <c r="L61" s="526">
        <v>133</v>
      </c>
      <c r="M61" s="526">
        <v>4.1300000000000003E-2</v>
      </c>
      <c r="N61" s="525">
        <v>79.5</v>
      </c>
      <c r="O61" s="526">
        <v>79.400000000000006</v>
      </c>
      <c r="P61" s="526">
        <v>1.2800000000000001E-3</v>
      </c>
      <c r="Q61" s="525">
        <v>53.5</v>
      </c>
      <c r="R61" s="526">
        <v>53.5</v>
      </c>
      <c r="S61" s="526">
        <v>0.04</v>
      </c>
      <c r="T61" s="525">
        <v>14.5</v>
      </c>
      <c r="U61" s="526">
        <v>13.9</v>
      </c>
      <c r="V61" s="526">
        <v>0.56299999999999994</v>
      </c>
      <c r="W61" s="64" t="s">
        <v>3022</v>
      </c>
      <c r="X61" s="397" t="s">
        <v>3051</v>
      </c>
      <c r="Y61" s="61" t="s">
        <v>3052</v>
      </c>
      <c r="Z61" s="266"/>
      <c r="AA61" s="266"/>
    </row>
    <row r="62" spans="1:27" s="208" customFormat="1" ht="16.5" customHeight="1" outlineLevel="1">
      <c r="A62" s="518" t="s">
        <v>3053</v>
      </c>
      <c r="B62" s="808" t="s">
        <v>3054</v>
      </c>
      <c r="C62" s="519" t="s">
        <v>3055</v>
      </c>
      <c r="D62" s="520" t="s">
        <v>3056</v>
      </c>
      <c r="E62" s="520" t="s">
        <v>3057</v>
      </c>
      <c r="F62" s="521" t="s">
        <v>3021</v>
      </c>
      <c r="G62" s="522" t="s">
        <v>1581</v>
      </c>
      <c r="H62" s="523">
        <v>99800</v>
      </c>
      <c r="I62" s="524">
        <v>98600</v>
      </c>
      <c r="J62" s="524">
        <v>1200</v>
      </c>
      <c r="K62" s="525">
        <v>260</v>
      </c>
      <c r="L62" s="526">
        <v>260</v>
      </c>
      <c r="M62" s="526">
        <v>8.4699999999999998E-2</v>
      </c>
      <c r="N62" s="525">
        <v>38.299999999999997</v>
      </c>
      <c r="O62" s="526">
        <v>38.299999999999997</v>
      </c>
      <c r="P62" s="526">
        <v>2.63E-3</v>
      </c>
      <c r="Q62" s="525">
        <v>222</v>
      </c>
      <c r="R62" s="526">
        <v>222</v>
      </c>
      <c r="S62" s="526">
        <v>8.2000000000000003E-2</v>
      </c>
      <c r="T62" s="525">
        <v>50.1</v>
      </c>
      <c r="U62" s="526">
        <v>49</v>
      </c>
      <c r="V62" s="526">
        <v>1.1499999999999999</v>
      </c>
      <c r="W62" s="64" t="s">
        <v>3022</v>
      </c>
      <c r="X62" s="397" t="s">
        <v>3058</v>
      </c>
      <c r="Y62" s="61" t="s">
        <v>3059</v>
      </c>
      <c r="Z62" s="266"/>
      <c r="AA62" s="266"/>
    </row>
    <row r="63" spans="1:27" s="208" customFormat="1" ht="16.5" customHeight="1" outlineLevel="1">
      <c r="A63" s="518" t="s">
        <v>3060</v>
      </c>
      <c r="B63" s="808" t="s">
        <v>3061</v>
      </c>
      <c r="C63" s="519" t="s">
        <v>3062</v>
      </c>
      <c r="D63" s="520" t="s">
        <v>3063</v>
      </c>
      <c r="E63" s="520" t="s">
        <v>3064</v>
      </c>
      <c r="F63" s="521" t="s">
        <v>3021</v>
      </c>
      <c r="G63" s="522" t="s">
        <v>1581</v>
      </c>
      <c r="H63" s="523">
        <v>117000</v>
      </c>
      <c r="I63" s="524">
        <v>115000</v>
      </c>
      <c r="J63" s="524">
        <v>1790</v>
      </c>
      <c r="K63" s="525">
        <v>305</v>
      </c>
      <c r="L63" s="526">
        <v>305</v>
      </c>
      <c r="M63" s="526">
        <v>0.126</v>
      </c>
      <c r="N63" s="525">
        <v>44.1</v>
      </c>
      <c r="O63" s="526">
        <v>44.1</v>
      </c>
      <c r="P63" s="526">
        <v>3.9199999999999999E-3</v>
      </c>
      <c r="Q63" s="525">
        <v>261</v>
      </c>
      <c r="R63" s="526">
        <v>261</v>
      </c>
      <c r="S63" s="526">
        <v>0.122</v>
      </c>
      <c r="T63" s="525">
        <v>59.4</v>
      </c>
      <c r="U63" s="526">
        <v>57.7</v>
      </c>
      <c r="V63" s="526">
        <v>1.72</v>
      </c>
      <c r="W63" s="64" t="s">
        <v>3022</v>
      </c>
      <c r="X63" s="397" t="s">
        <v>3065</v>
      </c>
      <c r="Y63" s="61" t="s">
        <v>3066</v>
      </c>
      <c r="Z63" s="266"/>
      <c r="AA63" s="266"/>
    </row>
    <row r="64" spans="1:27" s="208" customFormat="1" ht="16.5" customHeight="1" outlineLevel="1">
      <c r="A64" s="518" t="s">
        <v>3067</v>
      </c>
      <c r="B64" s="808" t="s">
        <v>3068</v>
      </c>
      <c r="C64" s="519" t="s">
        <v>3069</v>
      </c>
      <c r="D64" s="520" t="s">
        <v>3070</v>
      </c>
      <c r="E64" s="520" t="s">
        <v>3071</v>
      </c>
      <c r="F64" s="521" t="s">
        <v>3021</v>
      </c>
      <c r="G64" s="522" t="s">
        <v>1581</v>
      </c>
      <c r="H64" s="523">
        <v>110000</v>
      </c>
      <c r="I64" s="524">
        <v>109000</v>
      </c>
      <c r="J64" s="524">
        <v>1550</v>
      </c>
      <c r="K64" s="525">
        <v>287</v>
      </c>
      <c r="L64" s="526">
        <v>287</v>
      </c>
      <c r="M64" s="526">
        <v>0.109</v>
      </c>
      <c r="N64" s="525">
        <v>41.8</v>
      </c>
      <c r="O64" s="526">
        <v>41.8</v>
      </c>
      <c r="P64" s="526">
        <v>3.3999999999999998E-3</v>
      </c>
      <c r="Q64" s="525">
        <v>245</v>
      </c>
      <c r="R64" s="526">
        <v>245</v>
      </c>
      <c r="S64" s="526">
        <v>0.106</v>
      </c>
      <c r="T64" s="525">
        <v>55.7</v>
      </c>
      <c r="U64" s="526">
        <v>54.2</v>
      </c>
      <c r="V64" s="526">
        <v>1.49</v>
      </c>
      <c r="W64" s="64" t="s">
        <v>3022</v>
      </c>
      <c r="X64" s="397" t="s">
        <v>3072</v>
      </c>
      <c r="Y64" s="61" t="s">
        <v>3073</v>
      </c>
      <c r="Z64" s="266"/>
      <c r="AA64" s="266"/>
    </row>
    <row r="65" spans="1:27" s="208" customFormat="1" ht="16.5" customHeight="1" outlineLevel="1">
      <c r="A65" s="518" t="s">
        <v>3074</v>
      </c>
      <c r="B65" s="808" t="s">
        <v>3075</v>
      </c>
      <c r="C65" s="519" t="s">
        <v>3076</v>
      </c>
      <c r="D65" s="518" t="s">
        <v>3077</v>
      </c>
      <c r="E65" s="520" t="s">
        <v>3078</v>
      </c>
      <c r="F65" s="521" t="s">
        <v>3021</v>
      </c>
      <c r="G65" s="522" t="s">
        <v>1581</v>
      </c>
      <c r="H65" s="523">
        <v>241000</v>
      </c>
      <c r="I65" s="524">
        <v>234000</v>
      </c>
      <c r="J65" s="524">
        <v>7400</v>
      </c>
      <c r="K65" s="525">
        <v>510</v>
      </c>
      <c r="L65" s="526">
        <v>501</v>
      </c>
      <c r="M65" s="526">
        <v>8.8699999999999992</v>
      </c>
      <c r="N65" s="525">
        <v>43.7</v>
      </c>
      <c r="O65" s="526">
        <v>43.1</v>
      </c>
      <c r="P65" s="526">
        <v>0.54600000000000004</v>
      </c>
      <c r="Q65" s="525">
        <v>466</v>
      </c>
      <c r="R65" s="526">
        <v>458</v>
      </c>
      <c r="S65" s="526">
        <v>8.31</v>
      </c>
      <c r="T65" s="525">
        <v>132</v>
      </c>
      <c r="U65" s="526">
        <v>126</v>
      </c>
      <c r="V65" s="526">
        <v>5.39</v>
      </c>
      <c r="W65" s="64" t="s">
        <v>3022</v>
      </c>
      <c r="X65" s="397" t="s">
        <v>3079</v>
      </c>
      <c r="Y65" s="61" t="s">
        <v>3080</v>
      </c>
      <c r="Z65" s="266"/>
      <c r="AA65" s="266"/>
    </row>
    <row r="66" spans="1:27" s="208" customFormat="1" ht="16.5" customHeight="1" outlineLevel="1">
      <c r="A66" s="518" t="s">
        <v>3081</v>
      </c>
      <c r="B66" s="808" t="s">
        <v>3082</v>
      </c>
      <c r="C66" s="519" t="s">
        <v>3083</v>
      </c>
      <c r="D66" s="518" t="s">
        <v>3077</v>
      </c>
      <c r="E66" s="520" t="s">
        <v>3078</v>
      </c>
      <c r="F66" s="521" t="s">
        <v>3021</v>
      </c>
      <c r="G66" s="522" t="s">
        <v>1581</v>
      </c>
      <c r="H66" s="523">
        <v>243000</v>
      </c>
      <c r="I66" s="524">
        <v>235000</v>
      </c>
      <c r="J66" s="524">
        <v>7870</v>
      </c>
      <c r="K66" s="525">
        <v>511</v>
      </c>
      <c r="L66" s="526">
        <v>502</v>
      </c>
      <c r="M66" s="526">
        <v>9.42</v>
      </c>
      <c r="N66" s="525">
        <v>43.8</v>
      </c>
      <c r="O66" s="526">
        <v>43.2</v>
      </c>
      <c r="P66" s="526">
        <v>0.57999999999999996</v>
      </c>
      <c r="Q66" s="525">
        <v>468</v>
      </c>
      <c r="R66" s="526">
        <v>459</v>
      </c>
      <c r="S66" s="526">
        <v>8.83</v>
      </c>
      <c r="T66" s="525">
        <v>133</v>
      </c>
      <c r="U66" s="526">
        <v>127</v>
      </c>
      <c r="V66" s="526">
        <v>5.73</v>
      </c>
      <c r="W66" s="64" t="s">
        <v>3022</v>
      </c>
      <c r="X66" s="397" t="s">
        <v>3084</v>
      </c>
      <c r="Y66" s="61" t="s">
        <v>3080</v>
      </c>
      <c r="Z66" s="266"/>
      <c r="AA66" s="266"/>
    </row>
    <row r="67" spans="1:27" s="208" customFormat="1" ht="16.5" customHeight="1" outlineLevel="1">
      <c r="A67" s="518" t="s">
        <v>3085</v>
      </c>
      <c r="B67" s="808" t="s">
        <v>3086</v>
      </c>
      <c r="C67" s="519" t="s">
        <v>3087</v>
      </c>
      <c r="D67" s="518" t="s">
        <v>3077</v>
      </c>
      <c r="E67" s="520" t="s">
        <v>3078</v>
      </c>
      <c r="F67" s="521" t="s">
        <v>3021</v>
      </c>
      <c r="G67" s="522" t="s">
        <v>1581</v>
      </c>
      <c r="H67" s="523">
        <v>243000</v>
      </c>
      <c r="I67" s="524">
        <v>235000</v>
      </c>
      <c r="J67" s="524">
        <v>8050</v>
      </c>
      <c r="K67" s="525">
        <v>516</v>
      </c>
      <c r="L67" s="526">
        <v>506</v>
      </c>
      <c r="M67" s="526">
        <v>9.64</v>
      </c>
      <c r="N67" s="525">
        <v>44.2</v>
      </c>
      <c r="O67" s="526">
        <v>43.6</v>
      </c>
      <c r="P67" s="526">
        <v>0.59399999999999997</v>
      </c>
      <c r="Q67" s="525">
        <v>471</v>
      </c>
      <c r="R67" s="526">
        <v>462</v>
      </c>
      <c r="S67" s="526">
        <v>9.0299999999999994</v>
      </c>
      <c r="T67" s="525">
        <v>134</v>
      </c>
      <c r="U67" s="526">
        <v>128</v>
      </c>
      <c r="V67" s="526">
        <v>5.86</v>
      </c>
      <c r="W67" s="64" t="s">
        <v>3022</v>
      </c>
      <c r="X67" s="397" t="s">
        <v>3088</v>
      </c>
      <c r="Y67" s="61" t="s">
        <v>3080</v>
      </c>
      <c r="Z67" s="266"/>
      <c r="AA67" s="266"/>
    </row>
    <row r="68" spans="1:27" s="208" customFormat="1" ht="16.5" customHeight="1" outlineLevel="1">
      <c r="A68" s="518" t="s">
        <v>3089</v>
      </c>
      <c r="B68" s="808" t="s">
        <v>3090</v>
      </c>
      <c r="C68" s="519" t="s">
        <v>3091</v>
      </c>
      <c r="D68" s="527" t="s">
        <v>3092</v>
      </c>
      <c r="E68" s="520" t="s">
        <v>3093</v>
      </c>
      <c r="F68" s="521" t="s">
        <v>3021</v>
      </c>
      <c r="G68" s="522" t="s">
        <v>1581</v>
      </c>
      <c r="H68" s="523">
        <v>182000</v>
      </c>
      <c r="I68" s="524">
        <v>171000</v>
      </c>
      <c r="J68" s="524">
        <v>11100</v>
      </c>
      <c r="K68" s="525">
        <v>457</v>
      </c>
      <c r="L68" s="526">
        <v>428</v>
      </c>
      <c r="M68" s="526">
        <v>28.4</v>
      </c>
      <c r="N68" s="525">
        <v>39</v>
      </c>
      <c r="O68" s="526">
        <v>37.5</v>
      </c>
      <c r="P68" s="526">
        <v>1.48</v>
      </c>
      <c r="Q68" s="525">
        <v>418</v>
      </c>
      <c r="R68" s="526">
        <v>391</v>
      </c>
      <c r="S68" s="526">
        <v>26.9</v>
      </c>
      <c r="T68" s="525">
        <v>102</v>
      </c>
      <c r="U68" s="526">
        <v>96.2</v>
      </c>
      <c r="V68" s="526">
        <v>6.08</v>
      </c>
      <c r="W68" s="64" t="s">
        <v>3022</v>
      </c>
      <c r="X68" s="397" t="s">
        <v>3094</v>
      </c>
      <c r="Y68" s="61" t="s">
        <v>3095</v>
      </c>
      <c r="Z68" s="266"/>
      <c r="AA68" s="266"/>
    </row>
    <row r="69" spans="1:27" s="208" customFormat="1" ht="16.5" customHeight="1" outlineLevel="1">
      <c r="A69" s="518" t="s">
        <v>3096</v>
      </c>
      <c r="B69" s="808" t="s">
        <v>3097</v>
      </c>
      <c r="C69" s="519" t="s">
        <v>3098</v>
      </c>
      <c r="D69" s="527" t="s">
        <v>3092</v>
      </c>
      <c r="E69" s="528" t="s">
        <v>3093</v>
      </c>
      <c r="F69" s="521" t="s">
        <v>3021</v>
      </c>
      <c r="G69" s="522" t="s">
        <v>1581</v>
      </c>
      <c r="H69" s="523">
        <v>147000</v>
      </c>
      <c r="I69" s="524">
        <v>137000</v>
      </c>
      <c r="J69" s="524">
        <v>10000</v>
      </c>
      <c r="K69" s="525">
        <v>390</v>
      </c>
      <c r="L69" s="526">
        <v>364</v>
      </c>
      <c r="M69" s="526">
        <v>25.7</v>
      </c>
      <c r="N69" s="525">
        <v>25.6</v>
      </c>
      <c r="O69" s="526">
        <v>24.3</v>
      </c>
      <c r="P69" s="526">
        <v>1.33</v>
      </c>
      <c r="Q69" s="525">
        <v>364</v>
      </c>
      <c r="R69" s="526">
        <v>340</v>
      </c>
      <c r="S69" s="526">
        <v>24.3</v>
      </c>
      <c r="T69" s="525">
        <v>85.9</v>
      </c>
      <c r="U69" s="526">
        <v>80.400000000000006</v>
      </c>
      <c r="V69" s="526">
        <v>5.49</v>
      </c>
      <c r="W69" s="64" t="s">
        <v>3022</v>
      </c>
      <c r="X69" s="397" t="s">
        <v>3099</v>
      </c>
      <c r="Y69" s="529" t="s">
        <v>3095</v>
      </c>
      <c r="Z69" s="266"/>
      <c r="AA69" s="266"/>
    </row>
    <row r="70" spans="1:27" s="253" customFormat="1" ht="16.5" customHeight="1">
      <c r="A70" s="244" t="s">
        <v>3100</v>
      </c>
      <c r="B70" s="235" t="s">
        <v>3101</v>
      </c>
      <c r="C70" s="500" t="s">
        <v>3102</v>
      </c>
      <c r="D70" s="517" t="s">
        <v>1134</v>
      </c>
      <c r="E70" s="509" t="s">
        <v>2862</v>
      </c>
      <c r="F70" s="250" t="s">
        <v>3002</v>
      </c>
      <c r="G70" s="502" t="s">
        <v>104</v>
      </c>
      <c r="H70" s="503">
        <v>2940000</v>
      </c>
      <c r="I70" s="504">
        <v>2940000</v>
      </c>
      <c r="J70" s="504" t="s">
        <v>1031</v>
      </c>
      <c r="K70" s="505">
        <v>5030</v>
      </c>
      <c r="L70" s="506">
        <v>5030</v>
      </c>
      <c r="M70" s="506" t="s">
        <v>1031</v>
      </c>
      <c r="N70" s="505">
        <v>505</v>
      </c>
      <c r="O70" s="506">
        <v>505</v>
      </c>
      <c r="P70" s="506" t="s">
        <v>1031</v>
      </c>
      <c r="Q70" s="505">
        <v>4530</v>
      </c>
      <c r="R70" s="506">
        <v>4530</v>
      </c>
      <c r="S70" s="506" t="s">
        <v>1031</v>
      </c>
      <c r="T70" s="505">
        <v>1260</v>
      </c>
      <c r="U70" s="506">
        <v>1260</v>
      </c>
      <c r="V70" s="506" t="s">
        <v>1031</v>
      </c>
      <c r="W70" s="32" t="s">
        <v>3003</v>
      </c>
      <c r="X70" s="397" t="s">
        <v>3103</v>
      </c>
      <c r="Y70" s="511" t="s">
        <v>2866</v>
      </c>
      <c r="Z70" s="507"/>
      <c r="AA70" s="507"/>
    </row>
    <row r="71" spans="1:27" s="253" customFormat="1" ht="16.5" customHeight="1">
      <c r="A71" s="244" t="s">
        <v>3104</v>
      </c>
      <c r="B71" s="235" t="s">
        <v>3105</v>
      </c>
      <c r="C71" s="500" t="s">
        <v>3106</v>
      </c>
      <c r="D71" s="517" t="s">
        <v>1134</v>
      </c>
      <c r="E71" s="509" t="s">
        <v>2862</v>
      </c>
      <c r="F71" s="250" t="s">
        <v>3002</v>
      </c>
      <c r="G71" s="502" t="s">
        <v>104</v>
      </c>
      <c r="H71" s="503">
        <v>2980000</v>
      </c>
      <c r="I71" s="504">
        <v>2980000</v>
      </c>
      <c r="J71" s="504" t="s">
        <v>1031</v>
      </c>
      <c r="K71" s="505">
        <v>5080</v>
      </c>
      <c r="L71" s="506">
        <v>5080</v>
      </c>
      <c r="M71" s="506" t="s">
        <v>1031</v>
      </c>
      <c r="N71" s="505">
        <v>522</v>
      </c>
      <c r="O71" s="506">
        <v>522</v>
      </c>
      <c r="P71" s="506" t="s">
        <v>1031</v>
      </c>
      <c r="Q71" s="505">
        <v>4560</v>
      </c>
      <c r="R71" s="506">
        <v>4560</v>
      </c>
      <c r="S71" s="506" t="s">
        <v>1031</v>
      </c>
      <c r="T71" s="505">
        <v>1250</v>
      </c>
      <c r="U71" s="506">
        <v>1250</v>
      </c>
      <c r="V71" s="506" t="s">
        <v>1031</v>
      </c>
      <c r="W71" s="32" t="s">
        <v>3003</v>
      </c>
      <c r="X71" s="397" t="s">
        <v>3107</v>
      </c>
      <c r="Y71" s="511" t="s">
        <v>2866</v>
      </c>
      <c r="Z71" s="507"/>
      <c r="AA71" s="507"/>
    </row>
    <row r="72" spans="1:27" s="253" customFormat="1" ht="16.5" customHeight="1">
      <c r="A72" s="244" t="s">
        <v>3108</v>
      </c>
      <c r="B72" s="235" t="s">
        <v>3109</v>
      </c>
      <c r="C72" s="500" t="s">
        <v>3110</v>
      </c>
      <c r="D72" s="517" t="s">
        <v>1134</v>
      </c>
      <c r="E72" s="509" t="s">
        <v>2862</v>
      </c>
      <c r="F72" s="250" t="s">
        <v>3002</v>
      </c>
      <c r="G72" s="502" t="s">
        <v>104</v>
      </c>
      <c r="H72" s="503">
        <v>2050000</v>
      </c>
      <c r="I72" s="504">
        <v>2050000</v>
      </c>
      <c r="J72" s="504" t="s">
        <v>1031</v>
      </c>
      <c r="K72" s="505">
        <v>3570</v>
      </c>
      <c r="L72" s="506">
        <v>3570</v>
      </c>
      <c r="M72" s="506" t="s">
        <v>1031</v>
      </c>
      <c r="N72" s="505">
        <v>319</v>
      </c>
      <c r="O72" s="506">
        <v>319</v>
      </c>
      <c r="P72" s="506" t="s">
        <v>1031</v>
      </c>
      <c r="Q72" s="505">
        <v>3250</v>
      </c>
      <c r="R72" s="506">
        <v>3250</v>
      </c>
      <c r="S72" s="506" t="s">
        <v>1031</v>
      </c>
      <c r="T72" s="505">
        <v>792</v>
      </c>
      <c r="U72" s="506">
        <v>792</v>
      </c>
      <c r="V72" s="506" t="s">
        <v>1031</v>
      </c>
      <c r="W72" s="32" t="s">
        <v>3003</v>
      </c>
      <c r="X72" s="397" t="s">
        <v>3111</v>
      </c>
      <c r="Y72" s="511" t="s">
        <v>2866</v>
      </c>
      <c r="Z72" s="507"/>
      <c r="AA72" s="507"/>
    </row>
    <row r="73" spans="1:27" s="253" customFormat="1" ht="16.5" customHeight="1">
      <c r="A73" s="261" t="s">
        <v>3112</v>
      </c>
      <c r="B73" s="861" t="s">
        <v>3113</v>
      </c>
      <c r="C73" s="530" t="s">
        <v>3114</v>
      </c>
      <c r="D73" s="517" t="s">
        <v>1134</v>
      </c>
      <c r="E73" s="509" t="s">
        <v>2862</v>
      </c>
      <c r="F73" s="531" t="s">
        <v>3002</v>
      </c>
      <c r="G73" s="532" t="s">
        <v>104</v>
      </c>
      <c r="H73" s="503">
        <v>2590000</v>
      </c>
      <c r="I73" s="504">
        <v>2590000</v>
      </c>
      <c r="J73" s="504" t="s">
        <v>1031</v>
      </c>
      <c r="K73" s="505">
        <v>5110</v>
      </c>
      <c r="L73" s="506">
        <v>5110</v>
      </c>
      <c r="M73" s="506" t="s">
        <v>1031</v>
      </c>
      <c r="N73" s="505">
        <v>502</v>
      </c>
      <c r="O73" s="506">
        <v>502</v>
      </c>
      <c r="P73" s="506" t="s">
        <v>1031</v>
      </c>
      <c r="Q73" s="505">
        <v>4600</v>
      </c>
      <c r="R73" s="506">
        <v>4600</v>
      </c>
      <c r="S73" s="506" t="s">
        <v>1031</v>
      </c>
      <c r="T73" s="505">
        <v>1080</v>
      </c>
      <c r="U73" s="506">
        <v>1080</v>
      </c>
      <c r="V73" s="506" t="s">
        <v>1031</v>
      </c>
      <c r="W73" s="533" t="s">
        <v>3003</v>
      </c>
      <c r="X73" s="397" t="s">
        <v>3115</v>
      </c>
      <c r="Y73" s="511" t="s">
        <v>2866</v>
      </c>
      <c r="Z73" s="507"/>
      <c r="AA73" s="507"/>
    </row>
    <row r="74" spans="1:27" s="208" customFormat="1" ht="16.5" customHeight="1">
      <c r="A74" s="534" t="s">
        <v>3116</v>
      </c>
      <c r="B74" s="235" t="s">
        <v>3117</v>
      </c>
      <c r="C74" s="535" t="s">
        <v>3118</v>
      </c>
      <c r="D74" s="517" t="s">
        <v>1134</v>
      </c>
      <c r="E74" s="509" t="s">
        <v>2862</v>
      </c>
      <c r="F74" s="250" t="s">
        <v>3002</v>
      </c>
      <c r="G74" s="502" t="s">
        <v>104</v>
      </c>
      <c r="H74" s="503">
        <v>533000</v>
      </c>
      <c r="I74" s="504">
        <v>533000</v>
      </c>
      <c r="J74" s="504" t="s">
        <v>1031</v>
      </c>
      <c r="K74" s="505">
        <v>684</v>
      </c>
      <c r="L74" s="506">
        <v>684</v>
      </c>
      <c r="M74" s="506" t="s">
        <v>1031</v>
      </c>
      <c r="N74" s="505">
        <v>63</v>
      </c>
      <c r="O74" s="506">
        <v>63</v>
      </c>
      <c r="P74" s="506" t="s">
        <v>1031</v>
      </c>
      <c r="Q74" s="505">
        <v>621</v>
      </c>
      <c r="R74" s="506">
        <v>621</v>
      </c>
      <c r="S74" s="506" t="s">
        <v>1031</v>
      </c>
      <c r="T74" s="505">
        <v>144</v>
      </c>
      <c r="U74" s="506">
        <v>144</v>
      </c>
      <c r="V74" s="506" t="s">
        <v>1031</v>
      </c>
      <c r="W74" s="32" t="s">
        <v>3003</v>
      </c>
      <c r="X74" s="397" t="s">
        <v>3119</v>
      </c>
      <c r="Y74" s="511" t="s">
        <v>2866</v>
      </c>
      <c r="Z74" s="266"/>
      <c r="AA74" s="266"/>
    </row>
    <row r="75" spans="1:27" s="208" customFormat="1" ht="16.5" customHeight="1">
      <c r="A75" s="534" t="s">
        <v>3120</v>
      </c>
      <c r="B75" s="235" t="s">
        <v>3121</v>
      </c>
      <c r="C75" s="535" t="s">
        <v>3122</v>
      </c>
      <c r="D75" s="517" t="s">
        <v>1134</v>
      </c>
      <c r="E75" s="509" t="s">
        <v>2862</v>
      </c>
      <c r="F75" s="250" t="s">
        <v>3002</v>
      </c>
      <c r="G75" s="502" t="s">
        <v>104</v>
      </c>
      <c r="H75" s="503">
        <v>427000</v>
      </c>
      <c r="I75" s="504">
        <v>427000</v>
      </c>
      <c r="J75" s="504" t="s">
        <v>1031</v>
      </c>
      <c r="K75" s="505">
        <v>548</v>
      </c>
      <c r="L75" s="506">
        <v>548</v>
      </c>
      <c r="M75" s="506" t="s">
        <v>1031</v>
      </c>
      <c r="N75" s="505">
        <v>50.5</v>
      </c>
      <c r="O75" s="506">
        <v>50.5</v>
      </c>
      <c r="P75" s="506" t="s">
        <v>1031</v>
      </c>
      <c r="Q75" s="505">
        <v>498</v>
      </c>
      <c r="R75" s="506">
        <v>498</v>
      </c>
      <c r="S75" s="506" t="s">
        <v>1031</v>
      </c>
      <c r="T75" s="505">
        <v>115</v>
      </c>
      <c r="U75" s="506">
        <v>115</v>
      </c>
      <c r="V75" s="506" t="s">
        <v>1031</v>
      </c>
      <c r="W75" s="32" t="s">
        <v>3003</v>
      </c>
      <c r="X75" s="397" t="s">
        <v>3123</v>
      </c>
      <c r="Y75" s="511" t="s">
        <v>2866</v>
      </c>
      <c r="Z75" s="266"/>
      <c r="AA75" s="266"/>
    </row>
    <row r="76" spans="1:27" s="208" customFormat="1" ht="16.5" customHeight="1">
      <c r="A76" s="534" t="s">
        <v>3124</v>
      </c>
      <c r="B76" s="235" t="s">
        <v>3125</v>
      </c>
      <c r="C76" s="535" t="s">
        <v>3126</v>
      </c>
      <c r="D76" s="517" t="s">
        <v>1134</v>
      </c>
      <c r="E76" s="509" t="s">
        <v>2862</v>
      </c>
      <c r="F76" s="250" t="s">
        <v>3002</v>
      </c>
      <c r="G76" s="502" t="s">
        <v>104</v>
      </c>
      <c r="H76" s="503">
        <v>342000</v>
      </c>
      <c r="I76" s="504">
        <v>342000</v>
      </c>
      <c r="J76" s="504" t="s">
        <v>1031</v>
      </c>
      <c r="K76" s="505">
        <v>439</v>
      </c>
      <c r="L76" s="506">
        <v>439</v>
      </c>
      <c r="M76" s="506" t="s">
        <v>1031</v>
      </c>
      <c r="N76" s="505">
        <v>40.4</v>
      </c>
      <c r="O76" s="506">
        <v>40.4</v>
      </c>
      <c r="P76" s="506" t="s">
        <v>1031</v>
      </c>
      <c r="Q76" s="505">
        <v>399</v>
      </c>
      <c r="R76" s="506">
        <v>399</v>
      </c>
      <c r="S76" s="506" t="s">
        <v>1031</v>
      </c>
      <c r="T76" s="505">
        <v>92.4</v>
      </c>
      <c r="U76" s="506">
        <v>92.4</v>
      </c>
      <c r="V76" s="506" t="s">
        <v>1031</v>
      </c>
      <c r="W76" s="32" t="s">
        <v>3003</v>
      </c>
      <c r="X76" s="397" t="s">
        <v>3127</v>
      </c>
      <c r="Y76" s="511" t="s">
        <v>2866</v>
      </c>
      <c r="Z76" s="266"/>
      <c r="AA76" s="266"/>
    </row>
    <row r="77" spans="1:27" s="208" customFormat="1" ht="16.5" customHeight="1">
      <c r="A77" s="534" t="s">
        <v>3128</v>
      </c>
      <c r="B77" s="235" t="s">
        <v>3129</v>
      </c>
      <c r="C77" s="535" t="s">
        <v>3130</v>
      </c>
      <c r="D77" s="517" t="s">
        <v>1134</v>
      </c>
      <c r="E77" s="509" t="s">
        <v>2862</v>
      </c>
      <c r="F77" s="250" t="s">
        <v>3002</v>
      </c>
      <c r="G77" s="502" t="s">
        <v>104</v>
      </c>
      <c r="H77" s="503">
        <v>274000</v>
      </c>
      <c r="I77" s="504">
        <v>274000</v>
      </c>
      <c r="J77" s="504" t="s">
        <v>1031</v>
      </c>
      <c r="K77" s="505">
        <v>352</v>
      </c>
      <c r="L77" s="506">
        <v>352</v>
      </c>
      <c r="M77" s="506" t="s">
        <v>1031</v>
      </c>
      <c r="N77" s="505">
        <v>32.4</v>
      </c>
      <c r="O77" s="506">
        <v>32.4</v>
      </c>
      <c r="P77" s="506" t="s">
        <v>1031</v>
      </c>
      <c r="Q77" s="505">
        <v>319</v>
      </c>
      <c r="R77" s="506">
        <v>319</v>
      </c>
      <c r="S77" s="506" t="s">
        <v>1031</v>
      </c>
      <c r="T77" s="505">
        <v>74</v>
      </c>
      <c r="U77" s="506">
        <v>74</v>
      </c>
      <c r="V77" s="506" t="s">
        <v>1031</v>
      </c>
      <c r="W77" s="32" t="s">
        <v>3003</v>
      </c>
      <c r="X77" s="397" t="s">
        <v>3131</v>
      </c>
      <c r="Y77" s="511" t="s">
        <v>2866</v>
      </c>
      <c r="Z77" s="266"/>
      <c r="AA77" s="266"/>
    </row>
    <row r="78" spans="1:27" s="208" customFormat="1" ht="16.5" customHeight="1">
      <c r="A78" s="534" t="s">
        <v>3132</v>
      </c>
      <c r="B78" s="235" t="s">
        <v>3133</v>
      </c>
      <c r="C78" s="535" t="s">
        <v>3134</v>
      </c>
      <c r="D78" s="517" t="s">
        <v>1134</v>
      </c>
      <c r="E78" s="509" t="s">
        <v>2862</v>
      </c>
      <c r="F78" s="250" t="s">
        <v>3002</v>
      </c>
      <c r="G78" s="502" t="s">
        <v>104</v>
      </c>
      <c r="H78" s="503">
        <v>167000</v>
      </c>
      <c r="I78" s="504">
        <v>167000</v>
      </c>
      <c r="J78" s="504" t="s">
        <v>1031</v>
      </c>
      <c r="K78" s="505">
        <v>180</v>
      </c>
      <c r="L78" s="506">
        <v>180</v>
      </c>
      <c r="M78" s="506" t="s">
        <v>1031</v>
      </c>
      <c r="N78" s="505">
        <v>10.199999999999999</v>
      </c>
      <c r="O78" s="506">
        <v>10.199999999999999</v>
      </c>
      <c r="P78" s="506" t="s">
        <v>1031</v>
      </c>
      <c r="Q78" s="505">
        <v>170</v>
      </c>
      <c r="R78" s="506">
        <v>170</v>
      </c>
      <c r="S78" s="506" t="s">
        <v>1031</v>
      </c>
      <c r="T78" s="505">
        <v>42.1</v>
      </c>
      <c r="U78" s="506">
        <v>42.1</v>
      </c>
      <c r="V78" s="506" t="s">
        <v>1031</v>
      </c>
      <c r="W78" s="32" t="s">
        <v>3003</v>
      </c>
      <c r="X78" s="397" t="s">
        <v>3135</v>
      </c>
      <c r="Y78" s="511" t="s">
        <v>2866</v>
      </c>
      <c r="Z78" s="266"/>
      <c r="AA78" s="266"/>
    </row>
    <row r="79" spans="1:27" s="208" customFormat="1" ht="16.5" customHeight="1">
      <c r="A79" s="536"/>
      <c r="B79" s="536"/>
      <c r="C79" s="537" t="s">
        <v>3136</v>
      </c>
      <c r="D79" s="536"/>
      <c r="E79" s="538"/>
      <c r="F79" s="539"/>
      <c r="G79" s="539"/>
      <c r="H79" s="540"/>
      <c r="I79" s="540"/>
      <c r="J79" s="540" t="s">
        <v>3137</v>
      </c>
      <c r="K79" s="540" t="s">
        <v>3137</v>
      </c>
      <c r="L79" s="540" t="s">
        <v>3137</v>
      </c>
      <c r="M79" s="540" t="s">
        <v>3137</v>
      </c>
      <c r="N79" s="540" t="s">
        <v>3137</v>
      </c>
      <c r="O79" s="540" t="s">
        <v>3137</v>
      </c>
      <c r="P79" s="540" t="s">
        <v>3137</v>
      </c>
      <c r="Q79" s="541" t="s">
        <v>3137</v>
      </c>
      <c r="R79" s="540" t="s">
        <v>3137</v>
      </c>
      <c r="S79" s="540" t="s">
        <v>3137</v>
      </c>
      <c r="T79" s="542" t="s">
        <v>3137</v>
      </c>
      <c r="U79" s="542" t="s">
        <v>3137</v>
      </c>
      <c r="V79" s="542" t="s">
        <v>3137</v>
      </c>
      <c r="W79" s="539"/>
      <c r="X79" s="780" t="s">
        <v>3138</v>
      </c>
      <c r="Y79" s="538"/>
      <c r="Z79" s="266"/>
      <c r="AA79" s="266"/>
    </row>
    <row r="81" spans="3:24">
      <c r="C81" s="266"/>
      <c r="E81" s="266"/>
      <c r="F81" s="266"/>
      <c r="G81" s="266"/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7"/>
      <c r="U81" s="867"/>
      <c r="V81" s="867"/>
      <c r="W81" s="266"/>
      <c r="X81" s="266"/>
    </row>
    <row r="82" spans="3:24">
      <c r="C82" s="266"/>
      <c r="E82" s="266"/>
      <c r="F82" s="266"/>
      <c r="G82" s="266"/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7"/>
      <c r="U82" s="867"/>
      <c r="V82" s="867"/>
      <c r="W82" s="266"/>
      <c r="X82" s="266"/>
    </row>
    <row r="83" spans="3:24">
      <c r="C83" s="266"/>
      <c r="E83" s="266"/>
      <c r="F83" s="266"/>
      <c r="G83" s="266"/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7"/>
      <c r="U83" s="867"/>
      <c r="V83" s="867"/>
      <c r="W83" s="266"/>
      <c r="X83" s="266"/>
    </row>
    <row r="84" spans="3:24">
      <c r="C84" s="266"/>
      <c r="E84" s="266"/>
      <c r="F84" s="266"/>
      <c r="G84" s="266"/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7"/>
      <c r="U84" s="867"/>
      <c r="V84" s="867"/>
      <c r="W84" s="266"/>
      <c r="X84" s="266"/>
    </row>
    <row r="85" spans="3:24">
      <c r="C85" s="266"/>
      <c r="E85" s="266"/>
      <c r="F85" s="266"/>
      <c r="G85" s="266"/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7"/>
      <c r="U85" s="867"/>
      <c r="V85" s="867"/>
      <c r="W85" s="266"/>
      <c r="X85" s="266"/>
    </row>
    <row r="86" spans="3:24">
      <c r="C86" s="266"/>
      <c r="E86" s="266"/>
      <c r="F86" s="266"/>
      <c r="G86" s="266"/>
      <c r="H86" s="866"/>
      <c r="I86" s="866"/>
      <c r="J86" s="866"/>
      <c r="K86" s="866"/>
      <c r="L86" s="866"/>
      <c r="M86" s="866"/>
      <c r="N86" s="866"/>
      <c r="O86" s="866"/>
      <c r="P86" s="866"/>
      <c r="Q86" s="866"/>
      <c r="R86" s="866"/>
      <c r="S86" s="866"/>
      <c r="T86" s="867"/>
      <c r="U86" s="867"/>
      <c r="V86" s="867"/>
      <c r="W86" s="266"/>
      <c r="X86" s="266"/>
    </row>
    <row r="87" spans="3:24">
      <c r="C87" s="266"/>
      <c r="E87" s="266"/>
      <c r="F87" s="266"/>
      <c r="G87" s="266"/>
      <c r="H87" s="866"/>
      <c r="I87" s="866"/>
      <c r="J87" s="866"/>
      <c r="K87" s="866"/>
      <c r="L87" s="866"/>
      <c r="M87" s="866"/>
      <c r="N87" s="866"/>
      <c r="O87" s="866"/>
      <c r="P87" s="866"/>
      <c r="Q87" s="866"/>
      <c r="R87" s="866"/>
      <c r="S87" s="866"/>
      <c r="T87" s="867"/>
      <c r="U87" s="867"/>
      <c r="V87" s="867"/>
      <c r="W87" s="266"/>
      <c r="X87" s="266"/>
    </row>
    <row r="88" spans="3:24">
      <c r="C88" s="266"/>
      <c r="E88" s="266"/>
      <c r="F88" s="266"/>
      <c r="G88" s="266"/>
      <c r="H88" s="866"/>
      <c r="I88" s="866"/>
      <c r="J88" s="866"/>
      <c r="K88" s="866"/>
      <c r="L88" s="866"/>
      <c r="M88" s="866"/>
      <c r="N88" s="866"/>
      <c r="O88" s="866"/>
      <c r="P88" s="866"/>
      <c r="Q88" s="866"/>
      <c r="R88" s="866"/>
      <c r="S88" s="866"/>
      <c r="T88" s="867"/>
      <c r="U88" s="867"/>
      <c r="V88" s="867"/>
      <c r="W88" s="266"/>
      <c r="X88" s="266"/>
    </row>
    <row r="89" spans="3:24">
      <c r="C89" s="266"/>
      <c r="E89" s="266"/>
      <c r="F89" s="266"/>
      <c r="G89" s="266"/>
      <c r="H89" s="866"/>
      <c r="I89" s="866"/>
      <c r="J89" s="866"/>
      <c r="K89" s="866"/>
      <c r="L89" s="866"/>
      <c r="M89" s="866"/>
      <c r="N89" s="866"/>
      <c r="O89" s="866"/>
      <c r="P89" s="866"/>
      <c r="Q89" s="866"/>
      <c r="R89" s="866"/>
      <c r="S89" s="866"/>
      <c r="T89" s="867"/>
      <c r="U89" s="867"/>
      <c r="V89" s="867"/>
      <c r="W89" s="266"/>
      <c r="X89" s="266"/>
    </row>
    <row r="90" spans="3:24">
      <c r="C90" s="266"/>
      <c r="E90" s="266"/>
      <c r="F90" s="266"/>
      <c r="G90" s="266"/>
      <c r="H90" s="866"/>
      <c r="I90" s="866"/>
      <c r="J90" s="866"/>
      <c r="K90" s="866"/>
      <c r="L90" s="866"/>
      <c r="M90" s="866"/>
      <c r="N90" s="866"/>
      <c r="O90" s="866"/>
      <c r="P90" s="866"/>
      <c r="Q90" s="866"/>
      <c r="R90" s="866"/>
      <c r="S90" s="866"/>
      <c r="T90" s="867"/>
      <c r="U90" s="867"/>
      <c r="V90" s="867"/>
      <c r="W90" s="266"/>
      <c r="X90" s="266"/>
    </row>
    <row r="91" spans="3:24">
      <c r="C91" s="266"/>
      <c r="E91" s="266"/>
      <c r="F91" s="266"/>
      <c r="G91" s="266"/>
      <c r="H91" s="866"/>
      <c r="I91" s="866"/>
      <c r="J91" s="866"/>
      <c r="K91" s="866"/>
      <c r="L91" s="866"/>
      <c r="M91" s="866"/>
      <c r="N91" s="866"/>
      <c r="O91" s="866"/>
      <c r="P91" s="866"/>
      <c r="Q91" s="866"/>
      <c r="R91" s="866"/>
      <c r="S91" s="866"/>
      <c r="T91" s="867"/>
      <c r="U91" s="867"/>
      <c r="V91" s="867"/>
      <c r="W91" s="266"/>
      <c r="X91" s="266"/>
    </row>
    <row r="92" spans="3:24">
      <c r="C92" s="266"/>
      <c r="E92" s="266"/>
      <c r="F92" s="266"/>
      <c r="G92" s="266"/>
      <c r="H92" s="866"/>
      <c r="I92" s="866"/>
      <c r="J92" s="866"/>
      <c r="K92" s="866"/>
      <c r="L92" s="866"/>
      <c r="M92" s="866"/>
      <c r="N92" s="866"/>
      <c r="O92" s="866"/>
      <c r="P92" s="866"/>
      <c r="Q92" s="866"/>
      <c r="R92" s="866"/>
      <c r="S92" s="866"/>
      <c r="T92" s="867"/>
      <c r="U92" s="867"/>
      <c r="V92" s="867"/>
      <c r="W92" s="266"/>
      <c r="X92" s="266"/>
    </row>
    <row r="93" spans="3:24">
      <c r="C93" s="266"/>
      <c r="E93" s="266"/>
      <c r="F93" s="266"/>
      <c r="G93" s="266"/>
      <c r="H93" s="866"/>
      <c r="I93" s="866"/>
      <c r="J93" s="866"/>
      <c r="K93" s="866"/>
      <c r="L93" s="866"/>
      <c r="M93" s="866"/>
      <c r="N93" s="866"/>
      <c r="O93" s="866"/>
      <c r="P93" s="866"/>
      <c r="Q93" s="866"/>
      <c r="R93" s="866"/>
      <c r="S93" s="866"/>
      <c r="T93" s="867"/>
      <c r="U93" s="867"/>
      <c r="V93" s="867"/>
      <c r="W93" s="266"/>
      <c r="X93" s="266"/>
    </row>
    <row r="94" spans="3:24">
      <c r="C94" s="266"/>
      <c r="E94" s="266"/>
      <c r="F94" s="266"/>
      <c r="G94" s="266"/>
      <c r="H94" s="866"/>
      <c r="I94" s="866"/>
      <c r="J94" s="866"/>
      <c r="K94" s="866"/>
      <c r="L94" s="866"/>
      <c r="M94" s="866"/>
      <c r="N94" s="866"/>
      <c r="O94" s="866"/>
      <c r="P94" s="866"/>
      <c r="Q94" s="866"/>
      <c r="R94" s="866"/>
      <c r="S94" s="866"/>
      <c r="T94" s="867"/>
      <c r="U94" s="867"/>
      <c r="V94" s="867"/>
      <c r="W94" s="266"/>
      <c r="X94" s="266"/>
    </row>
    <row r="95" spans="3:24">
      <c r="C95" s="266"/>
      <c r="E95" s="266"/>
      <c r="F95" s="266"/>
      <c r="G95" s="266"/>
      <c r="H95" s="866"/>
      <c r="I95" s="866"/>
      <c r="J95" s="866"/>
      <c r="K95" s="866"/>
      <c r="L95" s="866"/>
      <c r="M95" s="866"/>
      <c r="N95" s="866"/>
      <c r="O95" s="866"/>
      <c r="P95" s="866"/>
      <c r="Q95" s="866"/>
      <c r="R95" s="866"/>
      <c r="S95" s="866"/>
      <c r="T95" s="867"/>
      <c r="U95" s="867"/>
      <c r="V95" s="867"/>
      <c r="W95" s="266"/>
      <c r="X95" s="266"/>
    </row>
    <row r="96" spans="3:24">
      <c r="C96" s="266"/>
      <c r="E96" s="266"/>
      <c r="F96" s="266"/>
      <c r="G96" s="266"/>
      <c r="H96" s="866"/>
      <c r="I96" s="866"/>
      <c r="J96" s="866"/>
      <c r="K96" s="866"/>
      <c r="L96" s="866"/>
      <c r="M96" s="866"/>
      <c r="N96" s="866"/>
      <c r="O96" s="866"/>
      <c r="P96" s="866"/>
      <c r="Q96" s="866"/>
      <c r="R96" s="866"/>
      <c r="S96" s="866"/>
      <c r="T96" s="867"/>
      <c r="U96" s="867"/>
      <c r="V96" s="867"/>
      <c r="W96" s="266"/>
      <c r="X96" s="266"/>
    </row>
    <row r="97" spans="3:24">
      <c r="C97" s="266"/>
      <c r="E97" s="266"/>
      <c r="F97" s="266"/>
      <c r="G97" s="266"/>
      <c r="H97" s="866"/>
      <c r="I97" s="866"/>
      <c r="J97" s="866"/>
      <c r="K97" s="866"/>
      <c r="L97" s="866"/>
      <c r="M97" s="866"/>
      <c r="N97" s="866"/>
      <c r="O97" s="866"/>
      <c r="P97" s="866"/>
      <c r="Q97" s="866"/>
      <c r="R97" s="866"/>
      <c r="S97" s="866"/>
      <c r="T97" s="867"/>
      <c r="U97" s="867"/>
      <c r="V97" s="867"/>
      <c r="W97" s="266"/>
      <c r="X97" s="266"/>
    </row>
    <row r="98" spans="3:24">
      <c r="C98" s="266"/>
      <c r="E98" s="266"/>
      <c r="F98" s="266"/>
      <c r="G98" s="266"/>
      <c r="H98" s="866"/>
      <c r="I98" s="866"/>
      <c r="J98" s="866"/>
      <c r="K98" s="866"/>
      <c r="L98" s="866"/>
      <c r="M98" s="866"/>
      <c r="N98" s="866"/>
      <c r="O98" s="866"/>
      <c r="P98" s="866"/>
      <c r="Q98" s="866"/>
      <c r="R98" s="866"/>
      <c r="S98" s="866"/>
      <c r="T98" s="867"/>
      <c r="U98" s="867"/>
      <c r="V98" s="867"/>
      <c r="W98" s="266"/>
      <c r="X98" s="266"/>
    </row>
    <row r="99" spans="3:24">
      <c r="C99" s="266"/>
      <c r="E99" s="266"/>
      <c r="F99" s="266"/>
      <c r="G99" s="266"/>
      <c r="H99" s="866"/>
      <c r="I99" s="866"/>
      <c r="J99" s="866"/>
      <c r="K99" s="866"/>
      <c r="L99" s="866"/>
      <c r="M99" s="866"/>
      <c r="N99" s="866"/>
      <c r="O99" s="866"/>
      <c r="P99" s="866"/>
      <c r="Q99" s="866"/>
      <c r="R99" s="866"/>
      <c r="S99" s="866"/>
      <c r="T99" s="867"/>
      <c r="U99" s="867"/>
      <c r="V99" s="867"/>
      <c r="W99" s="266"/>
      <c r="X99" s="266"/>
    </row>
    <row r="100" spans="3:24">
      <c r="C100" s="266"/>
      <c r="E100" s="266"/>
      <c r="F100" s="266"/>
      <c r="G100" s="266"/>
      <c r="H100" s="866"/>
      <c r="I100" s="866"/>
      <c r="J100" s="866"/>
      <c r="K100" s="866"/>
      <c r="L100" s="866"/>
      <c r="M100" s="866"/>
      <c r="N100" s="866"/>
      <c r="O100" s="866"/>
      <c r="P100" s="866"/>
      <c r="Q100" s="866"/>
      <c r="R100" s="866"/>
      <c r="S100" s="866"/>
      <c r="T100" s="867"/>
      <c r="U100" s="867"/>
      <c r="V100" s="867"/>
      <c r="W100" s="266"/>
      <c r="X100" s="266"/>
    </row>
    <row r="101" spans="3:24">
      <c r="C101" s="266"/>
      <c r="E101" s="266"/>
      <c r="F101" s="266"/>
      <c r="G101" s="266"/>
      <c r="H101" s="866"/>
      <c r="I101" s="866"/>
      <c r="J101" s="866"/>
      <c r="K101" s="866"/>
      <c r="L101" s="866"/>
      <c r="M101" s="866"/>
      <c r="N101" s="866"/>
      <c r="O101" s="866"/>
      <c r="P101" s="866"/>
      <c r="Q101" s="866"/>
      <c r="R101" s="866"/>
      <c r="S101" s="866"/>
      <c r="T101" s="867"/>
      <c r="U101" s="867"/>
      <c r="V101" s="867"/>
      <c r="W101" s="266"/>
      <c r="X101" s="266"/>
    </row>
    <row r="102" spans="3:24">
      <c r="C102" s="266"/>
      <c r="E102" s="266"/>
      <c r="F102" s="266"/>
      <c r="G102" s="266"/>
      <c r="H102" s="866"/>
      <c r="I102" s="866"/>
      <c r="J102" s="866"/>
      <c r="K102" s="866"/>
      <c r="L102" s="866"/>
      <c r="M102" s="866"/>
      <c r="N102" s="866"/>
      <c r="O102" s="866"/>
      <c r="P102" s="866"/>
      <c r="Q102" s="866"/>
      <c r="R102" s="866"/>
      <c r="S102" s="866"/>
      <c r="T102" s="867"/>
      <c r="U102" s="867"/>
      <c r="V102" s="867"/>
      <c r="W102" s="266"/>
      <c r="X102" s="266"/>
    </row>
    <row r="103" spans="3:24">
      <c r="C103" s="266"/>
      <c r="E103" s="266"/>
      <c r="F103" s="266"/>
      <c r="G103" s="266"/>
      <c r="H103" s="866"/>
      <c r="I103" s="866"/>
      <c r="J103" s="866"/>
      <c r="K103" s="866"/>
      <c r="L103" s="866"/>
      <c r="M103" s="866"/>
      <c r="N103" s="866"/>
      <c r="O103" s="866"/>
      <c r="P103" s="866"/>
      <c r="Q103" s="866"/>
      <c r="R103" s="866"/>
      <c r="S103" s="866"/>
      <c r="T103" s="867"/>
      <c r="U103" s="867"/>
      <c r="V103" s="867"/>
      <c r="W103" s="266"/>
      <c r="X103" s="266"/>
    </row>
    <row r="104" spans="3:24">
      <c r="C104" s="266"/>
      <c r="E104" s="266"/>
      <c r="F104" s="266"/>
      <c r="G104" s="266"/>
      <c r="H104" s="866"/>
      <c r="I104" s="866"/>
      <c r="J104" s="866"/>
      <c r="K104" s="866"/>
      <c r="L104" s="866"/>
      <c r="M104" s="866"/>
      <c r="N104" s="866"/>
      <c r="O104" s="866"/>
      <c r="P104" s="866"/>
      <c r="Q104" s="866"/>
      <c r="R104" s="866"/>
      <c r="S104" s="866"/>
      <c r="T104" s="867"/>
      <c r="U104" s="867"/>
      <c r="V104" s="867"/>
      <c r="W104" s="266"/>
      <c r="X104" s="266"/>
    </row>
    <row r="105" spans="3:24">
      <c r="C105" s="266"/>
      <c r="E105" s="266"/>
      <c r="F105" s="266"/>
      <c r="G105" s="266"/>
      <c r="H105" s="866"/>
      <c r="I105" s="866"/>
      <c r="J105" s="866"/>
      <c r="K105" s="866"/>
      <c r="L105" s="866"/>
      <c r="M105" s="866"/>
      <c r="N105" s="866"/>
      <c r="O105" s="866"/>
      <c r="P105" s="866"/>
      <c r="Q105" s="866"/>
      <c r="R105" s="866"/>
      <c r="S105" s="866"/>
      <c r="T105" s="867"/>
      <c r="U105" s="867"/>
      <c r="V105" s="867"/>
      <c r="W105" s="266"/>
      <c r="X105" s="266"/>
    </row>
    <row r="106" spans="3:24">
      <c r="C106" s="266"/>
      <c r="E106" s="266"/>
      <c r="F106" s="266"/>
      <c r="G106" s="266"/>
      <c r="H106" s="866"/>
      <c r="I106" s="866"/>
      <c r="J106" s="866"/>
      <c r="K106" s="866"/>
      <c r="L106" s="866"/>
      <c r="M106" s="866"/>
      <c r="N106" s="866"/>
      <c r="O106" s="866"/>
      <c r="P106" s="866"/>
      <c r="Q106" s="866"/>
      <c r="R106" s="866"/>
      <c r="S106" s="866"/>
      <c r="T106" s="867"/>
      <c r="U106" s="867"/>
      <c r="V106" s="867"/>
      <c r="W106" s="266"/>
      <c r="X106" s="266"/>
    </row>
    <row r="107" spans="3:24">
      <c r="C107" s="266"/>
      <c r="E107" s="266"/>
      <c r="F107" s="266"/>
      <c r="G107" s="266"/>
      <c r="H107" s="866"/>
      <c r="I107" s="866"/>
      <c r="J107" s="866"/>
      <c r="K107" s="866"/>
      <c r="L107" s="866"/>
      <c r="M107" s="866"/>
      <c r="N107" s="866"/>
      <c r="O107" s="866"/>
      <c r="P107" s="866"/>
      <c r="Q107" s="866"/>
      <c r="R107" s="866"/>
      <c r="S107" s="866"/>
      <c r="T107" s="867"/>
      <c r="U107" s="867"/>
      <c r="V107" s="867"/>
      <c r="W107" s="266"/>
      <c r="X107" s="266"/>
    </row>
    <row r="108" spans="3:24">
      <c r="C108" s="266"/>
      <c r="E108" s="266"/>
      <c r="F108" s="266"/>
      <c r="G108" s="266"/>
      <c r="H108" s="866"/>
      <c r="I108" s="866"/>
      <c r="J108" s="866"/>
      <c r="K108" s="866"/>
      <c r="L108" s="866"/>
      <c r="M108" s="866"/>
      <c r="N108" s="866"/>
      <c r="O108" s="866"/>
      <c r="P108" s="866"/>
      <c r="Q108" s="866"/>
      <c r="R108" s="866"/>
      <c r="S108" s="866"/>
      <c r="T108" s="867"/>
      <c r="U108" s="867"/>
      <c r="V108" s="867"/>
      <c r="W108" s="266"/>
      <c r="X108" s="266"/>
    </row>
    <row r="109" spans="3:24">
      <c r="C109" s="266"/>
      <c r="E109" s="266"/>
      <c r="F109" s="266"/>
      <c r="G109" s="266"/>
      <c r="H109" s="866"/>
      <c r="I109" s="866"/>
      <c r="J109" s="866"/>
      <c r="K109" s="866"/>
      <c r="L109" s="866"/>
      <c r="M109" s="866"/>
      <c r="N109" s="866"/>
      <c r="O109" s="866"/>
      <c r="P109" s="866"/>
      <c r="Q109" s="866"/>
      <c r="R109" s="866"/>
      <c r="S109" s="866"/>
      <c r="T109" s="867"/>
      <c r="U109" s="867"/>
      <c r="V109" s="867"/>
      <c r="W109" s="266"/>
      <c r="X109" s="266"/>
    </row>
    <row r="110" spans="3:24">
      <c r="C110" s="266"/>
      <c r="E110" s="266"/>
      <c r="F110" s="266"/>
      <c r="G110" s="266"/>
      <c r="H110" s="866"/>
      <c r="I110" s="866"/>
      <c r="J110" s="866"/>
      <c r="K110" s="866"/>
      <c r="L110" s="866"/>
      <c r="M110" s="866"/>
      <c r="N110" s="866"/>
      <c r="O110" s="866"/>
      <c r="P110" s="866"/>
      <c r="Q110" s="866"/>
      <c r="R110" s="866"/>
      <c r="S110" s="866"/>
      <c r="T110" s="867"/>
      <c r="U110" s="867"/>
      <c r="V110" s="867"/>
      <c r="W110" s="266"/>
      <c r="X110" s="266"/>
    </row>
    <row r="111" spans="3:24">
      <c r="C111" s="266"/>
      <c r="E111" s="266"/>
      <c r="F111" s="266"/>
      <c r="G111" s="266"/>
      <c r="H111" s="866"/>
      <c r="I111" s="866"/>
      <c r="J111" s="866"/>
      <c r="K111" s="866"/>
      <c r="L111" s="866"/>
      <c r="M111" s="866"/>
      <c r="N111" s="866"/>
      <c r="O111" s="866"/>
      <c r="P111" s="866"/>
      <c r="Q111" s="866"/>
      <c r="R111" s="866"/>
      <c r="S111" s="866"/>
      <c r="T111" s="867"/>
      <c r="U111" s="867"/>
      <c r="V111" s="867"/>
      <c r="W111" s="266"/>
      <c r="X111" s="266"/>
    </row>
    <row r="112" spans="3:24">
      <c r="C112" s="266"/>
      <c r="E112" s="266"/>
      <c r="F112" s="266"/>
      <c r="G112" s="266"/>
      <c r="H112" s="866"/>
      <c r="I112" s="866"/>
      <c r="J112" s="866"/>
      <c r="K112" s="866"/>
      <c r="L112" s="866"/>
      <c r="M112" s="866"/>
      <c r="N112" s="866"/>
      <c r="O112" s="866"/>
      <c r="P112" s="866"/>
      <c r="Q112" s="866"/>
      <c r="R112" s="866"/>
      <c r="S112" s="866"/>
      <c r="T112" s="867"/>
      <c r="U112" s="867"/>
      <c r="V112" s="867"/>
      <c r="W112" s="266"/>
      <c r="X112" s="266"/>
    </row>
    <row r="113" spans="3:24">
      <c r="C113" s="266"/>
      <c r="E113" s="266"/>
      <c r="F113" s="266"/>
      <c r="G113" s="266"/>
      <c r="H113" s="866"/>
      <c r="I113" s="866"/>
      <c r="J113" s="866"/>
      <c r="K113" s="866"/>
      <c r="L113" s="866"/>
      <c r="M113" s="866"/>
      <c r="N113" s="866"/>
      <c r="O113" s="866"/>
      <c r="P113" s="866"/>
      <c r="Q113" s="866"/>
      <c r="R113" s="866"/>
      <c r="S113" s="866"/>
      <c r="T113" s="867"/>
      <c r="U113" s="867"/>
      <c r="V113" s="867"/>
      <c r="W113" s="266"/>
      <c r="X113" s="266"/>
    </row>
    <row r="114" spans="3:24">
      <c r="C114" s="266"/>
      <c r="E114" s="266"/>
      <c r="F114" s="266"/>
      <c r="G114" s="266"/>
      <c r="H114" s="866"/>
      <c r="I114" s="866"/>
      <c r="J114" s="866"/>
      <c r="K114" s="866"/>
      <c r="L114" s="866"/>
      <c r="M114" s="866"/>
      <c r="N114" s="866"/>
      <c r="O114" s="866"/>
      <c r="P114" s="866"/>
      <c r="Q114" s="866"/>
      <c r="R114" s="866"/>
      <c r="S114" s="866"/>
      <c r="T114" s="867"/>
      <c r="U114" s="867"/>
      <c r="V114" s="867"/>
      <c r="W114" s="266"/>
      <c r="X114" s="266"/>
    </row>
    <row r="115" spans="3:24">
      <c r="C115" s="266"/>
      <c r="E115" s="266"/>
      <c r="F115" s="266"/>
      <c r="G115" s="266"/>
      <c r="H115" s="866"/>
      <c r="I115" s="866"/>
      <c r="J115" s="866"/>
      <c r="K115" s="866"/>
      <c r="L115" s="866"/>
      <c r="M115" s="866"/>
      <c r="N115" s="866"/>
      <c r="O115" s="866"/>
      <c r="P115" s="866"/>
      <c r="Q115" s="866"/>
      <c r="R115" s="866"/>
      <c r="S115" s="866"/>
      <c r="T115" s="867"/>
      <c r="U115" s="867"/>
      <c r="V115" s="867"/>
      <c r="W115" s="266"/>
      <c r="X115" s="266"/>
    </row>
    <row r="116" spans="3:24">
      <c r="C116" s="266"/>
      <c r="E116" s="266"/>
      <c r="F116" s="266"/>
      <c r="G116" s="266"/>
      <c r="H116" s="866"/>
      <c r="I116" s="866"/>
      <c r="J116" s="866"/>
      <c r="K116" s="866"/>
      <c r="L116" s="866"/>
      <c r="M116" s="866"/>
      <c r="N116" s="866"/>
      <c r="O116" s="866"/>
      <c r="P116" s="866"/>
      <c r="Q116" s="866"/>
      <c r="R116" s="866"/>
      <c r="S116" s="866"/>
      <c r="T116" s="867"/>
      <c r="U116" s="867"/>
      <c r="V116" s="867"/>
      <c r="W116" s="266"/>
      <c r="X116" s="266"/>
    </row>
    <row r="117" spans="3:24">
      <c r="C117" s="266"/>
      <c r="E117" s="266"/>
      <c r="F117" s="266"/>
      <c r="G117" s="266"/>
      <c r="H117" s="866"/>
      <c r="I117" s="866"/>
      <c r="J117" s="866"/>
      <c r="K117" s="866"/>
      <c r="L117" s="866"/>
      <c r="M117" s="866"/>
      <c r="N117" s="866"/>
      <c r="O117" s="866"/>
      <c r="P117" s="866"/>
      <c r="Q117" s="866"/>
      <c r="R117" s="866"/>
      <c r="S117" s="866"/>
      <c r="T117" s="867"/>
      <c r="U117" s="867"/>
      <c r="V117" s="867"/>
      <c r="W117" s="266"/>
      <c r="X117" s="266"/>
    </row>
    <row r="118" spans="3:24">
      <c r="C118" s="266"/>
      <c r="E118" s="266"/>
      <c r="F118" s="266"/>
      <c r="G118" s="266"/>
      <c r="H118" s="866"/>
      <c r="I118" s="866"/>
      <c r="J118" s="866"/>
      <c r="K118" s="866"/>
      <c r="L118" s="866"/>
      <c r="M118" s="866"/>
      <c r="N118" s="866"/>
      <c r="O118" s="866"/>
      <c r="P118" s="866"/>
      <c r="Q118" s="866"/>
      <c r="R118" s="866"/>
      <c r="S118" s="866"/>
      <c r="T118" s="867"/>
      <c r="U118" s="867"/>
      <c r="V118" s="867"/>
      <c r="W118" s="266"/>
      <c r="X118" s="266"/>
    </row>
    <row r="119" spans="3:24">
      <c r="C119" s="266"/>
      <c r="E119" s="266"/>
      <c r="F119" s="266"/>
      <c r="G119" s="266"/>
      <c r="H119" s="866"/>
      <c r="I119" s="866"/>
      <c r="J119" s="866"/>
      <c r="K119" s="866"/>
      <c r="L119" s="866"/>
      <c r="M119" s="866"/>
      <c r="N119" s="866"/>
      <c r="O119" s="866"/>
      <c r="P119" s="866"/>
      <c r="Q119" s="866"/>
      <c r="R119" s="866"/>
      <c r="S119" s="866"/>
      <c r="T119" s="867"/>
      <c r="U119" s="867"/>
      <c r="V119" s="867"/>
      <c r="W119" s="266"/>
      <c r="X119" s="266"/>
    </row>
    <row r="120" spans="3:24">
      <c r="C120" s="266"/>
      <c r="E120" s="266"/>
      <c r="F120" s="266"/>
      <c r="G120" s="266"/>
      <c r="H120" s="866"/>
      <c r="I120" s="866"/>
      <c r="J120" s="866"/>
      <c r="K120" s="866"/>
      <c r="L120" s="866"/>
      <c r="M120" s="866"/>
      <c r="N120" s="866"/>
      <c r="O120" s="866"/>
      <c r="P120" s="866"/>
      <c r="Q120" s="866"/>
      <c r="R120" s="866"/>
      <c r="S120" s="866"/>
      <c r="T120" s="867"/>
      <c r="U120" s="867"/>
      <c r="V120" s="867"/>
      <c r="W120" s="266"/>
      <c r="X120" s="266"/>
    </row>
    <row r="121" spans="3:24">
      <c r="C121" s="266"/>
      <c r="E121" s="266"/>
      <c r="F121" s="266"/>
      <c r="G121" s="266"/>
      <c r="H121" s="866"/>
      <c r="I121" s="866"/>
      <c r="J121" s="866"/>
      <c r="K121" s="866"/>
      <c r="L121" s="866"/>
      <c r="M121" s="866"/>
      <c r="N121" s="866"/>
      <c r="O121" s="866"/>
      <c r="P121" s="866"/>
      <c r="Q121" s="866"/>
      <c r="R121" s="866"/>
      <c r="S121" s="866"/>
      <c r="T121" s="867"/>
      <c r="U121" s="867"/>
      <c r="V121" s="867"/>
      <c r="W121" s="266"/>
      <c r="X121" s="266"/>
    </row>
    <row r="122" spans="3:24">
      <c r="C122" s="266"/>
      <c r="E122" s="266"/>
      <c r="F122" s="266"/>
      <c r="G122" s="266"/>
      <c r="H122" s="866"/>
      <c r="I122" s="866"/>
      <c r="J122" s="866"/>
      <c r="K122" s="866"/>
      <c r="L122" s="866"/>
      <c r="M122" s="866"/>
      <c r="N122" s="866"/>
      <c r="O122" s="866"/>
      <c r="P122" s="866"/>
      <c r="Q122" s="866"/>
      <c r="R122" s="866"/>
      <c r="S122" s="866"/>
      <c r="T122" s="867"/>
      <c r="U122" s="867"/>
      <c r="V122" s="867"/>
      <c r="W122" s="266"/>
      <c r="X122" s="266"/>
    </row>
  </sheetData>
  <customSheetViews>
    <customSheetView guid="{B32447E2-AB5B-4CBB-881B-FF11349CA4D6}" fitToPage="1" hiddenRows="1" hiddenColumns="1">
      <pane xSplit="6" ySplit="9" topLeftCell="G10" activePane="bottomRight" state="frozen"/>
      <selection pane="bottomRight" activeCell="B63" sqref="B63"/>
      <pageMargins left="0" right="0" top="0" bottom="0" header="0" footer="0"/>
      <pageSetup paperSize="9" scale="35" fitToHeight="0" orientation="landscape" r:id="rId1"/>
      <headerFooter scaleWithDoc="0" alignWithMargins="0">
        <oddFooter>&amp;C&amp;8&amp;P</oddFooter>
      </headerFooter>
    </customSheetView>
    <customSheetView guid="{9FA74287-E657-475B-BF4B-3C8C757714AE}" fitToPage="1" hiddenRows="1" hiddenColumns="1">
      <pane xSplit="6" ySplit="9" topLeftCell="G10" activePane="bottomRight" state="frozen"/>
      <selection pane="bottomRight" activeCell="B63" sqref="B63"/>
      <pageMargins left="0" right="0" top="0" bottom="0" header="0" footer="0"/>
      <pageSetup paperSize="9" scale="35" fitToHeight="0" orientation="landscape" r:id="rId2"/>
      <headerFooter scaleWithDoc="0" alignWithMargins="0">
        <oddFooter>&amp;C&amp;8&amp;P</oddFooter>
      </headerFooter>
    </customSheetView>
    <customSheetView guid="{54A7C567-FA7D-467E-B353-ECB5E61AE756}" fitToPage="1" hiddenRows="1" hiddenColumns="1">
      <selection activeCell="G33" sqref="G33"/>
      <pageMargins left="0" right="0" top="0" bottom="0" header="0" footer="0"/>
      <pageSetup paperSize="9" scale="35" fitToHeight="0" orientation="landscape" r:id="rId3"/>
      <headerFooter scaleWithDoc="0" alignWithMargins="0">
        <oddFooter>&amp;C&amp;8&amp;P</oddFooter>
      </headerFooter>
    </customSheetView>
  </customSheetViews>
  <mergeCells count="19">
    <mergeCell ref="E4:E6"/>
    <mergeCell ref="F4:G4"/>
    <mergeCell ref="H4:J4"/>
    <mergeCell ref="T6:V6"/>
    <mergeCell ref="Q10:S10"/>
    <mergeCell ref="T4:V4"/>
    <mergeCell ref="X4:X6"/>
    <mergeCell ref="A5:A6"/>
    <mergeCell ref="D5:D6"/>
    <mergeCell ref="H5:J6"/>
    <mergeCell ref="K5:M5"/>
    <mergeCell ref="N5:P5"/>
    <mergeCell ref="Q5:S5"/>
    <mergeCell ref="T5:V5"/>
    <mergeCell ref="K6:M6"/>
    <mergeCell ref="K4:S4"/>
    <mergeCell ref="N6:P6"/>
    <mergeCell ref="Q6:S6"/>
    <mergeCell ref="C4:C6"/>
  </mergeCells>
  <conditionalFormatting sqref="H11:V32">
    <cfRule type="cellIs" dxfId="78" priority="16" operator="equal">
      <formula>0</formula>
    </cfRule>
    <cfRule type="cellIs" dxfId="77" priority="17" operator="greaterThan">
      <formula>100</formula>
    </cfRule>
    <cfRule type="cellIs" dxfId="76" priority="18" operator="between">
      <formula>10</formula>
      <formula>100</formula>
    </cfRule>
    <cfRule type="cellIs" dxfId="75" priority="19" operator="between">
      <formula>1</formula>
      <formula>10</formula>
    </cfRule>
    <cfRule type="cellIs" dxfId="74" priority="20" operator="lessThan">
      <formula>1</formula>
    </cfRule>
  </conditionalFormatting>
  <conditionalFormatting sqref="H34:V45">
    <cfRule type="cellIs" dxfId="73" priority="11" operator="equal">
      <formula>0</formula>
    </cfRule>
    <cfRule type="cellIs" dxfId="72" priority="12" operator="greaterThan">
      <formula>100</formula>
    </cfRule>
    <cfRule type="cellIs" dxfId="71" priority="13" operator="between">
      <formula>10</formula>
      <formula>100</formula>
    </cfRule>
    <cfRule type="cellIs" dxfId="70" priority="14" operator="between">
      <formula>1</formula>
      <formula>10</formula>
    </cfRule>
    <cfRule type="cellIs" dxfId="69" priority="15" operator="lessThan">
      <formula>1</formula>
    </cfRule>
  </conditionalFormatting>
  <conditionalFormatting sqref="H47:V49">
    <cfRule type="cellIs" dxfId="68" priority="6" operator="equal">
      <formula>0</formula>
    </cfRule>
    <cfRule type="cellIs" dxfId="67" priority="7" operator="greaterThan">
      <formula>100</formula>
    </cfRule>
    <cfRule type="cellIs" dxfId="66" priority="8" operator="between">
      <formula>10</formula>
      <formula>100</formula>
    </cfRule>
    <cfRule type="cellIs" dxfId="65" priority="9" operator="between">
      <formula>1</formula>
      <formula>10</formula>
    </cfRule>
    <cfRule type="cellIs" dxfId="64" priority="10" operator="lessThan">
      <formula>1</formula>
    </cfRule>
  </conditionalFormatting>
  <conditionalFormatting sqref="H51:V78">
    <cfRule type="cellIs" dxfId="63" priority="1" operator="equal">
      <formula>0</formula>
    </cfRule>
    <cfRule type="cellIs" dxfId="62" priority="2" operator="greaterThan">
      <formula>100</formula>
    </cfRule>
    <cfRule type="cellIs" dxfId="61" priority="3" operator="between">
      <formula>10</formula>
      <formula>100</formula>
    </cfRule>
    <cfRule type="cellIs" dxfId="60" priority="4" operator="between">
      <formula>1</formula>
      <formula>10</formula>
    </cfRule>
    <cfRule type="cellIs" dxfId="59" priority="5" operator="lessThan">
      <formula>1</formula>
    </cfRule>
  </conditionalFormatting>
  <pageMargins left="0" right="0" top="0" bottom="0" header="0" footer="0"/>
  <pageSetup paperSize="9" scale="35" fitToHeight="0" orientation="landscape" r:id="rId4"/>
  <headerFooter scaleWithDoc="0" alignWithMargins="0">
    <oddFooter>&amp;C&amp;8&amp;P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A2415-9516-4662-9185-5085F808DA2F}">
  <sheetPr codeName="Feuil2">
    <pageSetUpPr fitToPage="1"/>
  </sheetPr>
  <dimension ref="A1:X95"/>
  <sheetViews>
    <sheetView workbookViewId="0">
      <selection activeCell="I14" sqref="I14"/>
    </sheetView>
  </sheetViews>
  <sheetFormatPr baseColWidth="10" defaultColWidth="11" defaultRowHeight="15.75"/>
  <cols>
    <col min="1" max="1" width="3.125" style="279" customWidth="1"/>
    <col min="2" max="2" width="11" style="279" customWidth="1"/>
    <col min="3" max="12" width="11" style="279"/>
    <col min="13" max="13" width="24" style="279" customWidth="1"/>
    <col min="14" max="24" width="11" style="279"/>
  </cols>
  <sheetData>
    <row r="1" spans="1:22" s="279" customFormat="1" ht="36.75" customHeight="1">
      <c r="A1" s="1495" t="s">
        <v>0</v>
      </c>
      <c r="B1" s="1495"/>
      <c r="C1" s="1495"/>
      <c r="D1" s="1495"/>
      <c r="E1" s="1495"/>
      <c r="F1" s="1495"/>
      <c r="G1" s="1495"/>
      <c r="H1" s="1495"/>
      <c r="I1" s="1495"/>
      <c r="J1" s="1495"/>
      <c r="K1" s="1495"/>
      <c r="L1" s="1495"/>
      <c r="M1" s="1495"/>
      <c r="N1" s="1495"/>
      <c r="O1" s="1495"/>
      <c r="V1" s="1065"/>
    </row>
    <row r="2" spans="1:22" s="279" customFormat="1"/>
    <row r="3" spans="1:22" s="279" customFormat="1">
      <c r="B3" s="1064" t="s">
        <v>15</v>
      </c>
    </row>
    <row r="4" spans="1:22" s="279" customFormat="1">
      <c r="B4" s="279" t="s">
        <v>3796</v>
      </c>
    </row>
    <row r="5" spans="1:22" s="279" customFormat="1">
      <c r="B5" s="279" t="s">
        <v>3824</v>
      </c>
    </row>
    <row r="6" spans="1:22" s="279" customFormat="1">
      <c r="B6" s="279" t="s">
        <v>3825</v>
      </c>
    </row>
    <row r="7" spans="1:22" s="279" customFormat="1"/>
    <row r="8" spans="1:22" s="279" customFormat="1">
      <c r="B8" s="1064" t="s">
        <v>16</v>
      </c>
    </row>
    <row r="9" spans="1:22" s="279" customFormat="1"/>
    <row r="10" spans="1:22" s="279" customFormat="1">
      <c r="B10" s="279" t="s">
        <v>17</v>
      </c>
    </row>
    <row r="11" spans="1:22" s="279" customFormat="1"/>
    <row r="12" spans="1:22" s="279" customFormat="1">
      <c r="B12" s="279" t="s">
        <v>18</v>
      </c>
      <c r="N12" s="1496" t="s">
        <v>19</v>
      </c>
      <c r="O12" s="1496"/>
      <c r="P12" s="1496"/>
    </row>
    <row r="13" spans="1:22" s="279" customFormat="1"/>
    <row r="14" spans="1:22" s="279" customFormat="1">
      <c r="B14" s="279" t="s">
        <v>20</v>
      </c>
    </row>
    <row r="15" spans="1:22" s="279" customFormat="1">
      <c r="B15" s="279" t="s">
        <v>3797</v>
      </c>
      <c r="N15" s="1494" t="s">
        <v>21</v>
      </c>
      <c r="O15" s="1494"/>
      <c r="P15" s="1494"/>
    </row>
    <row r="16" spans="1:22" s="279" customFormat="1"/>
    <row r="17" spans="2:2" s="279" customFormat="1"/>
    <row r="18" spans="2:2" s="279" customFormat="1">
      <c r="B18" s="1064" t="s">
        <v>22</v>
      </c>
    </row>
    <row r="19" spans="2:2" s="279" customFormat="1"/>
    <row r="20" spans="2:2" s="279" customFormat="1">
      <c r="B20" s="279" t="s">
        <v>3798</v>
      </c>
    </row>
    <row r="21" spans="2:2" s="279" customFormat="1">
      <c r="B21" s="279" t="s">
        <v>3799</v>
      </c>
    </row>
    <row r="22" spans="2:2" s="279" customFormat="1">
      <c r="B22" s="279" t="s">
        <v>23</v>
      </c>
    </row>
    <row r="23" spans="2:2" s="279" customFormat="1">
      <c r="B23" s="279" t="s">
        <v>24</v>
      </c>
    </row>
    <row r="24" spans="2:2" s="279" customFormat="1">
      <c r="B24" s="279" t="s">
        <v>25</v>
      </c>
    </row>
    <row r="25" spans="2:2" s="279" customFormat="1"/>
    <row r="26" spans="2:2" s="279" customFormat="1">
      <c r="B26" s="279" t="s">
        <v>26</v>
      </c>
    </row>
    <row r="27" spans="2:2" s="279" customFormat="1">
      <c r="B27" s="279" t="s">
        <v>27</v>
      </c>
    </row>
    <row r="28" spans="2:2" s="279" customFormat="1"/>
    <row r="29" spans="2:2" s="279" customFormat="1">
      <c r="B29" s="279" t="s">
        <v>28</v>
      </c>
    </row>
    <row r="30" spans="2:2" s="279" customFormat="1"/>
    <row r="31" spans="2:2" s="279" customFormat="1">
      <c r="B31" s="1203" t="s">
        <v>29</v>
      </c>
    </row>
    <row r="32" spans="2:2" s="279" customFormat="1"/>
    <row r="33" spans="2:2" s="279" customFormat="1">
      <c r="B33" s="279" t="s">
        <v>30</v>
      </c>
    </row>
    <row r="34" spans="2:2" s="279" customFormat="1">
      <c r="B34" s="279" t="s">
        <v>31</v>
      </c>
    </row>
    <row r="35" spans="2:2" s="279" customFormat="1">
      <c r="B35" s="279" t="s">
        <v>32</v>
      </c>
    </row>
    <row r="36" spans="2:2" s="279" customFormat="1"/>
    <row r="37" spans="2:2" s="279" customFormat="1">
      <c r="B37" s="1064" t="s">
        <v>33</v>
      </c>
    </row>
    <row r="38" spans="2:2" s="279" customFormat="1">
      <c r="B38" s="279" t="s">
        <v>34</v>
      </c>
    </row>
    <row r="39" spans="2:2" s="279" customFormat="1">
      <c r="B39" s="279" t="s">
        <v>3800</v>
      </c>
    </row>
    <row r="40" spans="2:2" s="279" customFormat="1">
      <c r="B40" s="279" t="s">
        <v>3801</v>
      </c>
    </row>
    <row r="41" spans="2:2" s="279" customFormat="1"/>
    <row r="42" spans="2:2" s="279" customFormat="1">
      <c r="B42" s="279" t="s">
        <v>35</v>
      </c>
    </row>
    <row r="43" spans="2:2" s="279" customFormat="1"/>
    <row r="44" spans="2:2" s="279" customFormat="1">
      <c r="B44" s="1064" t="s">
        <v>36</v>
      </c>
    </row>
    <row r="45" spans="2:2" s="279" customFormat="1">
      <c r="B45" s="1064"/>
    </row>
    <row r="46" spans="2:2" s="279" customFormat="1">
      <c r="B46" s="279" t="s">
        <v>37</v>
      </c>
    </row>
    <row r="47" spans="2:2" s="279" customFormat="1">
      <c r="B47" s="279" t="s">
        <v>3803</v>
      </c>
    </row>
    <row r="48" spans="2:2" s="279" customFormat="1">
      <c r="B48" s="279" t="s">
        <v>3804</v>
      </c>
    </row>
    <row r="49" spans="2:6" s="279" customFormat="1"/>
    <row r="50" spans="2:6" s="279" customFormat="1">
      <c r="B50" s="279" t="s">
        <v>38</v>
      </c>
    </row>
    <row r="51" spans="2:6" s="279" customFormat="1">
      <c r="C51" s="279" t="s">
        <v>39</v>
      </c>
      <c r="F51" s="279" t="s">
        <v>40</v>
      </c>
    </row>
    <row r="52" spans="2:6" s="279" customFormat="1">
      <c r="C52" s="279" t="s">
        <v>41</v>
      </c>
      <c r="F52" s="279" t="s">
        <v>42</v>
      </c>
    </row>
    <row r="53" spans="2:6" s="279" customFormat="1">
      <c r="C53" s="279" t="s">
        <v>43</v>
      </c>
    </row>
    <row r="54" spans="2:6" s="279" customFormat="1"/>
    <row r="55" spans="2:6" s="279" customFormat="1">
      <c r="B55" s="279" t="s">
        <v>44</v>
      </c>
    </row>
    <row r="56" spans="2:6" s="279" customFormat="1">
      <c r="C56" s="279" t="s">
        <v>45</v>
      </c>
      <c r="F56" s="279" t="s">
        <v>46</v>
      </c>
    </row>
    <row r="57" spans="2:6" s="279" customFormat="1">
      <c r="C57" s="279" t="s">
        <v>47</v>
      </c>
      <c r="F57" s="279" t="s">
        <v>48</v>
      </c>
    </row>
    <row r="58" spans="2:6" s="279" customFormat="1">
      <c r="C58" s="279" t="s">
        <v>49</v>
      </c>
      <c r="F58" s="279" t="s">
        <v>50</v>
      </c>
    </row>
    <row r="59" spans="2:6" s="279" customFormat="1">
      <c r="C59" s="279" t="s">
        <v>51</v>
      </c>
    </row>
    <row r="60" spans="2:6" s="279" customFormat="1"/>
    <row r="61" spans="2:6" s="279" customFormat="1">
      <c r="B61" s="279" t="s">
        <v>52</v>
      </c>
    </row>
    <row r="62" spans="2:6" s="279" customFormat="1">
      <c r="C62" s="279" t="s">
        <v>53</v>
      </c>
      <c r="F62" s="279" t="s">
        <v>54</v>
      </c>
    </row>
    <row r="63" spans="2:6" s="279" customFormat="1">
      <c r="C63" s="279" t="s">
        <v>55</v>
      </c>
      <c r="F63" s="279" t="s">
        <v>56</v>
      </c>
    </row>
    <row r="64" spans="2:6" s="279" customFormat="1">
      <c r="C64" s="279" t="s">
        <v>57</v>
      </c>
    </row>
    <row r="65" spans="2:2" s="279" customFormat="1"/>
    <row r="66" spans="2:2" s="279" customFormat="1"/>
    <row r="67" spans="2:2" s="279" customFormat="1">
      <c r="B67" s="1064" t="s">
        <v>58</v>
      </c>
    </row>
    <row r="68" spans="2:2" s="279" customFormat="1"/>
    <row r="69" spans="2:2" s="279" customFormat="1">
      <c r="B69" s="279" t="s">
        <v>59</v>
      </c>
    </row>
    <row r="70" spans="2:2" s="279" customFormat="1"/>
    <row r="71" spans="2:2" s="279" customFormat="1">
      <c r="B71" s="279" t="s">
        <v>60</v>
      </c>
    </row>
    <row r="72" spans="2:2">
      <c r="B72" s="279" t="s">
        <v>3802</v>
      </c>
    </row>
    <row r="73" spans="2:2">
      <c r="B73" s="1412" t="s">
        <v>61</v>
      </c>
    </row>
    <row r="74" spans="2:2">
      <c r="B74" s="279" t="s">
        <v>62</v>
      </c>
    </row>
    <row r="75" spans="2:2">
      <c r="B75" s="279" t="s">
        <v>63</v>
      </c>
    </row>
    <row r="76" spans="2:2">
      <c r="B76" s="279" t="s">
        <v>64</v>
      </c>
    </row>
    <row r="78" spans="2:2">
      <c r="B78" s="1413" t="s">
        <v>65</v>
      </c>
    </row>
    <row r="79" spans="2:2">
      <c r="B79" s="1413" t="s">
        <v>66</v>
      </c>
    </row>
    <row r="80" spans="2:2">
      <c r="B80" s="1413" t="s">
        <v>67</v>
      </c>
    </row>
    <row r="81" spans="2:2">
      <c r="B81" s="1413" t="s">
        <v>68</v>
      </c>
    </row>
    <row r="82" spans="2:2">
      <c r="B82" s="1413" t="s">
        <v>69</v>
      </c>
    </row>
    <row r="83" spans="2:2">
      <c r="B83" s="1413" t="s">
        <v>70</v>
      </c>
    </row>
    <row r="84" spans="2:2">
      <c r="B84" s="1413" t="s">
        <v>71</v>
      </c>
    </row>
    <row r="85" spans="2:2">
      <c r="B85" s="1314" t="s">
        <v>72</v>
      </c>
    </row>
    <row r="86" spans="2:2">
      <c r="B86" s="1413" t="s">
        <v>73</v>
      </c>
    </row>
    <row r="87" spans="2:2">
      <c r="B87" s="1413" t="s">
        <v>74</v>
      </c>
    </row>
    <row r="88" spans="2:2">
      <c r="B88" s="1413" t="s">
        <v>75</v>
      </c>
    </row>
    <row r="89" spans="2:2">
      <c r="B89" s="1413" t="s">
        <v>76</v>
      </c>
    </row>
    <row r="90" spans="2:2">
      <c r="B90" s="1413" t="s">
        <v>77</v>
      </c>
    </row>
    <row r="91" spans="2:2">
      <c r="B91" s="1413"/>
    </row>
    <row r="92" spans="2:2">
      <c r="B92" s="1413" t="s">
        <v>78</v>
      </c>
    </row>
    <row r="93" spans="2:2">
      <c r="B93" s="1413"/>
    </row>
    <row r="94" spans="2:2">
      <c r="B94" s="1413" t="s">
        <v>79</v>
      </c>
    </row>
    <row r="95" spans="2:2">
      <c r="B95" s="1413" t="s">
        <v>80</v>
      </c>
    </row>
  </sheetData>
  <customSheetViews>
    <customSheetView guid="{54A7C567-FA7D-467E-B353-ECB5E61AE756}">
      <selection activeCell="A4" sqref="A4"/>
      <pageMargins left="0" right="0" top="0" bottom="0" header="0" footer="0"/>
    </customSheetView>
  </customSheetViews>
  <mergeCells count="3">
    <mergeCell ref="N15:P15"/>
    <mergeCell ref="A1:O1"/>
    <mergeCell ref="N12:P12"/>
  </mergeCells>
  <pageMargins left="0.7" right="0.7" top="0.75" bottom="0.75" header="0.3" footer="0.3"/>
  <pageSetup paperSize="9" scale="44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B121F-E28B-4C62-BB8A-91796A479E32}">
  <sheetPr codeName="Feuil21"/>
  <dimension ref="A1:U128"/>
  <sheetViews>
    <sheetView workbookViewId="0"/>
  </sheetViews>
  <sheetFormatPr baseColWidth="10" defaultColWidth="10.25" defaultRowHeight="12.75" outlineLevelRow="1" outlineLevelCol="1"/>
  <cols>
    <col min="1" max="1" width="9.25" style="266" customWidth="1" collapsed="1"/>
    <col min="2" max="2" width="36.625" style="266" hidden="1" customWidth="1" outlineLevel="1"/>
    <col min="3" max="3" width="49.5" style="267" customWidth="1" collapsed="1"/>
    <col min="4" max="4" width="14.25" style="268" customWidth="1"/>
    <col min="5" max="5" width="6.25" style="266" customWidth="1"/>
    <col min="6" max="6" width="16.5" style="266" customWidth="1"/>
    <col min="7" max="7" width="16.5" style="266" hidden="1" customWidth="1" outlineLevel="1"/>
    <col min="8" max="8" width="16.5" style="266" customWidth="1" collapsed="1"/>
    <col min="9" max="9" width="16.5" style="266" customWidth="1"/>
    <col min="10" max="10" width="16.5" style="266" hidden="1" customWidth="1" outlineLevel="1"/>
    <col min="11" max="11" width="16.5" style="266" customWidth="1" collapsed="1"/>
    <col min="12" max="12" width="16.5" style="268" customWidth="1" collapsed="1"/>
    <col min="13" max="13" width="57.625" style="269" customWidth="1"/>
    <col min="14" max="14" width="10.25" style="266"/>
    <col min="15" max="15" width="56.75" style="266" customWidth="1"/>
    <col min="16" max="16384" width="10.25" style="266"/>
  </cols>
  <sheetData>
    <row r="1" spans="1:21" s="202" customFormat="1" ht="19.5" customHeight="1" thickBot="1">
      <c r="A1" s="195"/>
      <c r="B1" s="196"/>
      <c r="C1" s="197" t="s">
        <v>1076</v>
      </c>
      <c r="D1" s="198"/>
      <c r="E1" s="198"/>
      <c r="F1" s="198"/>
      <c r="G1" s="199"/>
      <c r="H1" s="199" t="s">
        <v>1077</v>
      </c>
      <c r="I1" s="196"/>
      <c r="J1" s="196"/>
      <c r="K1" s="196"/>
      <c r="L1" s="200"/>
      <c r="M1" s="201" t="s">
        <v>2741</v>
      </c>
    </row>
    <row r="2" spans="1:21" s="207" customFormat="1" ht="14.25" customHeight="1">
      <c r="A2" s="203"/>
      <c r="B2" s="204"/>
      <c r="C2" s="1691"/>
      <c r="D2" s="1692"/>
      <c r="E2" s="1692"/>
      <c r="F2" s="1692"/>
      <c r="G2" s="204"/>
      <c r="H2" s="204"/>
      <c r="I2" s="204"/>
      <c r="J2" s="204"/>
      <c r="K2" s="204"/>
      <c r="L2" s="205"/>
      <c r="M2" s="206"/>
    </row>
    <row r="3" spans="1:21" s="208" customFormat="1" ht="12.75" hidden="1" customHeight="1" outlineLevel="1">
      <c r="A3" s="1436"/>
      <c r="C3" s="209" t="s">
        <v>3137</v>
      </c>
      <c r="D3" s="210"/>
      <c r="E3" s="210" t="s">
        <v>3137</v>
      </c>
      <c r="F3" s="210" t="s">
        <v>1128</v>
      </c>
      <c r="G3" s="210" t="s">
        <v>2742</v>
      </c>
      <c r="H3" s="210" t="s">
        <v>2743</v>
      </c>
      <c r="I3" s="210" t="s">
        <v>2744</v>
      </c>
      <c r="J3" s="210" t="s">
        <v>3139</v>
      </c>
      <c r="K3" s="210" t="s">
        <v>2745</v>
      </c>
      <c r="L3" s="210"/>
      <c r="M3" s="1437" t="s">
        <v>3137</v>
      </c>
    </row>
    <row r="4" spans="1:21" s="208" customFormat="1" ht="25.5" customHeight="1" collapsed="1">
      <c r="A4" s="17" t="s">
        <v>1088</v>
      </c>
      <c r="B4" s="17" t="s">
        <v>1089</v>
      </c>
      <c r="C4" s="1682" t="s">
        <v>3140</v>
      </c>
      <c r="D4" s="1694" t="s">
        <v>3141</v>
      </c>
      <c r="E4" s="1695"/>
      <c r="F4" s="211" t="s">
        <v>3142</v>
      </c>
      <c r="G4" s="1696" t="s">
        <v>1096</v>
      </c>
      <c r="H4" s="1697"/>
      <c r="I4" s="1697"/>
      <c r="J4" s="1698"/>
      <c r="K4" s="212" t="s">
        <v>1097</v>
      </c>
      <c r="L4" s="213" t="s">
        <v>619</v>
      </c>
      <c r="M4" s="1664" t="s">
        <v>3143</v>
      </c>
    </row>
    <row r="5" spans="1:21" s="208" customFormat="1" ht="14.25" customHeight="1">
      <c r="A5" s="1615" t="s">
        <v>1101</v>
      </c>
      <c r="B5" s="775"/>
      <c r="C5" s="1693"/>
      <c r="D5" s="212"/>
      <c r="E5" s="214"/>
      <c r="F5" s="215"/>
      <c r="G5" s="216" t="s">
        <v>1104</v>
      </c>
      <c r="H5" s="216" t="s">
        <v>1105</v>
      </c>
      <c r="I5" s="217" t="s">
        <v>2748</v>
      </c>
      <c r="J5" s="217" t="s">
        <v>3144</v>
      </c>
      <c r="K5" s="216" t="s">
        <v>1107</v>
      </c>
      <c r="L5" s="212"/>
      <c r="M5" s="1683"/>
    </row>
    <row r="6" spans="1:21" s="208" customFormat="1" ht="12.75" customHeight="1">
      <c r="A6" s="1616"/>
      <c r="B6" s="777"/>
      <c r="C6" s="1693"/>
      <c r="D6" s="216" t="s">
        <v>2749</v>
      </c>
      <c r="E6" s="218"/>
      <c r="F6" s="215"/>
      <c r="G6" s="216" t="s">
        <v>1109</v>
      </c>
      <c r="H6" s="216" t="s">
        <v>1110</v>
      </c>
      <c r="I6" s="217" t="s">
        <v>2750</v>
      </c>
      <c r="J6" s="217" t="s">
        <v>3145</v>
      </c>
      <c r="K6" s="216" t="s">
        <v>1112</v>
      </c>
      <c r="L6" s="216" t="s">
        <v>2751</v>
      </c>
      <c r="M6" s="1683"/>
    </row>
    <row r="7" spans="1:21" s="228" customFormat="1" ht="24">
      <c r="A7" s="219"/>
      <c r="B7" s="219"/>
      <c r="C7" s="220"/>
      <c r="D7" s="221"/>
      <c r="E7" s="222" t="s">
        <v>3146</v>
      </c>
      <c r="F7" s="223" t="s">
        <v>1128</v>
      </c>
      <c r="G7" s="224" t="s">
        <v>1129</v>
      </c>
      <c r="H7" s="224" t="s">
        <v>1129</v>
      </c>
      <c r="I7" s="224" t="s">
        <v>1129</v>
      </c>
      <c r="J7" s="224" t="s">
        <v>1129</v>
      </c>
      <c r="K7" s="225" t="s">
        <v>1130</v>
      </c>
      <c r="L7" s="226"/>
      <c r="M7" s="227"/>
      <c r="U7" s="208"/>
    </row>
    <row r="8" spans="1:21" s="208" customFormat="1" ht="15.75" customHeight="1">
      <c r="A8" s="141" t="s">
        <v>3147</v>
      </c>
      <c r="B8" s="141"/>
      <c r="C8" s="229" t="s">
        <v>3148</v>
      </c>
      <c r="D8" s="230"/>
      <c r="E8" s="231"/>
      <c r="F8" s="231"/>
      <c r="G8" s="231"/>
      <c r="H8" s="231"/>
      <c r="I8" s="232"/>
      <c r="J8" s="232"/>
      <c r="K8" s="231"/>
      <c r="L8" s="230"/>
      <c r="M8" s="233" t="s">
        <v>3149</v>
      </c>
      <c r="N8" s="234"/>
      <c r="O8" s="234"/>
      <c r="P8" s="234"/>
      <c r="Q8" s="234"/>
      <c r="R8" s="234"/>
      <c r="S8" s="234"/>
      <c r="T8" s="234"/>
      <c r="U8" s="234"/>
    </row>
    <row r="9" spans="1:21" s="208" customFormat="1" ht="15.75" customHeight="1">
      <c r="A9" s="127" t="s">
        <v>3150</v>
      </c>
      <c r="B9" s="235" t="s">
        <v>3151</v>
      </c>
      <c r="C9" s="236" t="s">
        <v>3152</v>
      </c>
      <c r="D9" s="237" t="s">
        <v>3153</v>
      </c>
      <c r="E9" s="237" t="s">
        <v>202</v>
      </c>
      <c r="F9" s="238">
        <v>408</v>
      </c>
      <c r="G9" s="239">
        <v>1.26</v>
      </c>
      <c r="H9" s="239">
        <v>1.35E-2</v>
      </c>
      <c r="I9" s="239">
        <v>1.25</v>
      </c>
      <c r="J9" s="239">
        <v>0</v>
      </c>
      <c r="K9" s="239">
        <v>0.32400000000000001</v>
      </c>
      <c r="L9" s="240" t="s">
        <v>3154</v>
      </c>
      <c r="M9" s="241" t="s">
        <v>219</v>
      </c>
    </row>
    <row r="10" spans="1:21" s="208" customFormat="1" ht="15.75" customHeight="1">
      <c r="A10" s="127" t="s">
        <v>3155</v>
      </c>
      <c r="B10" s="235" t="s">
        <v>3156</v>
      </c>
      <c r="C10" s="236" t="s">
        <v>3157</v>
      </c>
      <c r="D10" s="237" t="s">
        <v>3153</v>
      </c>
      <c r="E10" s="237" t="s">
        <v>202</v>
      </c>
      <c r="F10" s="242">
        <v>274</v>
      </c>
      <c r="G10" s="243">
        <v>1.05</v>
      </c>
      <c r="H10" s="243">
        <v>2.8700000000000002E-3</v>
      </c>
      <c r="I10" s="243">
        <v>1.05</v>
      </c>
      <c r="J10" s="243">
        <v>0</v>
      </c>
      <c r="K10" s="243">
        <v>0.23</v>
      </c>
      <c r="L10" s="240" t="s">
        <v>3154</v>
      </c>
      <c r="M10" s="241" t="s">
        <v>222</v>
      </c>
    </row>
    <row r="11" spans="1:21" s="208" customFormat="1" ht="15.75" customHeight="1">
      <c r="A11" s="127" t="s">
        <v>3158</v>
      </c>
      <c r="B11" s="235" t="s">
        <v>3159</v>
      </c>
      <c r="C11" s="236" t="s">
        <v>3160</v>
      </c>
      <c r="D11" s="237" t="s">
        <v>3153</v>
      </c>
      <c r="E11" s="237" t="s">
        <v>202</v>
      </c>
      <c r="F11" s="238">
        <v>367</v>
      </c>
      <c r="G11" s="239">
        <v>1.22</v>
      </c>
      <c r="H11" s="239">
        <v>5.62E-3</v>
      </c>
      <c r="I11" s="239">
        <v>1.21</v>
      </c>
      <c r="J11" s="239">
        <v>0</v>
      </c>
      <c r="K11" s="239">
        <v>0.29199999999999998</v>
      </c>
      <c r="L11" s="240" t="s">
        <v>3154</v>
      </c>
      <c r="M11" s="241" t="s">
        <v>3161</v>
      </c>
      <c r="N11" s="228"/>
    </row>
    <row r="12" spans="1:21" s="208" customFormat="1" ht="15.75" customHeight="1">
      <c r="A12" s="127" t="s">
        <v>3162</v>
      </c>
      <c r="B12" s="235" t="s">
        <v>3163</v>
      </c>
      <c r="C12" s="236" t="s">
        <v>3164</v>
      </c>
      <c r="D12" s="237" t="s">
        <v>3153</v>
      </c>
      <c r="E12" s="237" t="s">
        <v>202</v>
      </c>
      <c r="F12" s="238">
        <v>596</v>
      </c>
      <c r="G12" s="239">
        <v>1.44</v>
      </c>
      <c r="H12" s="239">
        <v>1.43E-2</v>
      </c>
      <c r="I12" s="239">
        <v>1.43</v>
      </c>
      <c r="J12" s="239">
        <v>0</v>
      </c>
      <c r="K12" s="239">
        <v>0.434</v>
      </c>
      <c r="L12" s="240" t="s">
        <v>3154</v>
      </c>
      <c r="M12" s="241" t="s">
        <v>3165</v>
      </c>
      <c r="N12" s="228"/>
    </row>
    <row r="13" spans="1:21" s="208" customFormat="1" ht="15.75" customHeight="1">
      <c r="A13" s="127" t="s">
        <v>3166</v>
      </c>
      <c r="B13" s="235" t="s">
        <v>3167</v>
      </c>
      <c r="C13" s="236" t="s">
        <v>3168</v>
      </c>
      <c r="D13" s="237" t="s">
        <v>3153</v>
      </c>
      <c r="E13" s="237" t="s">
        <v>202</v>
      </c>
      <c r="F13" s="238">
        <v>726</v>
      </c>
      <c r="G13" s="239">
        <v>1.18</v>
      </c>
      <c r="H13" s="239">
        <v>9.2899999999999996E-3</v>
      </c>
      <c r="I13" s="239">
        <v>1.18</v>
      </c>
      <c r="J13" s="239">
        <v>0</v>
      </c>
      <c r="K13" s="239">
        <v>0.39800000000000002</v>
      </c>
      <c r="L13" s="240" t="s">
        <v>3154</v>
      </c>
      <c r="M13" s="241" t="s">
        <v>3169</v>
      </c>
      <c r="N13" s="228"/>
    </row>
    <row r="14" spans="1:21" s="208" customFormat="1" ht="15.75" customHeight="1">
      <c r="A14" s="127" t="s">
        <v>3170</v>
      </c>
      <c r="B14" s="235" t="s">
        <v>3171</v>
      </c>
      <c r="C14" s="236" t="s">
        <v>3172</v>
      </c>
      <c r="D14" s="237" t="s">
        <v>3153</v>
      </c>
      <c r="E14" s="237" t="s">
        <v>202</v>
      </c>
      <c r="F14" s="242">
        <v>175</v>
      </c>
      <c r="G14" s="243">
        <v>1.05</v>
      </c>
      <c r="H14" s="243">
        <v>1.01</v>
      </c>
      <c r="I14" s="243">
        <v>4.3900000000000002E-2</v>
      </c>
      <c r="J14" s="243">
        <v>0</v>
      </c>
      <c r="K14" s="243">
        <v>2.3E-2</v>
      </c>
      <c r="L14" s="240" t="s">
        <v>3154</v>
      </c>
      <c r="M14" s="241" t="s">
        <v>214</v>
      </c>
      <c r="N14" s="228"/>
    </row>
    <row r="15" spans="1:21" s="208" customFormat="1" ht="15.75" customHeight="1" outlineLevel="1">
      <c r="A15" s="127" t="s">
        <v>3173</v>
      </c>
      <c r="B15" s="235" t="s">
        <v>3174</v>
      </c>
      <c r="C15" s="236" t="s">
        <v>3175</v>
      </c>
      <c r="D15" s="237" t="s">
        <v>3153</v>
      </c>
      <c r="E15" s="237" t="s">
        <v>202</v>
      </c>
      <c r="F15" s="242">
        <v>175</v>
      </c>
      <c r="G15" s="243">
        <v>1.05</v>
      </c>
      <c r="H15" s="243">
        <v>1.01</v>
      </c>
      <c r="I15" s="243">
        <v>4.3900000000000002E-2</v>
      </c>
      <c r="J15" s="243">
        <v>0</v>
      </c>
      <c r="K15" s="243">
        <v>2.3E-2</v>
      </c>
      <c r="L15" s="240" t="s">
        <v>3154</v>
      </c>
      <c r="M15" s="241" t="s">
        <v>3176</v>
      </c>
      <c r="N15" s="228"/>
    </row>
    <row r="16" spans="1:21" s="208" customFormat="1" ht="15.75" customHeight="1">
      <c r="A16" s="127" t="s">
        <v>3177</v>
      </c>
      <c r="B16" s="235" t="s">
        <v>3178</v>
      </c>
      <c r="C16" s="236" t="s">
        <v>3179</v>
      </c>
      <c r="D16" s="237" t="s">
        <v>3153</v>
      </c>
      <c r="E16" s="237" t="s">
        <v>202</v>
      </c>
      <c r="F16" s="242">
        <v>115</v>
      </c>
      <c r="G16" s="243">
        <v>1.06</v>
      </c>
      <c r="H16" s="243">
        <v>1.03</v>
      </c>
      <c r="I16" s="243">
        <v>3.0700000000000002E-2</v>
      </c>
      <c r="J16" s="243">
        <v>0</v>
      </c>
      <c r="K16" s="243">
        <v>1.0699999999999999E-2</v>
      </c>
      <c r="L16" s="240" t="s">
        <v>3154</v>
      </c>
      <c r="M16" s="241" t="s">
        <v>3180</v>
      </c>
      <c r="N16" s="228"/>
    </row>
    <row r="17" spans="1:14" s="208" customFormat="1" ht="15.75" customHeight="1" outlineLevel="1">
      <c r="A17" s="127" t="s">
        <v>3181</v>
      </c>
      <c r="B17" s="235" t="s">
        <v>3182</v>
      </c>
      <c r="C17" s="236" t="s">
        <v>3183</v>
      </c>
      <c r="D17" s="237" t="s">
        <v>3153</v>
      </c>
      <c r="E17" s="237" t="s">
        <v>202</v>
      </c>
      <c r="F17" s="242">
        <v>115</v>
      </c>
      <c r="G17" s="243">
        <v>1.06</v>
      </c>
      <c r="H17" s="243">
        <v>1.03</v>
      </c>
      <c r="I17" s="243">
        <v>3.0700000000000002E-2</v>
      </c>
      <c r="J17" s="243">
        <v>0</v>
      </c>
      <c r="K17" s="243">
        <v>1.0699999999999999E-2</v>
      </c>
      <c r="L17" s="240" t="s">
        <v>3154</v>
      </c>
      <c r="M17" s="241" t="s">
        <v>3184</v>
      </c>
      <c r="N17" s="228"/>
    </row>
    <row r="18" spans="1:14" s="208" customFormat="1" ht="15.75" customHeight="1">
      <c r="A18" s="127" t="s">
        <v>3185</v>
      </c>
      <c r="B18" s="235" t="s">
        <v>3186</v>
      </c>
      <c r="C18" s="236" t="s">
        <v>3187</v>
      </c>
      <c r="D18" s="237" t="s">
        <v>3153</v>
      </c>
      <c r="E18" s="237" t="s">
        <v>202</v>
      </c>
      <c r="F18" s="242">
        <v>110</v>
      </c>
      <c r="G18" s="243">
        <v>1.18</v>
      </c>
      <c r="H18" s="243">
        <v>1.05</v>
      </c>
      <c r="I18" s="243">
        <v>0.128</v>
      </c>
      <c r="J18" s="243">
        <v>0</v>
      </c>
      <c r="K18" s="243">
        <v>2.7699999999999999E-2</v>
      </c>
      <c r="L18" s="240" t="s">
        <v>3154</v>
      </c>
      <c r="M18" s="241" t="s">
        <v>95</v>
      </c>
      <c r="N18" s="228"/>
    </row>
    <row r="19" spans="1:14" s="208" customFormat="1" ht="15.75" customHeight="1" outlineLevel="1">
      <c r="A19" s="127" t="s">
        <v>3188</v>
      </c>
      <c r="B19" s="235" t="s">
        <v>3189</v>
      </c>
      <c r="C19" s="236" t="s">
        <v>3190</v>
      </c>
      <c r="D19" s="237" t="s">
        <v>3153</v>
      </c>
      <c r="E19" s="237" t="s">
        <v>202</v>
      </c>
      <c r="F19" s="242">
        <v>110</v>
      </c>
      <c r="G19" s="243">
        <v>1.18</v>
      </c>
      <c r="H19" s="243">
        <v>1.05</v>
      </c>
      <c r="I19" s="243">
        <v>0.128</v>
      </c>
      <c r="J19" s="243">
        <v>0</v>
      </c>
      <c r="K19" s="243">
        <v>2.7699999999999999E-2</v>
      </c>
      <c r="L19" s="240" t="s">
        <v>3154</v>
      </c>
      <c r="M19" s="241" t="s">
        <v>3191</v>
      </c>
      <c r="N19" s="228"/>
    </row>
    <row r="20" spans="1:14" s="208" customFormat="1" ht="15.75" customHeight="1">
      <c r="A20" s="127" t="s">
        <v>3192</v>
      </c>
      <c r="B20" s="235" t="s">
        <v>3193</v>
      </c>
      <c r="C20" s="236" t="s">
        <v>3194</v>
      </c>
      <c r="D20" s="237" t="s">
        <v>3153</v>
      </c>
      <c r="E20" s="237" t="s">
        <v>202</v>
      </c>
      <c r="F20" s="242">
        <v>155</v>
      </c>
      <c r="G20" s="243">
        <v>0.32100000000000001</v>
      </c>
      <c r="H20" s="243">
        <v>2.8199999999999999E-2</v>
      </c>
      <c r="I20" s="243">
        <v>0.29299999999999998</v>
      </c>
      <c r="J20" s="243">
        <v>0</v>
      </c>
      <c r="K20" s="243">
        <v>0.124</v>
      </c>
      <c r="L20" s="240" t="s">
        <v>3154</v>
      </c>
      <c r="M20" s="241" t="s">
        <v>3195</v>
      </c>
      <c r="N20" s="228"/>
    </row>
    <row r="21" spans="1:14" s="208" customFormat="1" ht="15.6" customHeight="1">
      <c r="A21" s="127"/>
      <c r="B21" s="244"/>
      <c r="C21" s="236" t="s">
        <v>3196</v>
      </c>
      <c r="D21" s="237"/>
      <c r="E21" s="237"/>
      <c r="F21" s="238"/>
      <c r="G21" s="239"/>
      <c r="H21" s="239"/>
      <c r="I21" s="239"/>
      <c r="J21" s="239"/>
      <c r="K21" s="239"/>
      <c r="L21" s="240"/>
      <c r="M21" s="241" t="s">
        <v>3197</v>
      </c>
      <c r="N21" s="228"/>
    </row>
    <row r="22" spans="1:14" s="208" customFormat="1" ht="15.75" customHeight="1">
      <c r="A22" s="141" t="s">
        <v>3198</v>
      </c>
      <c r="B22" s="868"/>
      <c r="C22" s="229" t="s">
        <v>3199</v>
      </c>
      <c r="D22" s="230"/>
      <c r="E22" s="245" t="s">
        <v>3137</v>
      </c>
      <c r="F22" s="246"/>
      <c r="G22" s="246"/>
      <c r="H22" s="246"/>
      <c r="I22" s="246"/>
      <c r="J22" s="246"/>
      <c r="K22" s="246"/>
      <c r="L22" s="247"/>
      <c r="M22" s="233" t="s">
        <v>3200</v>
      </c>
      <c r="N22" s="228"/>
    </row>
    <row r="23" spans="1:14" s="253" customFormat="1" ht="15.75" customHeight="1">
      <c r="A23" s="244" t="s">
        <v>3201</v>
      </c>
      <c r="B23" s="235" t="s">
        <v>3202</v>
      </c>
      <c r="C23" s="248" t="s">
        <v>3203</v>
      </c>
      <c r="D23" s="249" t="s">
        <v>3153</v>
      </c>
      <c r="E23" s="249" t="s">
        <v>202</v>
      </c>
      <c r="F23" s="242">
        <v>13.5</v>
      </c>
      <c r="G23" s="243">
        <v>6.9400000000000003E-2</v>
      </c>
      <c r="H23" s="243">
        <v>1.0699999999999999E-2</v>
      </c>
      <c r="I23" s="243">
        <v>5.8700000000000002E-2</v>
      </c>
      <c r="J23" s="243">
        <v>0</v>
      </c>
      <c r="K23" s="243">
        <v>3.3E-3</v>
      </c>
      <c r="L23" s="250" t="s">
        <v>3154</v>
      </c>
      <c r="M23" s="251" t="s">
        <v>3204</v>
      </c>
      <c r="N23" s="252"/>
    </row>
    <row r="24" spans="1:14" s="208" customFormat="1" ht="15.75" customHeight="1">
      <c r="A24" s="127" t="s">
        <v>3205</v>
      </c>
      <c r="B24" s="235" t="s">
        <v>3206</v>
      </c>
      <c r="C24" s="236" t="s">
        <v>3207</v>
      </c>
      <c r="D24" s="237" t="s">
        <v>3153</v>
      </c>
      <c r="E24" s="237" t="s">
        <v>202</v>
      </c>
      <c r="F24" s="242">
        <v>508</v>
      </c>
      <c r="G24" s="243">
        <v>1.58</v>
      </c>
      <c r="H24" s="243">
        <v>2.1100000000000001E-2</v>
      </c>
      <c r="I24" s="243">
        <v>1.56</v>
      </c>
      <c r="J24" s="243">
        <v>0</v>
      </c>
      <c r="K24" s="243">
        <v>0.40100000000000002</v>
      </c>
      <c r="L24" s="240" t="s">
        <v>3154</v>
      </c>
      <c r="M24" s="241" t="s">
        <v>3208</v>
      </c>
      <c r="N24" s="228"/>
    </row>
    <row r="25" spans="1:14" s="208" customFormat="1" ht="15.75" customHeight="1">
      <c r="A25" s="127" t="s">
        <v>3209</v>
      </c>
      <c r="B25" s="235" t="s">
        <v>3210</v>
      </c>
      <c r="C25" s="236" t="s">
        <v>3211</v>
      </c>
      <c r="D25" s="237" t="s">
        <v>3153</v>
      </c>
      <c r="E25" s="237" t="s">
        <v>202</v>
      </c>
      <c r="F25" s="242">
        <v>364</v>
      </c>
      <c r="G25" s="243">
        <v>1.41</v>
      </c>
      <c r="H25" s="243">
        <v>1.44E-2</v>
      </c>
      <c r="I25" s="243">
        <v>1.4</v>
      </c>
      <c r="J25" s="243">
        <v>0</v>
      </c>
      <c r="K25" s="243">
        <v>0.30099999999999999</v>
      </c>
      <c r="L25" s="240" t="s">
        <v>3154</v>
      </c>
      <c r="M25" s="241" t="s">
        <v>3212</v>
      </c>
      <c r="N25" s="228"/>
    </row>
    <row r="26" spans="1:14" s="208" customFormat="1" ht="15.75" customHeight="1">
      <c r="A26" s="127" t="s">
        <v>3213</v>
      </c>
      <c r="B26" s="235" t="s">
        <v>3214</v>
      </c>
      <c r="C26" s="236" t="s">
        <v>3215</v>
      </c>
      <c r="D26" s="237" t="s">
        <v>3153</v>
      </c>
      <c r="E26" s="237" t="s">
        <v>202</v>
      </c>
      <c r="F26" s="242">
        <v>165</v>
      </c>
      <c r="G26" s="243">
        <v>1.61</v>
      </c>
      <c r="H26" s="243">
        <v>1.46</v>
      </c>
      <c r="I26" s="243">
        <v>0.14499999999999999</v>
      </c>
      <c r="J26" s="243">
        <v>0</v>
      </c>
      <c r="K26" s="243">
        <v>2.4500000000000001E-2</v>
      </c>
      <c r="L26" s="240" t="s">
        <v>3154</v>
      </c>
      <c r="M26" s="241" t="s">
        <v>3216</v>
      </c>
      <c r="N26" s="228"/>
    </row>
    <row r="27" spans="1:14" s="208" customFormat="1" ht="15.75" customHeight="1">
      <c r="A27" s="127" t="s">
        <v>3217</v>
      </c>
      <c r="B27" s="235" t="s">
        <v>3218</v>
      </c>
      <c r="C27" s="236" t="s">
        <v>3219</v>
      </c>
      <c r="D27" s="237" t="s">
        <v>3153</v>
      </c>
      <c r="E27" s="237" t="s">
        <v>202</v>
      </c>
      <c r="F27" s="242">
        <v>82.4</v>
      </c>
      <c r="G27" s="243">
        <v>1.31</v>
      </c>
      <c r="H27" s="243">
        <v>1.19</v>
      </c>
      <c r="I27" s="243">
        <v>0.11</v>
      </c>
      <c r="J27" s="243">
        <v>0</v>
      </c>
      <c r="K27" s="243">
        <v>2.18E-2</v>
      </c>
      <c r="L27" s="240" t="s">
        <v>3154</v>
      </c>
      <c r="M27" s="241" t="s">
        <v>3220</v>
      </c>
      <c r="N27" s="228"/>
    </row>
    <row r="28" spans="1:14" s="208" customFormat="1" ht="15.75" customHeight="1">
      <c r="A28" s="127" t="s">
        <v>3221</v>
      </c>
      <c r="B28" s="235" t="s">
        <v>3222</v>
      </c>
      <c r="C28" s="248" t="s">
        <v>3223</v>
      </c>
      <c r="D28" s="237" t="s">
        <v>3153</v>
      </c>
      <c r="E28" s="237" t="s">
        <v>202</v>
      </c>
      <c r="F28" s="242">
        <v>175</v>
      </c>
      <c r="G28" s="243">
        <v>0.873</v>
      </c>
      <c r="H28" s="243">
        <v>0.183</v>
      </c>
      <c r="I28" s="243">
        <v>0.69</v>
      </c>
      <c r="J28" s="243">
        <v>0</v>
      </c>
      <c r="K28" s="243">
        <v>4.5999999999999999E-2</v>
      </c>
      <c r="L28" s="240" t="s">
        <v>3154</v>
      </c>
      <c r="M28" s="251" t="s">
        <v>3224</v>
      </c>
      <c r="N28" s="228"/>
    </row>
    <row r="29" spans="1:14" s="208" customFormat="1" ht="15.75" customHeight="1">
      <c r="A29" s="127" t="s">
        <v>3225</v>
      </c>
      <c r="B29" s="235" t="s">
        <v>3226</v>
      </c>
      <c r="C29" s="248" t="s">
        <v>3227</v>
      </c>
      <c r="D29" s="237" t="s">
        <v>3153</v>
      </c>
      <c r="E29" s="237" t="s">
        <v>202</v>
      </c>
      <c r="F29" s="242">
        <v>208</v>
      </c>
      <c r="G29" s="243">
        <v>1.1200000000000001</v>
      </c>
      <c r="H29" s="243">
        <v>0.32600000000000001</v>
      </c>
      <c r="I29" s="243">
        <v>0.79500000000000004</v>
      </c>
      <c r="J29" s="243">
        <v>0</v>
      </c>
      <c r="K29" s="243">
        <v>5.5899999999999998E-2</v>
      </c>
      <c r="L29" s="240" t="s">
        <v>3154</v>
      </c>
      <c r="M29" s="251" t="s">
        <v>3228</v>
      </c>
      <c r="N29" s="228"/>
    </row>
    <row r="30" spans="1:14" s="208" customFormat="1" ht="15.75" customHeight="1">
      <c r="A30" s="127" t="s">
        <v>3229</v>
      </c>
      <c r="B30" s="235" t="s">
        <v>3230</v>
      </c>
      <c r="C30" s="248" t="s">
        <v>3231</v>
      </c>
      <c r="D30" s="237" t="s">
        <v>3153</v>
      </c>
      <c r="E30" s="237" t="s">
        <v>202</v>
      </c>
      <c r="F30" s="242">
        <v>216</v>
      </c>
      <c r="G30" s="243">
        <v>1.1399999999999999</v>
      </c>
      <c r="H30" s="243">
        <v>0.32600000000000001</v>
      </c>
      <c r="I30" s="243">
        <v>0.81499999999999995</v>
      </c>
      <c r="J30" s="243">
        <v>0</v>
      </c>
      <c r="K30" s="243">
        <v>0.06</v>
      </c>
      <c r="L30" s="240" t="s">
        <v>3154</v>
      </c>
      <c r="M30" s="251" t="s">
        <v>3232</v>
      </c>
      <c r="N30" s="228"/>
    </row>
    <row r="31" spans="1:14" s="208" customFormat="1" ht="15.75" customHeight="1">
      <c r="A31" s="127" t="s">
        <v>3233</v>
      </c>
      <c r="B31" s="235" t="s">
        <v>3234</v>
      </c>
      <c r="C31" s="236" t="s">
        <v>3235</v>
      </c>
      <c r="D31" s="237" t="s">
        <v>3153</v>
      </c>
      <c r="E31" s="237" t="s">
        <v>202</v>
      </c>
      <c r="F31" s="238">
        <v>88.4</v>
      </c>
      <c r="G31" s="239">
        <v>1.41</v>
      </c>
      <c r="H31" s="239">
        <v>1.26</v>
      </c>
      <c r="I31" s="239">
        <v>0.14499999999999999</v>
      </c>
      <c r="J31" s="239">
        <v>0</v>
      </c>
      <c r="K31" s="239">
        <v>1.9900000000000001E-2</v>
      </c>
      <c r="L31" s="240" t="s">
        <v>3154</v>
      </c>
      <c r="M31" s="241" t="s">
        <v>3236</v>
      </c>
      <c r="N31" s="228"/>
    </row>
    <row r="32" spans="1:14" s="208" customFormat="1" ht="15.75" customHeight="1">
      <c r="A32" s="127" t="s">
        <v>3237</v>
      </c>
      <c r="B32" s="235" t="s">
        <v>3238</v>
      </c>
      <c r="C32" s="236" t="s">
        <v>3239</v>
      </c>
      <c r="D32" s="237" t="s">
        <v>3153</v>
      </c>
      <c r="E32" s="237" t="s">
        <v>202</v>
      </c>
      <c r="F32" s="238">
        <v>63</v>
      </c>
      <c r="G32" s="239">
        <v>0.54400000000000004</v>
      </c>
      <c r="H32" s="239">
        <v>0.432</v>
      </c>
      <c r="I32" s="239">
        <v>0.112</v>
      </c>
      <c r="J32" s="239">
        <v>0</v>
      </c>
      <c r="K32" s="239">
        <v>1.4500000000000001E-2</v>
      </c>
      <c r="L32" s="240" t="s">
        <v>3154</v>
      </c>
      <c r="M32" s="241" t="s">
        <v>3240</v>
      </c>
      <c r="N32" s="228"/>
    </row>
    <row r="33" spans="1:14" s="208" customFormat="1" ht="15.75" customHeight="1">
      <c r="A33" s="127" t="s">
        <v>3241</v>
      </c>
      <c r="B33" s="235" t="s">
        <v>3242</v>
      </c>
      <c r="C33" s="236" t="s">
        <v>3243</v>
      </c>
      <c r="D33" s="237" t="s">
        <v>3153</v>
      </c>
      <c r="E33" s="237" t="s">
        <v>202</v>
      </c>
      <c r="F33" s="242">
        <v>11.2</v>
      </c>
      <c r="G33" s="243">
        <v>5.2900000000000003E-2</v>
      </c>
      <c r="H33" s="243">
        <v>1.0699999999999999E-2</v>
      </c>
      <c r="I33" s="243">
        <v>4.2200000000000001E-2</v>
      </c>
      <c r="J33" s="243">
        <v>0</v>
      </c>
      <c r="K33" s="243">
        <v>3.2399999999999998E-3</v>
      </c>
      <c r="L33" s="240" t="s">
        <v>3154</v>
      </c>
      <c r="M33" s="241" t="s">
        <v>3244</v>
      </c>
      <c r="N33" s="228"/>
    </row>
    <row r="34" spans="1:14" s="208" customFormat="1" ht="15.75" customHeight="1">
      <c r="A34" s="127" t="s">
        <v>3245</v>
      </c>
      <c r="B34" s="235" t="s">
        <v>3246</v>
      </c>
      <c r="C34" s="236" t="s">
        <v>3247</v>
      </c>
      <c r="D34" s="237" t="s">
        <v>3153</v>
      </c>
      <c r="E34" s="237" t="s">
        <v>202</v>
      </c>
      <c r="F34" s="242">
        <v>184</v>
      </c>
      <c r="G34" s="243">
        <v>0.54700000000000004</v>
      </c>
      <c r="H34" s="243">
        <v>1.3299999999999999E-2</v>
      </c>
      <c r="I34" s="243">
        <v>0.53400000000000003</v>
      </c>
      <c r="J34" s="243">
        <v>0</v>
      </c>
      <c r="K34" s="243">
        <v>0.13100000000000001</v>
      </c>
      <c r="L34" s="240" t="s">
        <v>3154</v>
      </c>
      <c r="M34" s="241" t="s">
        <v>3248</v>
      </c>
      <c r="N34" s="228"/>
    </row>
    <row r="35" spans="1:14" s="208" customFormat="1" ht="15.75" customHeight="1">
      <c r="A35" s="127" t="s">
        <v>3249</v>
      </c>
      <c r="B35" s="235" t="s">
        <v>3250</v>
      </c>
      <c r="C35" s="236" t="s">
        <v>3251</v>
      </c>
      <c r="D35" s="237" t="s">
        <v>3153</v>
      </c>
      <c r="E35" s="237" t="s">
        <v>202</v>
      </c>
      <c r="F35" s="242">
        <v>134</v>
      </c>
      <c r="G35" s="243">
        <v>0.50600000000000001</v>
      </c>
      <c r="H35" s="243">
        <v>1.2E-2</v>
      </c>
      <c r="I35" s="243">
        <v>0.49399999999999999</v>
      </c>
      <c r="J35" s="243">
        <v>0</v>
      </c>
      <c r="K35" s="243">
        <v>0.106</v>
      </c>
      <c r="L35" s="240" t="s">
        <v>3154</v>
      </c>
      <c r="M35" s="241" t="s">
        <v>3252</v>
      </c>
      <c r="N35" s="228"/>
    </row>
    <row r="36" spans="1:14" s="208" customFormat="1" ht="15.75" customHeight="1">
      <c r="A36" s="127" t="s">
        <v>3253</v>
      </c>
      <c r="B36" s="235" t="s">
        <v>3254</v>
      </c>
      <c r="C36" s="236" t="s">
        <v>3255</v>
      </c>
      <c r="D36" s="237" t="s">
        <v>3153</v>
      </c>
      <c r="E36" s="237" t="s">
        <v>202</v>
      </c>
      <c r="F36" s="242">
        <v>83</v>
      </c>
      <c r="G36" s="243">
        <v>0.193</v>
      </c>
      <c r="H36" s="243">
        <v>2.2700000000000001E-2</v>
      </c>
      <c r="I36" s="243">
        <v>0.17</v>
      </c>
      <c r="J36" s="243">
        <v>0</v>
      </c>
      <c r="K36" s="243">
        <v>6.0299999999999999E-2</v>
      </c>
      <c r="L36" s="240" t="s">
        <v>3154</v>
      </c>
      <c r="M36" s="241" t="s">
        <v>3256</v>
      </c>
      <c r="N36" s="228"/>
    </row>
    <row r="37" spans="1:14" s="208" customFormat="1" ht="15.75" customHeight="1">
      <c r="A37" s="127" t="s">
        <v>3257</v>
      </c>
      <c r="B37" s="235" t="s">
        <v>3258</v>
      </c>
      <c r="C37" s="236" t="s">
        <v>3259</v>
      </c>
      <c r="D37" s="237" t="s">
        <v>3153</v>
      </c>
      <c r="E37" s="237" t="s">
        <v>202</v>
      </c>
      <c r="F37" s="242">
        <v>125</v>
      </c>
      <c r="G37" s="243">
        <v>0.82899999999999996</v>
      </c>
      <c r="H37" s="243">
        <v>0.49</v>
      </c>
      <c r="I37" s="243">
        <v>0.33800000000000002</v>
      </c>
      <c r="J37" s="243">
        <v>0</v>
      </c>
      <c r="K37" s="243">
        <v>6.6600000000000006E-2</v>
      </c>
      <c r="L37" s="240" t="s">
        <v>3154</v>
      </c>
      <c r="M37" s="241" t="s">
        <v>3260</v>
      </c>
      <c r="N37" s="228"/>
    </row>
    <row r="38" spans="1:14" s="208" customFormat="1" ht="15.75" customHeight="1" outlineLevel="1">
      <c r="A38" s="127" t="s">
        <v>3261</v>
      </c>
      <c r="B38" s="235" t="s">
        <v>3262</v>
      </c>
      <c r="C38" s="254" t="s">
        <v>3263</v>
      </c>
      <c r="D38" s="237" t="s">
        <v>3153</v>
      </c>
      <c r="E38" s="237" t="s">
        <v>202</v>
      </c>
      <c r="F38" s="242">
        <v>125</v>
      </c>
      <c r="G38" s="243">
        <v>0.82899999999999996</v>
      </c>
      <c r="H38" s="243">
        <v>0.49</v>
      </c>
      <c r="I38" s="243">
        <v>0.33800000000000002</v>
      </c>
      <c r="J38" s="243">
        <v>0</v>
      </c>
      <c r="K38" s="243">
        <v>6.6600000000000006E-2</v>
      </c>
      <c r="L38" s="240" t="s">
        <v>3154</v>
      </c>
      <c r="M38" s="241" t="s">
        <v>3264</v>
      </c>
      <c r="N38" s="228"/>
    </row>
    <row r="39" spans="1:14" s="208" customFormat="1" ht="15.75" customHeight="1">
      <c r="A39" s="141" t="s">
        <v>3265</v>
      </c>
      <c r="B39" s="868"/>
      <c r="C39" s="229" t="s">
        <v>3266</v>
      </c>
      <c r="D39" s="255"/>
      <c r="E39" s="245" t="s">
        <v>3137</v>
      </c>
      <c r="F39" s="246"/>
      <c r="G39" s="246"/>
      <c r="H39" s="246"/>
      <c r="I39" s="246"/>
      <c r="J39" s="246"/>
      <c r="K39" s="246"/>
      <c r="L39" s="256"/>
      <c r="M39" s="229" t="s">
        <v>3267</v>
      </c>
      <c r="N39" s="228"/>
    </row>
    <row r="40" spans="1:14" s="253" customFormat="1" ht="17.100000000000001" customHeight="1">
      <c r="A40" s="244" t="s">
        <v>3268</v>
      </c>
      <c r="B40" s="235" t="s">
        <v>3269</v>
      </c>
      <c r="C40" s="248" t="s">
        <v>3270</v>
      </c>
      <c r="D40" s="249" t="s">
        <v>3271</v>
      </c>
      <c r="E40" s="249" t="s">
        <v>202</v>
      </c>
      <c r="F40" s="242">
        <v>519</v>
      </c>
      <c r="G40" s="243">
        <v>2.65</v>
      </c>
      <c r="H40" s="243">
        <v>0.55700000000000005</v>
      </c>
      <c r="I40" s="243">
        <v>2.09</v>
      </c>
      <c r="J40" s="243">
        <v>0</v>
      </c>
      <c r="K40" s="243">
        <v>0.127</v>
      </c>
      <c r="L40" s="250" t="s">
        <v>3272</v>
      </c>
      <c r="M40" s="251" t="s">
        <v>3273</v>
      </c>
      <c r="N40" s="252"/>
    </row>
    <row r="41" spans="1:14" s="253" customFormat="1" ht="17.100000000000001" customHeight="1">
      <c r="A41" s="244" t="s">
        <v>3274</v>
      </c>
      <c r="B41" s="235" t="s">
        <v>3275</v>
      </c>
      <c r="C41" s="248" t="s">
        <v>3276</v>
      </c>
      <c r="D41" s="249" t="s">
        <v>3271</v>
      </c>
      <c r="E41" s="249" t="s">
        <v>202</v>
      </c>
      <c r="F41" s="242">
        <v>86.8</v>
      </c>
      <c r="G41" s="243">
        <v>1.2</v>
      </c>
      <c r="H41" s="243">
        <v>1.1599999999999999</v>
      </c>
      <c r="I41" s="243">
        <v>4.0500000000000001E-2</v>
      </c>
      <c r="J41" s="243">
        <v>0</v>
      </c>
      <c r="K41" s="243">
        <v>1.7299999999999999E-2</v>
      </c>
      <c r="L41" s="250" t="s">
        <v>3272</v>
      </c>
      <c r="M41" s="251" t="s">
        <v>3277</v>
      </c>
      <c r="N41" s="252"/>
    </row>
    <row r="42" spans="1:14" s="208" customFormat="1" ht="17.100000000000001" customHeight="1">
      <c r="A42" s="127" t="s">
        <v>3278</v>
      </c>
      <c r="B42" s="235" t="s">
        <v>3279</v>
      </c>
      <c r="C42" s="236" t="s">
        <v>3280</v>
      </c>
      <c r="D42" s="237" t="s">
        <v>3281</v>
      </c>
      <c r="E42" s="237" t="s">
        <v>202</v>
      </c>
      <c r="F42" s="238">
        <v>437</v>
      </c>
      <c r="G42" s="239">
        <v>1.32</v>
      </c>
      <c r="H42" s="239">
        <v>1.09E-2</v>
      </c>
      <c r="I42" s="239">
        <v>1.31</v>
      </c>
      <c r="J42" s="239">
        <v>0</v>
      </c>
      <c r="K42" s="239">
        <v>0.34300000000000003</v>
      </c>
      <c r="L42" s="240" t="s">
        <v>3282</v>
      </c>
      <c r="M42" s="241" t="s">
        <v>3283</v>
      </c>
      <c r="N42" s="228"/>
    </row>
    <row r="43" spans="1:14" s="208" customFormat="1" ht="17.100000000000001" customHeight="1">
      <c r="A43" s="127" t="s">
        <v>3284</v>
      </c>
      <c r="B43" s="235" t="s">
        <v>3285</v>
      </c>
      <c r="C43" s="236" t="s">
        <v>3286</v>
      </c>
      <c r="D43" s="237" t="s">
        <v>3281</v>
      </c>
      <c r="E43" s="237" t="s">
        <v>202</v>
      </c>
      <c r="F43" s="242">
        <v>279</v>
      </c>
      <c r="G43" s="243">
        <v>1.07</v>
      </c>
      <c r="H43" s="243">
        <v>3.0899999999999999E-3</v>
      </c>
      <c r="I43" s="243">
        <v>1.06</v>
      </c>
      <c r="J43" s="243">
        <v>0</v>
      </c>
      <c r="K43" s="243">
        <v>0.23400000000000001</v>
      </c>
      <c r="L43" s="240" t="s">
        <v>3282</v>
      </c>
      <c r="M43" s="241" t="s">
        <v>3287</v>
      </c>
      <c r="N43" s="228"/>
    </row>
    <row r="44" spans="1:14" s="208" customFormat="1" ht="17.100000000000001" customHeight="1">
      <c r="A44" s="127" t="s">
        <v>3288</v>
      </c>
      <c r="B44" s="235" t="s">
        <v>3289</v>
      </c>
      <c r="C44" s="236" t="s">
        <v>3290</v>
      </c>
      <c r="D44" s="237" t="s">
        <v>3281</v>
      </c>
      <c r="E44" s="237" t="s">
        <v>202</v>
      </c>
      <c r="F44" s="242">
        <v>363</v>
      </c>
      <c r="G44" s="243">
        <v>1.2</v>
      </c>
      <c r="H44" s="243">
        <v>5.7299999999999999E-3</v>
      </c>
      <c r="I44" s="243">
        <v>1.2</v>
      </c>
      <c r="J44" s="243">
        <v>0</v>
      </c>
      <c r="K44" s="243">
        <v>0.28899999999999998</v>
      </c>
      <c r="L44" s="240" t="s">
        <v>3282</v>
      </c>
      <c r="M44" s="241" t="s">
        <v>3291</v>
      </c>
      <c r="N44" s="228"/>
    </row>
    <row r="45" spans="1:14" s="208" customFormat="1" ht="17.100000000000001" customHeight="1">
      <c r="A45" s="127" t="s">
        <v>3292</v>
      </c>
      <c r="B45" s="235" t="s">
        <v>3293</v>
      </c>
      <c r="C45" s="236" t="s">
        <v>3294</v>
      </c>
      <c r="D45" s="237" t="s">
        <v>3281</v>
      </c>
      <c r="E45" s="237" t="s">
        <v>202</v>
      </c>
      <c r="F45" s="238">
        <v>885</v>
      </c>
      <c r="G45" s="239">
        <v>2.0099999999999998</v>
      </c>
      <c r="H45" s="239">
        <v>2.1399999999999999E-2</v>
      </c>
      <c r="I45" s="239">
        <v>1.99</v>
      </c>
      <c r="J45" s="239">
        <v>0</v>
      </c>
      <c r="K45" s="239">
        <v>0.64300000000000002</v>
      </c>
      <c r="L45" s="240" t="s">
        <v>3282</v>
      </c>
      <c r="M45" s="241" t="s">
        <v>3295</v>
      </c>
      <c r="N45" s="228"/>
    </row>
    <row r="46" spans="1:14" s="208" customFormat="1" ht="17.100000000000001" customHeight="1">
      <c r="A46" s="127" t="s">
        <v>3296</v>
      </c>
      <c r="B46" s="235" t="s">
        <v>3297</v>
      </c>
      <c r="C46" s="236" t="s">
        <v>3298</v>
      </c>
      <c r="D46" s="237" t="s">
        <v>3281</v>
      </c>
      <c r="E46" s="237" t="s">
        <v>202</v>
      </c>
      <c r="F46" s="238">
        <v>1070</v>
      </c>
      <c r="G46" s="239">
        <v>1.51</v>
      </c>
      <c r="H46" s="239">
        <v>1.41E-2</v>
      </c>
      <c r="I46" s="239">
        <v>1.49</v>
      </c>
      <c r="J46" s="239">
        <v>0</v>
      </c>
      <c r="K46" s="239">
        <v>0.58799999999999997</v>
      </c>
      <c r="L46" s="240" t="s">
        <v>3282</v>
      </c>
      <c r="M46" s="241" t="s">
        <v>3299</v>
      </c>
      <c r="N46" s="228"/>
    </row>
    <row r="47" spans="1:14" s="208" customFormat="1" ht="17.100000000000001" customHeight="1">
      <c r="A47" s="127" t="s">
        <v>3300</v>
      </c>
      <c r="B47" s="235" t="s">
        <v>3301</v>
      </c>
      <c r="C47" s="236" t="s">
        <v>3302</v>
      </c>
      <c r="D47" s="237" t="s">
        <v>3281</v>
      </c>
      <c r="E47" s="237" t="s">
        <v>202</v>
      </c>
      <c r="F47" s="242">
        <v>239</v>
      </c>
      <c r="G47" s="243">
        <v>1.41</v>
      </c>
      <c r="H47" s="243">
        <v>1.35</v>
      </c>
      <c r="I47" s="243">
        <v>6.8400000000000002E-2</v>
      </c>
      <c r="J47" s="243">
        <v>0</v>
      </c>
      <c r="K47" s="243">
        <v>3.3399999999999999E-2</v>
      </c>
      <c r="L47" s="240" t="s">
        <v>3282</v>
      </c>
      <c r="M47" s="241" t="s">
        <v>3303</v>
      </c>
      <c r="N47" s="228"/>
    </row>
    <row r="48" spans="1:14" s="208" customFormat="1" ht="17.100000000000001" customHeight="1" outlineLevel="1">
      <c r="A48" s="127" t="s">
        <v>3304</v>
      </c>
      <c r="B48" s="235" t="s">
        <v>3305</v>
      </c>
      <c r="C48" s="236" t="s">
        <v>3306</v>
      </c>
      <c r="D48" s="237" t="s">
        <v>3281</v>
      </c>
      <c r="E48" s="237" t="s">
        <v>202</v>
      </c>
      <c r="F48" s="242">
        <v>239</v>
      </c>
      <c r="G48" s="243">
        <v>1.41</v>
      </c>
      <c r="H48" s="243">
        <v>1.35</v>
      </c>
      <c r="I48" s="243">
        <v>6.8400000000000002E-2</v>
      </c>
      <c r="J48" s="243">
        <v>0</v>
      </c>
      <c r="K48" s="243">
        <v>3.3399999999999999E-2</v>
      </c>
      <c r="L48" s="240" t="s">
        <v>3282</v>
      </c>
      <c r="M48" s="241" t="s">
        <v>3307</v>
      </c>
      <c r="N48" s="228"/>
    </row>
    <row r="49" spans="1:14" s="208" customFormat="1" ht="17.100000000000001" customHeight="1">
      <c r="A49" s="127" t="s">
        <v>3308</v>
      </c>
      <c r="B49" s="235" t="s">
        <v>3309</v>
      </c>
      <c r="C49" s="236" t="s">
        <v>3310</v>
      </c>
      <c r="D49" s="237" t="s">
        <v>3281</v>
      </c>
      <c r="E49" s="237" t="s">
        <v>202</v>
      </c>
      <c r="F49" s="242">
        <v>164</v>
      </c>
      <c r="G49" s="243">
        <v>1.38</v>
      </c>
      <c r="H49" s="243">
        <v>1.33</v>
      </c>
      <c r="I49" s="243">
        <v>5.5800000000000002E-2</v>
      </c>
      <c r="J49" s="243">
        <v>0</v>
      </c>
      <c r="K49" s="243">
        <v>2.12E-2</v>
      </c>
      <c r="L49" s="240" t="s">
        <v>3282</v>
      </c>
      <c r="M49" s="241" t="s">
        <v>3311</v>
      </c>
      <c r="N49" s="228"/>
    </row>
    <row r="50" spans="1:14" s="208" customFormat="1" ht="17.100000000000001" customHeight="1" outlineLevel="1">
      <c r="A50" s="127" t="s">
        <v>3312</v>
      </c>
      <c r="B50" s="235" t="s">
        <v>3313</v>
      </c>
      <c r="C50" s="236" t="s">
        <v>3314</v>
      </c>
      <c r="D50" s="237" t="s">
        <v>3281</v>
      </c>
      <c r="E50" s="237" t="s">
        <v>202</v>
      </c>
      <c r="F50" s="242">
        <v>164</v>
      </c>
      <c r="G50" s="243">
        <v>1.38</v>
      </c>
      <c r="H50" s="243">
        <v>1.33</v>
      </c>
      <c r="I50" s="243">
        <v>5.5800000000000002E-2</v>
      </c>
      <c r="J50" s="243">
        <v>0</v>
      </c>
      <c r="K50" s="243">
        <v>2.12E-2</v>
      </c>
      <c r="L50" s="240" t="s">
        <v>3282</v>
      </c>
      <c r="M50" s="241" t="s">
        <v>3315</v>
      </c>
      <c r="N50" s="228"/>
    </row>
    <row r="51" spans="1:14" s="208" customFormat="1" ht="17.100000000000001" customHeight="1">
      <c r="A51" s="127" t="s">
        <v>3316</v>
      </c>
      <c r="B51" s="235" t="s">
        <v>3317</v>
      </c>
      <c r="C51" s="236" t="s">
        <v>3318</v>
      </c>
      <c r="D51" s="237" t="s">
        <v>3281</v>
      </c>
      <c r="E51" s="237" t="s">
        <v>202</v>
      </c>
      <c r="F51" s="242">
        <v>142</v>
      </c>
      <c r="G51" s="243">
        <v>1.44</v>
      </c>
      <c r="H51" s="243">
        <v>1.28</v>
      </c>
      <c r="I51" s="243">
        <v>0.16600000000000001</v>
      </c>
      <c r="J51" s="243">
        <v>0</v>
      </c>
      <c r="K51" s="243">
        <v>3.7699999999999997E-2</v>
      </c>
      <c r="L51" s="240" t="s">
        <v>3282</v>
      </c>
      <c r="M51" s="241" t="s">
        <v>3319</v>
      </c>
      <c r="N51" s="228"/>
    </row>
    <row r="52" spans="1:14" s="208" customFormat="1" ht="17.100000000000001" customHeight="1" outlineLevel="1">
      <c r="A52" s="127" t="s">
        <v>3320</v>
      </c>
      <c r="B52" s="235" t="s">
        <v>3321</v>
      </c>
      <c r="C52" s="236" t="s">
        <v>3322</v>
      </c>
      <c r="D52" s="237" t="s">
        <v>3281</v>
      </c>
      <c r="E52" s="237" t="s">
        <v>202</v>
      </c>
      <c r="F52" s="242">
        <v>142</v>
      </c>
      <c r="G52" s="243">
        <v>1.44</v>
      </c>
      <c r="H52" s="243">
        <v>1.28</v>
      </c>
      <c r="I52" s="243">
        <v>0.16600000000000001</v>
      </c>
      <c r="J52" s="243">
        <v>0</v>
      </c>
      <c r="K52" s="243">
        <v>3.7699999999999997E-2</v>
      </c>
      <c r="L52" s="240" t="s">
        <v>3282</v>
      </c>
      <c r="M52" s="241" t="s">
        <v>3323</v>
      </c>
      <c r="N52" s="228"/>
    </row>
    <row r="53" spans="1:14" s="208" customFormat="1" ht="17.100000000000001" customHeight="1">
      <c r="A53" s="127" t="s">
        <v>3324</v>
      </c>
      <c r="B53" s="235" t="s">
        <v>3325</v>
      </c>
      <c r="C53" s="236" t="s">
        <v>3326</v>
      </c>
      <c r="D53" s="237" t="s">
        <v>3281</v>
      </c>
      <c r="E53" s="237" t="s">
        <v>202</v>
      </c>
      <c r="F53" s="242">
        <v>158</v>
      </c>
      <c r="G53" s="243">
        <v>0.32800000000000001</v>
      </c>
      <c r="H53" s="243">
        <v>2.8799999999999999E-2</v>
      </c>
      <c r="I53" s="243">
        <v>0.29899999999999999</v>
      </c>
      <c r="J53" s="243">
        <v>0</v>
      </c>
      <c r="K53" s="243">
        <v>0.127</v>
      </c>
      <c r="L53" s="240" t="s">
        <v>3282</v>
      </c>
      <c r="M53" s="241" t="s">
        <v>3327</v>
      </c>
      <c r="N53" s="228"/>
    </row>
    <row r="54" spans="1:14" s="208" customFormat="1" ht="17.100000000000001" customHeight="1">
      <c r="A54" s="141" t="s">
        <v>3328</v>
      </c>
      <c r="B54" s="868"/>
      <c r="C54" s="229" t="s">
        <v>3329</v>
      </c>
      <c r="D54" s="255"/>
      <c r="E54" s="245" t="s">
        <v>3137</v>
      </c>
      <c r="F54" s="246"/>
      <c r="G54" s="246"/>
      <c r="H54" s="246"/>
      <c r="I54" s="246"/>
      <c r="J54" s="246"/>
      <c r="K54" s="246"/>
      <c r="L54" s="256"/>
      <c r="M54" s="229" t="s">
        <v>3330</v>
      </c>
      <c r="N54" s="228"/>
    </row>
    <row r="55" spans="1:14" s="208" customFormat="1" ht="25.5">
      <c r="A55" s="127" t="s">
        <v>3331</v>
      </c>
      <c r="B55" s="235" t="s">
        <v>3332</v>
      </c>
      <c r="C55" s="257" t="s">
        <v>3333</v>
      </c>
      <c r="D55" s="237" t="s">
        <v>3334</v>
      </c>
      <c r="E55" s="237" t="s">
        <v>202</v>
      </c>
      <c r="F55" s="242">
        <v>214</v>
      </c>
      <c r="G55" s="243">
        <v>1.62</v>
      </c>
      <c r="H55" s="243">
        <v>0.83699999999999997</v>
      </c>
      <c r="I55" s="243">
        <v>0.78300000000000003</v>
      </c>
      <c r="J55" s="243">
        <v>0.63</v>
      </c>
      <c r="K55" s="243">
        <v>5.7799999999999997E-2</v>
      </c>
      <c r="L55" s="240" t="s">
        <v>3282</v>
      </c>
      <c r="M55" s="251" t="s">
        <v>3335</v>
      </c>
    </row>
    <row r="56" spans="1:14" s="253" customFormat="1" ht="29.1" customHeight="1">
      <c r="A56" s="244" t="s">
        <v>3336</v>
      </c>
      <c r="B56" s="235" t="s">
        <v>3337</v>
      </c>
      <c r="C56" s="257" t="s">
        <v>3338</v>
      </c>
      <c r="D56" s="249" t="s">
        <v>3271</v>
      </c>
      <c r="E56" s="249" t="s">
        <v>202</v>
      </c>
      <c r="F56" s="242">
        <v>54.4</v>
      </c>
      <c r="G56" s="243">
        <v>1.08</v>
      </c>
      <c r="H56" s="243">
        <v>1.06</v>
      </c>
      <c r="I56" s="243">
        <v>2.46E-2</v>
      </c>
      <c r="J56" s="243">
        <v>0.63</v>
      </c>
      <c r="K56" s="243">
        <v>1.72E-2</v>
      </c>
      <c r="L56" s="250" t="s">
        <v>3272</v>
      </c>
      <c r="M56" s="251" t="s">
        <v>3339</v>
      </c>
    </row>
    <row r="57" spans="1:14" s="253" customFormat="1" ht="25.5">
      <c r="A57" s="244" t="s">
        <v>3340</v>
      </c>
      <c r="B57" s="235" t="s">
        <v>3341</v>
      </c>
      <c r="C57" s="257" t="s">
        <v>3342</v>
      </c>
      <c r="D57" s="249" t="s">
        <v>3271</v>
      </c>
      <c r="E57" s="249" t="s">
        <v>202</v>
      </c>
      <c r="F57" s="242">
        <v>142</v>
      </c>
      <c r="G57" s="243">
        <v>1.39</v>
      </c>
      <c r="H57" s="243">
        <v>0.90100000000000002</v>
      </c>
      <c r="I57" s="243">
        <v>0.48499999999999999</v>
      </c>
      <c r="J57" s="243">
        <v>0.77300000000000002</v>
      </c>
      <c r="K57" s="243">
        <v>3.9899999999999998E-2</v>
      </c>
      <c r="L57" s="250" t="s">
        <v>3272</v>
      </c>
      <c r="M57" s="251" t="s">
        <v>3343</v>
      </c>
    </row>
    <row r="58" spans="1:14" s="253" customFormat="1" ht="29.65" customHeight="1">
      <c r="A58" s="244" t="s">
        <v>3344</v>
      </c>
      <c r="B58" s="235" t="s">
        <v>3345</v>
      </c>
      <c r="C58" s="257" t="s">
        <v>3346</v>
      </c>
      <c r="D58" s="249" t="s">
        <v>3271</v>
      </c>
      <c r="E58" s="249" t="s">
        <v>202</v>
      </c>
      <c r="F58" s="242">
        <v>44.2</v>
      </c>
      <c r="G58" s="243">
        <v>1.06</v>
      </c>
      <c r="H58" s="243">
        <v>1.04</v>
      </c>
      <c r="I58" s="243">
        <v>1.9900000000000001E-2</v>
      </c>
      <c r="J58" s="243">
        <v>0.77300000000000002</v>
      </c>
      <c r="K58" s="243">
        <v>1.4999999999999999E-2</v>
      </c>
      <c r="L58" s="250" t="s">
        <v>3272</v>
      </c>
      <c r="M58" s="251" t="s">
        <v>3347</v>
      </c>
    </row>
    <row r="59" spans="1:14" s="208" customFormat="1" ht="25.5">
      <c r="A59" s="127" t="s">
        <v>3348</v>
      </c>
      <c r="B59" s="235" t="s">
        <v>3349</v>
      </c>
      <c r="C59" s="257" t="s">
        <v>3350</v>
      </c>
      <c r="D59" s="237" t="s">
        <v>3281</v>
      </c>
      <c r="E59" s="237" t="s">
        <v>202</v>
      </c>
      <c r="F59" s="242">
        <v>187</v>
      </c>
      <c r="G59" s="243">
        <v>1.54</v>
      </c>
      <c r="H59" s="243">
        <v>0.86199999999999999</v>
      </c>
      <c r="I59" s="243">
        <v>0.67800000000000005</v>
      </c>
      <c r="J59" s="243">
        <v>0.68799999999999994</v>
      </c>
      <c r="K59" s="243">
        <v>5.04E-2</v>
      </c>
      <c r="L59" s="240" t="s">
        <v>3282</v>
      </c>
      <c r="M59" s="251" t="s">
        <v>3351</v>
      </c>
    </row>
    <row r="60" spans="1:14" s="253" customFormat="1" ht="29.1" customHeight="1">
      <c r="A60" s="244" t="s">
        <v>3352</v>
      </c>
      <c r="B60" s="235" t="s">
        <v>3353</v>
      </c>
      <c r="C60" s="257" t="s">
        <v>3354</v>
      </c>
      <c r="D60" s="249" t="s">
        <v>3271</v>
      </c>
      <c r="E60" s="249" t="s">
        <v>202</v>
      </c>
      <c r="F60" s="242">
        <v>52.2</v>
      </c>
      <c r="G60" s="243">
        <v>1.0900000000000001</v>
      </c>
      <c r="H60" s="243">
        <v>1.05</v>
      </c>
      <c r="I60" s="243">
        <v>3.7999999999999999E-2</v>
      </c>
      <c r="J60" s="243">
        <v>0.68799999999999994</v>
      </c>
      <c r="K60" s="243">
        <v>1.61E-2</v>
      </c>
      <c r="L60" s="250" t="s">
        <v>3272</v>
      </c>
      <c r="M60" s="251" t="s">
        <v>3355</v>
      </c>
    </row>
    <row r="61" spans="1:14" s="253" customFormat="1" ht="25.5">
      <c r="A61" s="244" t="s">
        <v>3356</v>
      </c>
      <c r="B61" s="235" t="s">
        <v>3357</v>
      </c>
      <c r="C61" s="257" t="s">
        <v>3358</v>
      </c>
      <c r="D61" s="249" t="s">
        <v>3271</v>
      </c>
      <c r="E61" s="249" t="s">
        <v>202</v>
      </c>
      <c r="F61" s="242">
        <v>125</v>
      </c>
      <c r="G61" s="243">
        <v>1.34</v>
      </c>
      <c r="H61" s="243">
        <v>0.91700000000000004</v>
      </c>
      <c r="I61" s="243">
        <v>0.42</v>
      </c>
      <c r="J61" s="243">
        <v>0.81100000000000005</v>
      </c>
      <c r="K61" s="243">
        <v>3.49E-2</v>
      </c>
      <c r="L61" s="250" t="s">
        <v>3272</v>
      </c>
      <c r="M61" s="251" t="s">
        <v>3359</v>
      </c>
    </row>
    <row r="62" spans="1:14" s="253" customFormat="1" ht="24" customHeight="1">
      <c r="A62" s="244" t="s">
        <v>3360</v>
      </c>
      <c r="B62" s="235" t="s">
        <v>3361</v>
      </c>
      <c r="C62" s="257" t="s">
        <v>3362</v>
      </c>
      <c r="D62" s="249" t="s">
        <v>3271</v>
      </c>
      <c r="E62" s="249" t="s">
        <v>202</v>
      </c>
      <c r="F62" s="242">
        <v>43.4</v>
      </c>
      <c r="G62" s="243">
        <v>1.06</v>
      </c>
      <c r="H62" s="243">
        <v>1.03</v>
      </c>
      <c r="I62" s="243">
        <v>3.39E-2</v>
      </c>
      <c r="J62" s="243">
        <v>0.81100000000000005</v>
      </c>
      <c r="K62" s="243">
        <v>1.4200000000000001E-2</v>
      </c>
      <c r="L62" s="250" t="s">
        <v>3272</v>
      </c>
      <c r="M62" s="251" t="s">
        <v>3363</v>
      </c>
    </row>
    <row r="63" spans="1:14" s="208" customFormat="1" ht="25.5">
      <c r="A63" s="127" t="s">
        <v>3364</v>
      </c>
      <c r="B63" s="235" t="s">
        <v>3365</v>
      </c>
      <c r="C63" s="257" t="s">
        <v>3366</v>
      </c>
      <c r="D63" s="237" t="s">
        <v>3281</v>
      </c>
      <c r="E63" s="237" t="s">
        <v>202</v>
      </c>
      <c r="F63" s="242">
        <v>181</v>
      </c>
      <c r="G63" s="243">
        <v>1.58</v>
      </c>
      <c r="H63" s="243">
        <v>0.91800000000000004</v>
      </c>
      <c r="I63" s="243">
        <v>0.66100000000000003</v>
      </c>
      <c r="J63" s="243">
        <v>0.74399999999999999</v>
      </c>
      <c r="K63" s="243">
        <v>4.7300000000000002E-2</v>
      </c>
      <c r="L63" s="240" t="s">
        <v>3282</v>
      </c>
      <c r="M63" s="251" t="s">
        <v>3367</v>
      </c>
    </row>
    <row r="64" spans="1:14" s="253" customFormat="1" ht="29.1" customHeight="1">
      <c r="A64" s="244" t="s">
        <v>3368</v>
      </c>
      <c r="B64" s="235" t="s">
        <v>3369</v>
      </c>
      <c r="C64" s="257" t="s">
        <v>3370</v>
      </c>
      <c r="D64" s="249" t="s">
        <v>3271</v>
      </c>
      <c r="E64" s="249" t="s">
        <v>202</v>
      </c>
      <c r="F64" s="242">
        <v>46.3</v>
      </c>
      <c r="G64" s="243">
        <v>1.1299999999999999</v>
      </c>
      <c r="H64" s="243">
        <v>1.1100000000000001</v>
      </c>
      <c r="I64" s="243">
        <v>2.1600000000000001E-2</v>
      </c>
      <c r="J64" s="243">
        <v>0.74399999999999999</v>
      </c>
      <c r="K64" s="243">
        <v>1.3100000000000001E-2</v>
      </c>
      <c r="L64" s="250" t="s">
        <v>3272</v>
      </c>
      <c r="M64" s="251" t="s">
        <v>3371</v>
      </c>
    </row>
    <row r="65" spans="1:13" s="253" customFormat="1" ht="25.5">
      <c r="A65" s="244" t="s">
        <v>3372</v>
      </c>
      <c r="B65" s="235" t="s">
        <v>3373</v>
      </c>
      <c r="C65" s="257" t="s">
        <v>3374</v>
      </c>
      <c r="D65" s="249" t="s">
        <v>3271</v>
      </c>
      <c r="E65" s="249" t="s">
        <v>202</v>
      </c>
      <c r="F65" s="242">
        <v>118</v>
      </c>
      <c r="G65" s="243">
        <v>1.32</v>
      </c>
      <c r="H65" s="243">
        <v>0.91700000000000004</v>
      </c>
      <c r="I65" s="243">
        <v>0.40400000000000003</v>
      </c>
      <c r="J65" s="243">
        <v>0.81100000000000005</v>
      </c>
      <c r="K65" s="243">
        <v>3.1899999999999998E-2</v>
      </c>
      <c r="L65" s="250" t="s">
        <v>3272</v>
      </c>
      <c r="M65" s="251" t="s">
        <v>3375</v>
      </c>
    </row>
    <row r="66" spans="1:13" s="253" customFormat="1" ht="29.65" customHeight="1">
      <c r="A66" s="244" t="s">
        <v>3376</v>
      </c>
      <c r="B66" s="235" t="s">
        <v>3377</v>
      </c>
      <c r="C66" s="257" t="s">
        <v>3378</v>
      </c>
      <c r="D66" s="249" t="s">
        <v>3271</v>
      </c>
      <c r="E66" s="249" t="s">
        <v>202</v>
      </c>
      <c r="F66" s="242">
        <v>36.9</v>
      </c>
      <c r="G66" s="243">
        <v>1.05</v>
      </c>
      <c r="H66" s="243">
        <v>1.03</v>
      </c>
      <c r="I66" s="243">
        <v>1.7500000000000002E-2</v>
      </c>
      <c r="J66" s="243">
        <v>0.81100000000000005</v>
      </c>
      <c r="K66" s="243">
        <v>1.12E-2</v>
      </c>
      <c r="L66" s="250" t="s">
        <v>3272</v>
      </c>
      <c r="M66" s="251" t="s">
        <v>3379</v>
      </c>
    </row>
    <row r="67" spans="1:13" s="208" customFormat="1" ht="17.100000000000001" customHeight="1">
      <c r="A67" s="127" t="s">
        <v>3380</v>
      </c>
      <c r="B67" s="235" t="s">
        <v>3381</v>
      </c>
      <c r="C67" s="236" t="s">
        <v>2861</v>
      </c>
      <c r="D67" s="237" t="s">
        <v>3281</v>
      </c>
      <c r="E67" s="237" t="s">
        <v>202</v>
      </c>
      <c r="F67" s="238">
        <v>121</v>
      </c>
      <c r="G67" s="239">
        <v>1.57</v>
      </c>
      <c r="H67" s="239">
        <v>1.33</v>
      </c>
      <c r="I67" s="239">
        <v>0.24399999999999999</v>
      </c>
      <c r="J67" s="239">
        <v>1.28</v>
      </c>
      <c r="K67" s="239">
        <v>4.19E-2</v>
      </c>
      <c r="L67" s="240" t="s">
        <v>3282</v>
      </c>
      <c r="M67" s="258" t="s">
        <v>2865</v>
      </c>
    </row>
    <row r="68" spans="1:13" s="208" customFormat="1" ht="17.100000000000001" customHeight="1">
      <c r="A68" s="127" t="s">
        <v>3382</v>
      </c>
      <c r="B68" s="235" t="s">
        <v>3383</v>
      </c>
      <c r="C68" s="236" t="s">
        <v>2869</v>
      </c>
      <c r="D68" s="237" t="s">
        <v>3281</v>
      </c>
      <c r="E68" s="237" t="s">
        <v>202</v>
      </c>
      <c r="F68" s="238">
        <v>110</v>
      </c>
      <c r="G68" s="239">
        <v>1.81</v>
      </c>
      <c r="H68" s="239">
        <v>1.61</v>
      </c>
      <c r="I68" s="239">
        <v>0.2</v>
      </c>
      <c r="J68" s="239">
        <v>1.57</v>
      </c>
      <c r="K68" s="239">
        <v>3.7699999999999997E-2</v>
      </c>
      <c r="L68" s="240" t="s">
        <v>3282</v>
      </c>
      <c r="M68" s="258" t="s">
        <v>3384</v>
      </c>
    </row>
    <row r="69" spans="1:13" s="208" customFormat="1" ht="17.100000000000001" customHeight="1">
      <c r="A69" s="127" t="s">
        <v>3385</v>
      </c>
      <c r="B69" s="235" t="s">
        <v>3386</v>
      </c>
      <c r="C69" s="236" t="s">
        <v>1053</v>
      </c>
      <c r="D69" s="237" t="s">
        <v>3281</v>
      </c>
      <c r="E69" s="237" t="s">
        <v>202</v>
      </c>
      <c r="F69" s="238">
        <v>49.9</v>
      </c>
      <c r="G69" s="239">
        <v>1.22</v>
      </c>
      <c r="H69" s="239">
        <v>1.1499999999999999</v>
      </c>
      <c r="I69" s="239">
        <v>7.8899999999999998E-2</v>
      </c>
      <c r="J69" s="239">
        <v>1.1299999999999999</v>
      </c>
      <c r="K69" s="239">
        <v>1.52E-2</v>
      </c>
      <c r="L69" s="240" t="s">
        <v>3282</v>
      </c>
      <c r="M69" s="258" t="s">
        <v>2872</v>
      </c>
    </row>
    <row r="70" spans="1:13" s="208" customFormat="1" ht="17.100000000000001" customHeight="1">
      <c r="A70" s="127" t="s">
        <v>3387</v>
      </c>
      <c r="B70" s="235" t="s">
        <v>3388</v>
      </c>
      <c r="C70" s="236" t="s">
        <v>2875</v>
      </c>
      <c r="D70" s="237" t="s">
        <v>3281</v>
      </c>
      <c r="E70" s="237" t="s">
        <v>202</v>
      </c>
      <c r="F70" s="238">
        <v>93.5</v>
      </c>
      <c r="G70" s="239">
        <v>1.71</v>
      </c>
      <c r="H70" s="239">
        <v>1.54</v>
      </c>
      <c r="I70" s="239">
        <v>0.17599999999999999</v>
      </c>
      <c r="J70" s="239">
        <v>1.51</v>
      </c>
      <c r="K70" s="239">
        <v>3.4500000000000003E-2</v>
      </c>
      <c r="L70" s="240" t="s">
        <v>3282</v>
      </c>
      <c r="M70" s="258" t="s">
        <v>3389</v>
      </c>
    </row>
    <row r="71" spans="1:13" s="208" customFormat="1" ht="17.100000000000001" customHeight="1">
      <c r="A71" s="127" t="s">
        <v>3390</v>
      </c>
      <c r="B71" s="235" t="s">
        <v>3391</v>
      </c>
      <c r="C71" s="236" t="s">
        <v>3392</v>
      </c>
      <c r="D71" s="237" t="s">
        <v>3281</v>
      </c>
      <c r="E71" s="237" t="s">
        <v>202</v>
      </c>
      <c r="F71" s="242">
        <v>131</v>
      </c>
      <c r="G71" s="243">
        <v>0.47199999999999998</v>
      </c>
      <c r="H71" s="243">
        <v>1.7799999999999999E-3</v>
      </c>
      <c r="I71" s="243">
        <v>0.47</v>
      </c>
      <c r="J71" s="243">
        <v>0</v>
      </c>
      <c r="K71" s="243">
        <v>0.107</v>
      </c>
      <c r="L71" s="240" t="s">
        <v>3282</v>
      </c>
      <c r="M71" s="241" t="s">
        <v>3393</v>
      </c>
    </row>
    <row r="72" spans="1:13" s="253" customFormat="1" ht="17.100000000000001" customHeight="1">
      <c r="A72" s="244" t="s">
        <v>3394</v>
      </c>
      <c r="B72" s="235" t="s">
        <v>3395</v>
      </c>
      <c r="C72" s="248" t="s">
        <v>3396</v>
      </c>
      <c r="D72" s="249" t="s">
        <v>3271</v>
      </c>
      <c r="E72" s="249" t="s">
        <v>202</v>
      </c>
      <c r="F72" s="242">
        <v>38.9</v>
      </c>
      <c r="G72" s="243">
        <v>1.2</v>
      </c>
      <c r="H72" s="243">
        <v>1.1399999999999999</v>
      </c>
      <c r="I72" s="243">
        <v>5.8099999999999999E-2</v>
      </c>
      <c r="J72" s="243">
        <v>1.1299999999999999</v>
      </c>
      <c r="K72" s="243">
        <v>1.35E-2</v>
      </c>
      <c r="L72" s="250" t="s">
        <v>3272</v>
      </c>
      <c r="M72" s="251" t="s">
        <v>3397</v>
      </c>
    </row>
    <row r="73" spans="1:13" s="253" customFormat="1" ht="17.100000000000001" customHeight="1">
      <c r="A73" s="244" t="s">
        <v>3398</v>
      </c>
      <c r="B73" s="235" t="s">
        <v>3399</v>
      </c>
      <c r="C73" s="248" t="s">
        <v>3400</v>
      </c>
      <c r="D73" s="249" t="s">
        <v>3271</v>
      </c>
      <c r="E73" s="249" t="s">
        <v>202</v>
      </c>
      <c r="F73" s="242">
        <v>45.1</v>
      </c>
      <c r="G73" s="243">
        <v>1.21</v>
      </c>
      <c r="H73" s="243">
        <v>1.1399999999999999</v>
      </c>
      <c r="I73" s="243">
        <v>6.7000000000000004E-2</v>
      </c>
      <c r="J73" s="243">
        <v>1.1299999999999999</v>
      </c>
      <c r="K73" s="243">
        <v>1.6500000000000001E-2</v>
      </c>
      <c r="L73" s="250" t="s">
        <v>3272</v>
      </c>
      <c r="M73" s="251" t="s">
        <v>3401</v>
      </c>
    </row>
    <row r="74" spans="1:13" s="208" customFormat="1" ht="24" customHeight="1">
      <c r="A74" s="127"/>
      <c r="B74" s="244"/>
      <c r="C74" s="259" t="s">
        <v>3402</v>
      </c>
      <c r="D74" s="237"/>
      <c r="E74" s="237"/>
      <c r="F74" s="238"/>
      <c r="G74" s="239"/>
      <c r="H74" s="239"/>
      <c r="I74" s="239"/>
      <c r="J74" s="239"/>
      <c r="K74" s="239"/>
      <c r="L74" s="237"/>
      <c r="M74" s="259" t="s">
        <v>3403</v>
      </c>
    </row>
    <row r="75" spans="1:13" s="208" customFormat="1" ht="15.75" customHeight="1">
      <c r="A75" s="141" t="s">
        <v>3404</v>
      </c>
      <c r="B75" s="868"/>
      <c r="C75" s="229" t="s">
        <v>3405</v>
      </c>
      <c r="D75" s="230"/>
      <c r="E75" s="245" t="s">
        <v>3137</v>
      </c>
      <c r="F75" s="246"/>
      <c r="G75" s="246"/>
      <c r="H75" s="246"/>
      <c r="I75" s="246"/>
      <c r="J75" s="246"/>
      <c r="K75" s="246"/>
      <c r="L75" s="230"/>
      <c r="M75" s="233" t="s">
        <v>3406</v>
      </c>
    </row>
    <row r="76" spans="1:13" s="208" customFormat="1" ht="15.75" customHeight="1">
      <c r="A76" s="127" t="s">
        <v>3407</v>
      </c>
      <c r="B76" s="235" t="s">
        <v>3408</v>
      </c>
      <c r="C76" s="236" t="s">
        <v>3203</v>
      </c>
      <c r="D76" s="237" t="s">
        <v>3153</v>
      </c>
      <c r="E76" s="237" t="s">
        <v>202</v>
      </c>
      <c r="F76" s="238">
        <v>674</v>
      </c>
      <c r="G76" s="239">
        <v>4.21</v>
      </c>
      <c r="H76" s="239">
        <v>5.4000000000000003E-3</v>
      </c>
      <c r="I76" s="239">
        <v>4.21</v>
      </c>
      <c r="J76" s="239">
        <v>0</v>
      </c>
      <c r="K76" s="239">
        <v>2.3800000000000002E-2</v>
      </c>
      <c r="L76" s="237" t="s">
        <v>3154</v>
      </c>
      <c r="M76" s="241" t="s">
        <v>3204</v>
      </c>
    </row>
    <row r="77" spans="1:13" s="208" customFormat="1" ht="15.75" customHeight="1">
      <c r="A77" s="127" t="s">
        <v>3409</v>
      </c>
      <c r="B77" s="235" t="s">
        <v>3410</v>
      </c>
      <c r="C77" s="236" t="s">
        <v>3411</v>
      </c>
      <c r="D77" s="237" t="s">
        <v>3153</v>
      </c>
      <c r="E77" s="237" t="s">
        <v>202</v>
      </c>
      <c r="F77" s="238">
        <v>621</v>
      </c>
      <c r="G77" s="239">
        <v>2.23</v>
      </c>
      <c r="H77" s="239">
        <v>7.4000000000000003E-3</v>
      </c>
      <c r="I77" s="239">
        <v>2.2200000000000002</v>
      </c>
      <c r="J77" s="239">
        <v>0</v>
      </c>
      <c r="K77" s="239">
        <v>0.47899999999999998</v>
      </c>
      <c r="L77" s="237" t="s">
        <v>3154</v>
      </c>
      <c r="M77" s="241" t="s">
        <v>3412</v>
      </c>
    </row>
    <row r="78" spans="1:13" s="253" customFormat="1" ht="15.75" customHeight="1">
      <c r="A78" s="244" t="s">
        <v>3413</v>
      </c>
      <c r="B78" s="235" t="s">
        <v>3414</v>
      </c>
      <c r="C78" s="248" t="s">
        <v>3415</v>
      </c>
      <c r="D78" s="249" t="s">
        <v>3153</v>
      </c>
      <c r="E78" s="249" t="s">
        <v>202</v>
      </c>
      <c r="F78" s="242">
        <v>944</v>
      </c>
      <c r="G78" s="243">
        <v>3.38</v>
      </c>
      <c r="H78" s="243">
        <v>1.34E-2</v>
      </c>
      <c r="I78" s="243">
        <v>3.37</v>
      </c>
      <c r="J78" s="243">
        <v>0</v>
      </c>
      <c r="K78" s="243">
        <v>0.74199999999999999</v>
      </c>
      <c r="L78" s="249" t="s">
        <v>3154</v>
      </c>
      <c r="M78" s="251" t="s">
        <v>3416</v>
      </c>
    </row>
    <row r="79" spans="1:13" s="208" customFormat="1" ht="15.75" customHeight="1">
      <c r="A79" s="260" t="s">
        <v>3417</v>
      </c>
      <c r="B79" s="235" t="s">
        <v>3418</v>
      </c>
      <c r="C79" s="236" t="s">
        <v>3419</v>
      </c>
      <c r="D79" s="237" t="s">
        <v>3153</v>
      </c>
      <c r="E79" s="237" t="s">
        <v>202</v>
      </c>
      <c r="F79" s="238">
        <v>1610</v>
      </c>
      <c r="G79" s="239">
        <v>3.94</v>
      </c>
      <c r="H79" s="239">
        <v>1.12E-2</v>
      </c>
      <c r="I79" s="239">
        <v>3.93</v>
      </c>
      <c r="J79" s="239">
        <v>0</v>
      </c>
      <c r="K79" s="239">
        <v>1.36</v>
      </c>
      <c r="L79" s="237" t="s">
        <v>3154</v>
      </c>
      <c r="M79" s="241" t="s">
        <v>3420</v>
      </c>
    </row>
    <row r="80" spans="1:13" s="208" customFormat="1" ht="15.75" customHeight="1">
      <c r="A80" s="127" t="s">
        <v>3421</v>
      </c>
      <c r="B80" s="235" t="s">
        <v>3422</v>
      </c>
      <c r="C80" s="236" t="s">
        <v>3423</v>
      </c>
      <c r="D80" s="237" t="s">
        <v>3153</v>
      </c>
      <c r="E80" s="237" t="s">
        <v>202</v>
      </c>
      <c r="F80" s="238">
        <v>1530</v>
      </c>
      <c r="G80" s="239">
        <v>3.91</v>
      </c>
      <c r="H80" s="239">
        <v>3.56E-2</v>
      </c>
      <c r="I80" s="239">
        <v>3.87</v>
      </c>
      <c r="J80" s="239">
        <v>0</v>
      </c>
      <c r="K80" s="239">
        <v>1.23</v>
      </c>
      <c r="L80" s="237" t="s">
        <v>3154</v>
      </c>
      <c r="M80" s="241" t="s">
        <v>3424</v>
      </c>
    </row>
    <row r="81" spans="1:13" s="208" customFormat="1" ht="15.75" customHeight="1">
      <c r="A81" s="127" t="s">
        <v>3425</v>
      </c>
      <c r="B81" s="235" t="s">
        <v>3426</v>
      </c>
      <c r="C81" s="236" t="s">
        <v>3427</v>
      </c>
      <c r="D81" s="237" t="s">
        <v>3153</v>
      </c>
      <c r="E81" s="237" t="s">
        <v>202</v>
      </c>
      <c r="F81" s="238">
        <v>1570</v>
      </c>
      <c r="G81" s="239">
        <v>3.75</v>
      </c>
      <c r="H81" s="239">
        <v>2.0500000000000001E-2</v>
      </c>
      <c r="I81" s="239">
        <v>3.73</v>
      </c>
      <c r="J81" s="239">
        <v>0</v>
      </c>
      <c r="K81" s="239">
        <v>1.07</v>
      </c>
      <c r="L81" s="237" t="s">
        <v>3154</v>
      </c>
      <c r="M81" s="241" t="s">
        <v>3428</v>
      </c>
    </row>
    <row r="82" spans="1:13" s="208" customFormat="1" ht="15.75" customHeight="1">
      <c r="A82" s="127" t="s">
        <v>3429</v>
      </c>
      <c r="B82" s="235" t="s">
        <v>3430</v>
      </c>
      <c r="C82" s="236" t="s">
        <v>3243</v>
      </c>
      <c r="D82" s="237" t="s">
        <v>3153</v>
      </c>
      <c r="E82" s="237" t="s">
        <v>202</v>
      </c>
      <c r="F82" s="238">
        <v>55.6</v>
      </c>
      <c r="G82" s="239">
        <v>1.6199999999999999E-2</v>
      </c>
      <c r="H82" s="239">
        <v>2.2499999999999998E-3</v>
      </c>
      <c r="I82" s="239">
        <v>1.4E-2</v>
      </c>
      <c r="J82" s="239">
        <v>0</v>
      </c>
      <c r="K82" s="239">
        <v>7.0699999999999999E-3</v>
      </c>
      <c r="L82" s="237" t="s">
        <v>3154</v>
      </c>
      <c r="M82" s="241" t="s">
        <v>3244</v>
      </c>
    </row>
    <row r="83" spans="1:13" s="208" customFormat="1" ht="15.75" customHeight="1">
      <c r="A83" s="127" t="s">
        <v>3431</v>
      </c>
      <c r="B83" s="235" t="s">
        <v>3432</v>
      </c>
      <c r="C83" s="236" t="s">
        <v>3219</v>
      </c>
      <c r="D83" s="237" t="s">
        <v>3153</v>
      </c>
      <c r="E83" s="237" t="s">
        <v>202</v>
      </c>
      <c r="F83" s="242">
        <v>172</v>
      </c>
      <c r="G83" s="243">
        <v>2.06</v>
      </c>
      <c r="H83" s="243">
        <v>1.93</v>
      </c>
      <c r="I83" s="243">
        <v>0.125</v>
      </c>
      <c r="J83" s="243">
        <v>0</v>
      </c>
      <c r="K83" s="243">
        <v>3.73E-2</v>
      </c>
      <c r="L83" s="237" t="s">
        <v>3154</v>
      </c>
      <c r="M83" s="241" t="s">
        <v>3220</v>
      </c>
    </row>
    <row r="84" spans="1:13" s="208" customFormat="1" ht="15.75" customHeight="1">
      <c r="A84" s="127" t="s">
        <v>3433</v>
      </c>
      <c r="B84" s="235" t="s">
        <v>3434</v>
      </c>
      <c r="C84" s="236" t="s">
        <v>3247</v>
      </c>
      <c r="D84" s="237" t="s">
        <v>3153</v>
      </c>
      <c r="E84" s="237" t="s">
        <v>202</v>
      </c>
      <c r="F84" s="242">
        <v>1180</v>
      </c>
      <c r="G84" s="243">
        <v>3.23</v>
      </c>
      <c r="H84" s="243">
        <v>1.9599999999999999E-2</v>
      </c>
      <c r="I84" s="243">
        <v>3.21</v>
      </c>
      <c r="J84" s="243">
        <v>0</v>
      </c>
      <c r="K84" s="243">
        <v>0.83899999999999997</v>
      </c>
      <c r="L84" s="237" t="s">
        <v>3154</v>
      </c>
      <c r="M84" s="241" t="s">
        <v>3248</v>
      </c>
    </row>
    <row r="85" spans="1:13" s="208" customFormat="1" ht="15.75" customHeight="1">
      <c r="A85" s="127" t="s">
        <v>3435</v>
      </c>
      <c r="B85" s="235" t="s">
        <v>3436</v>
      </c>
      <c r="C85" s="236" t="s">
        <v>3251</v>
      </c>
      <c r="D85" s="237" t="s">
        <v>3153</v>
      </c>
      <c r="E85" s="237" t="s">
        <v>202</v>
      </c>
      <c r="F85" s="242">
        <v>825</v>
      </c>
      <c r="G85" s="243">
        <v>2.84</v>
      </c>
      <c r="H85" s="243">
        <v>1.0500000000000001E-2</v>
      </c>
      <c r="I85" s="243">
        <v>2.83</v>
      </c>
      <c r="J85" s="243">
        <v>0</v>
      </c>
      <c r="K85" s="243">
        <v>0.64700000000000002</v>
      </c>
      <c r="L85" s="237" t="s">
        <v>3154</v>
      </c>
      <c r="M85" s="241" t="s">
        <v>3252</v>
      </c>
    </row>
    <row r="86" spans="1:13" s="208" customFormat="1" ht="15.75" customHeight="1">
      <c r="A86" s="127" t="s">
        <v>3437</v>
      </c>
      <c r="B86" s="235" t="s">
        <v>3438</v>
      </c>
      <c r="C86" s="236" t="s">
        <v>3255</v>
      </c>
      <c r="D86" s="237" t="s">
        <v>3153</v>
      </c>
      <c r="E86" s="237" t="s">
        <v>202</v>
      </c>
      <c r="F86" s="238">
        <v>509</v>
      </c>
      <c r="G86" s="239">
        <v>0.89600000000000002</v>
      </c>
      <c r="H86" s="239">
        <v>7.7399999999999997E-2</v>
      </c>
      <c r="I86" s="239">
        <v>0.81799999999999995</v>
      </c>
      <c r="J86" s="239">
        <v>0</v>
      </c>
      <c r="K86" s="239">
        <v>0.36299999999999999</v>
      </c>
      <c r="L86" s="237" t="s">
        <v>3154</v>
      </c>
      <c r="M86" s="241" t="s">
        <v>3256</v>
      </c>
    </row>
    <row r="87" spans="1:13" s="208" customFormat="1" ht="15.75" customHeight="1">
      <c r="A87" s="127" t="s">
        <v>3439</v>
      </c>
      <c r="B87" s="235" t="s">
        <v>3440</v>
      </c>
      <c r="C87" s="236" t="s">
        <v>3441</v>
      </c>
      <c r="D87" s="237" t="s">
        <v>3153</v>
      </c>
      <c r="E87" s="237" t="s">
        <v>202</v>
      </c>
      <c r="F87" s="242">
        <v>151</v>
      </c>
      <c r="G87" s="243">
        <v>1.36</v>
      </c>
      <c r="H87" s="243">
        <v>1.2</v>
      </c>
      <c r="I87" s="243">
        <v>0.159</v>
      </c>
      <c r="J87" s="243">
        <v>0</v>
      </c>
      <c r="K87" s="243">
        <v>4.7500000000000001E-2</v>
      </c>
      <c r="L87" s="237" t="s">
        <v>3154</v>
      </c>
      <c r="M87" s="241" t="s">
        <v>3442</v>
      </c>
    </row>
    <row r="88" spans="1:13" s="208" customFormat="1" ht="15.75" customHeight="1">
      <c r="A88" s="127" t="s">
        <v>3443</v>
      </c>
      <c r="B88" s="235" t="s">
        <v>3444</v>
      </c>
      <c r="C88" s="236" t="s">
        <v>3445</v>
      </c>
      <c r="D88" s="237" t="s">
        <v>3153</v>
      </c>
      <c r="E88" s="237" t="s">
        <v>202</v>
      </c>
      <c r="F88" s="242">
        <v>145</v>
      </c>
      <c r="G88" s="243">
        <v>1.35</v>
      </c>
      <c r="H88" s="243">
        <v>1.2</v>
      </c>
      <c r="I88" s="243">
        <v>0.14799999999999999</v>
      </c>
      <c r="J88" s="243">
        <v>0</v>
      </c>
      <c r="K88" s="243">
        <v>4.4699999999999997E-2</v>
      </c>
      <c r="L88" s="237" t="s">
        <v>3154</v>
      </c>
      <c r="M88" s="241" t="s">
        <v>3446</v>
      </c>
    </row>
    <row r="89" spans="1:13" s="208" customFormat="1" ht="15.75" customHeight="1">
      <c r="A89" s="127" t="s">
        <v>3447</v>
      </c>
      <c r="B89" s="235" t="s">
        <v>3448</v>
      </c>
      <c r="C89" s="236" t="s">
        <v>3449</v>
      </c>
      <c r="D89" s="237" t="s">
        <v>3153</v>
      </c>
      <c r="E89" s="237" t="s">
        <v>202</v>
      </c>
      <c r="F89" s="242">
        <v>156</v>
      </c>
      <c r="G89" s="243">
        <v>1.37</v>
      </c>
      <c r="H89" s="243">
        <v>1.2</v>
      </c>
      <c r="I89" s="243">
        <v>0.16700000000000001</v>
      </c>
      <c r="J89" s="243">
        <v>0</v>
      </c>
      <c r="K89" s="243">
        <v>0.05</v>
      </c>
      <c r="L89" s="237" t="s">
        <v>3154</v>
      </c>
      <c r="M89" s="241" t="s">
        <v>3450</v>
      </c>
    </row>
    <row r="90" spans="1:13" s="208" customFormat="1" ht="15.75" customHeight="1">
      <c r="A90" s="127" t="s">
        <v>3451</v>
      </c>
      <c r="B90" s="235" t="s">
        <v>3452</v>
      </c>
      <c r="C90" s="236" t="s">
        <v>3453</v>
      </c>
      <c r="D90" s="237" t="s">
        <v>3153</v>
      </c>
      <c r="E90" s="237" t="s">
        <v>202</v>
      </c>
      <c r="F90" s="242">
        <v>222</v>
      </c>
      <c r="G90" s="243">
        <v>1.46</v>
      </c>
      <c r="H90" s="243">
        <v>1.21</v>
      </c>
      <c r="I90" s="243">
        <v>0.253</v>
      </c>
      <c r="J90" s="243">
        <v>0</v>
      </c>
      <c r="K90" s="243">
        <v>7.2700000000000001E-2</v>
      </c>
      <c r="L90" s="237" t="s">
        <v>3154</v>
      </c>
      <c r="M90" s="241" t="s">
        <v>3454</v>
      </c>
    </row>
    <row r="91" spans="1:13" s="253" customFormat="1" ht="15.75" customHeight="1">
      <c r="A91" s="244" t="s">
        <v>3455</v>
      </c>
      <c r="B91" s="235" t="s">
        <v>3456</v>
      </c>
      <c r="C91" s="248" t="s">
        <v>3457</v>
      </c>
      <c r="D91" s="249" t="s">
        <v>3153</v>
      </c>
      <c r="E91" s="249" t="s">
        <v>202</v>
      </c>
      <c r="F91" s="242">
        <v>177</v>
      </c>
      <c r="G91" s="243">
        <v>1.39</v>
      </c>
      <c r="H91" s="243">
        <v>1.2</v>
      </c>
      <c r="I91" s="243">
        <v>0.185</v>
      </c>
      <c r="J91" s="243">
        <v>0</v>
      </c>
      <c r="K91" s="243">
        <v>5.45E-2</v>
      </c>
      <c r="L91" s="249" t="s">
        <v>3154</v>
      </c>
      <c r="M91" s="251" t="s">
        <v>3458</v>
      </c>
    </row>
    <row r="92" spans="1:13" s="253" customFormat="1" ht="15.75" customHeight="1">
      <c r="A92" s="244" t="s">
        <v>3459</v>
      </c>
      <c r="B92" s="235" t="s">
        <v>3460</v>
      </c>
      <c r="C92" s="248" t="s">
        <v>3461</v>
      </c>
      <c r="D92" s="249" t="s">
        <v>3153</v>
      </c>
      <c r="E92" s="249" t="s">
        <v>202</v>
      </c>
      <c r="F92" s="242">
        <v>179</v>
      </c>
      <c r="G92" s="243">
        <v>1.39</v>
      </c>
      <c r="H92" s="243">
        <v>1.21</v>
      </c>
      <c r="I92" s="243">
        <v>0.186</v>
      </c>
      <c r="J92" s="243">
        <v>0</v>
      </c>
      <c r="K92" s="243">
        <v>5.4399999999999997E-2</v>
      </c>
      <c r="L92" s="249" t="s">
        <v>3154</v>
      </c>
      <c r="M92" s="251" t="s">
        <v>3462</v>
      </c>
    </row>
    <row r="93" spans="1:13" s="253" customFormat="1" ht="15.75" customHeight="1">
      <c r="A93" s="244" t="s">
        <v>3463</v>
      </c>
      <c r="B93" s="235" t="s">
        <v>3464</v>
      </c>
      <c r="C93" s="248" t="s">
        <v>3465</v>
      </c>
      <c r="D93" s="249" t="s">
        <v>3153</v>
      </c>
      <c r="E93" s="249" t="s">
        <v>202</v>
      </c>
      <c r="F93" s="242">
        <v>144</v>
      </c>
      <c r="G93" s="243">
        <v>1.33</v>
      </c>
      <c r="H93" s="243">
        <v>1.2</v>
      </c>
      <c r="I93" s="243">
        <v>0.13700000000000001</v>
      </c>
      <c r="J93" s="243">
        <v>0</v>
      </c>
      <c r="K93" s="243">
        <v>3.6999999999999998E-2</v>
      </c>
      <c r="L93" s="249" t="s">
        <v>3154</v>
      </c>
      <c r="M93" s="251" t="s">
        <v>3466</v>
      </c>
    </row>
    <row r="94" spans="1:13" s="253" customFormat="1" ht="15.75" customHeight="1">
      <c r="A94" s="244" t="s">
        <v>3467</v>
      </c>
      <c r="B94" s="235" t="s">
        <v>3468</v>
      </c>
      <c r="C94" s="248" t="s">
        <v>3469</v>
      </c>
      <c r="D94" s="249" t="s">
        <v>3153</v>
      </c>
      <c r="E94" s="249" t="s">
        <v>202</v>
      </c>
      <c r="F94" s="242">
        <v>164</v>
      </c>
      <c r="G94" s="243">
        <v>1.39</v>
      </c>
      <c r="H94" s="243">
        <v>1.2</v>
      </c>
      <c r="I94" s="243">
        <v>0.188</v>
      </c>
      <c r="J94" s="243">
        <v>0</v>
      </c>
      <c r="K94" s="243">
        <v>4.7800000000000002E-2</v>
      </c>
      <c r="L94" s="249" t="s">
        <v>3154</v>
      </c>
      <c r="M94" s="251" t="s">
        <v>3470</v>
      </c>
    </row>
    <row r="95" spans="1:13" s="208" customFormat="1" ht="15.75" customHeight="1">
      <c r="A95" s="127" t="s">
        <v>3471</v>
      </c>
      <c r="B95" s="235" t="s">
        <v>3472</v>
      </c>
      <c r="C95" s="236" t="s">
        <v>3473</v>
      </c>
      <c r="D95" s="237" t="s">
        <v>3153</v>
      </c>
      <c r="E95" s="237" t="s">
        <v>202</v>
      </c>
      <c r="F95" s="238">
        <v>110</v>
      </c>
      <c r="G95" s="239">
        <v>1.29</v>
      </c>
      <c r="H95" s="239">
        <v>1.2</v>
      </c>
      <c r="I95" s="239">
        <v>8.6999999999999994E-2</v>
      </c>
      <c r="J95" s="239">
        <v>0</v>
      </c>
      <c r="K95" s="239">
        <v>2.8199999999999999E-2</v>
      </c>
      <c r="L95" s="237" t="s">
        <v>3154</v>
      </c>
      <c r="M95" s="241" t="s">
        <v>3474</v>
      </c>
    </row>
    <row r="96" spans="1:13" s="208" customFormat="1" ht="15.75" customHeight="1">
      <c r="A96" s="127" t="s">
        <v>3475</v>
      </c>
      <c r="B96" s="235" t="s">
        <v>3476</v>
      </c>
      <c r="C96" s="236" t="s">
        <v>3477</v>
      </c>
      <c r="D96" s="237" t="s">
        <v>3153</v>
      </c>
      <c r="E96" s="237" t="s">
        <v>202</v>
      </c>
      <c r="F96" s="238">
        <v>76.8</v>
      </c>
      <c r="G96" s="239">
        <v>1.19</v>
      </c>
      <c r="H96" s="239">
        <v>1.17</v>
      </c>
      <c r="I96" s="239">
        <v>2.46E-2</v>
      </c>
      <c r="J96" s="239">
        <v>0</v>
      </c>
      <c r="K96" s="239">
        <v>1.23E-2</v>
      </c>
      <c r="L96" s="237" t="s">
        <v>3154</v>
      </c>
      <c r="M96" s="241" t="s">
        <v>3478</v>
      </c>
    </row>
    <row r="97" spans="1:13" s="208" customFormat="1" ht="15.75" customHeight="1">
      <c r="A97" s="127" t="s">
        <v>3479</v>
      </c>
      <c r="B97" s="235" t="s">
        <v>3480</v>
      </c>
      <c r="C97" s="236" t="s">
        <v>3481</v>
      </c>
      <c r="D97" s="237" t="s">
        <v>3153</v>
      </c>
      <c r="E97" s="237" t="s">
        <v>202</v>
      </c>
      <c r="F97" s="238">
        <v>665</v>
      </c>
      <c r="G97" s="239">
        <v>3.43</v>
      </c>
      <c r="H97" s="239">
        <v>0.72099999999999997</v>
      </c>
      <c r="I97" s="239">
        <v>2.71</v>
      </c>
      <c r="J97" s="239">
        <v>0</v>
      </c>
      <c r="K97" s="239">
        <v>0.16900000000000001</v>
      </c>
      <c r="L97" s="237" t="s">
        <v>3154</v>
      </c>
      <c r="M97" s="241" t="s">
        <v>3482</v>
      </c>
    </row>
    <row r="98" spans="1:13" s="208" customFormat="1" ht="15.75" customHeight="1">
      <c r="A98" s="127" t="s">
        <v>3483</v>
      </c>
      <c r="B98" s="235" t="s">
        <v>3484</v>
      </c>
      <c r="C98" s="236" t="s">
        <v>3239</v>
      </c>
      <c r="D98" s="237" t="s">
        <v>3153</v>
      </c>
      <c r="E98" s="237" t="s">
        <v>202</v>
      </c>
      <c r="F98" s="238">
        <v>143</v>
      </c>
      <c r="G98" s="239">
        <v>3.36</v>
      </c>
      <c r="H98" s="239">
        <v>3.17</v>
      </c>
      <c r="I98" s="239">
        <v>0.191</v>
      </c>
      <c r="J98" s="239">
        <v>0</v>
      </c>
      <c r="K98" s="239">
        <v>3.09E-2</v>
      </c>
      <c r="L98" s="237" t="s">
        <v>3154</v>
      </c>
      <c r="M98" s="241" t="s">
        <v>3240</v>
      </c>
    </row>
    <row r="99" spans="1:13" s="208" customFormat="1" ht="15.75" customHeight="1">
      <c r="A99" s="127" t="s">
        <v>3485</v>
      </c>
      <c r="B99" s="235" t="s">
        <v>3486</v>
      </c>
      <c r="C99" s="236" t="s">
        <v>3487</v>
      </c>
      <c r="D99" s="237" t="s">
        <v>3153</v>
      </c>
      <c r="E99" s="237" t="s">
        <v>202</v>
      </c>
      <c r="F99" s="242">
        <v>513</v>
      </c>
      <c r="G99" s="243">
        <v>2.64</v>
      </c>
      <c r="H99" s="243">
        <v>0.55600000000000005</v>
      </c>
      <c r="I99" s="243">
        <v>2.08</v>
      </c>
      <c r="J99" s="243">
        <v>0</v>
      </c>
      <c r="K99" s="243">
        <v>0.125</v>
      </c>
      <c r="L99" s="237" t="s">
        <v>3154</v>
      </c>
      <c r="M99" s="241" t="s">
        <v>3488</v>
      </c>
    </row>
    <row r="100" spans="1:13" s="208" customFormat="1" ht="15.75" customHeight="1">
      <c r="A100" s="127" t="s">
        <v>3489</v>
      </c>
      <c r="B100" s="235" t="s">
        <v>3490</v>
      </c>
      <c r="C100" s="236" t="s">
        <v>3491</v>
      </c>
      <c r="D100" s="237" t="s">
        <v>3153</v>
      </c>
      <c r="E100" s="237" t="s">
        <v>202</v>
      </c>
      <c r="F100" s="242">
        <v>329</v>
      </c>
      <c r="G100" s="243">
        <v>2.36</v>
      </c>
      <c r="H100" s="243">
        <v>0.67800000000000005</v>
      </c>
      <c r="I100" s="243">
        <v>1.68</v>
      </c>
      <c r="J100" s="243">
        <v>0</v>
      </c>
      <c r="K100" s="243">
        <v>3.2199999999999999E-2</v>
      </c>
      <c r="L100" s="237" t="s">
        <v>3154</v>
      </c>
      <c r="M100" s="241" t="s">
        <v>3492</v>
      </c>
    </row>
    <row r="101" spans="1:13" s="208" customFormat="1" ht="15.75" customHeight="1">
      <c r="A101" s="127" t="s">
        <v>3493</v>
      </c>
      <c r="B101" s="235" t="s">
        <v>3494</v>
      </c>
      <c r="C101" s="236" t="s">
        <v>3495</v>
      </c>
      <c r="D101" s="237" t="s">
        <v>3153</v>
      </c>
      <c r="E101" s="237" t="s">
        <v>202</v>
      </c>
      <c r="F101" s="242">
        <v>81.599999999999994</v>
      </c>
      <c r="G101" s="243">
        <v>1.19</v>
      </c>
      <c r="H101" s="243">
        <v>1.1599999999999999</v>
      </c>
      <c r="I101" s="243">
        <v>3.2500000000000001E-2</v>
      </c>
      <c r="J101" s="243">
        <v>0</v>
      </c>
      <c r="K101" s="243">
        <v>1.5299999999999999E-2</v>
      </c>
      <c r="L101" s="237" t="s">
        <v>3154</v>
      </c>
      <c r="M101" s="241" t="s">
        <v>3496</v>
      </c>
    </row>
    <row r="102" spans="1:13" s="253" customFormat="1" ht="15.75" customHeight="1">
      <c r="A102" s="244" t="s">
        <v>3497</v>
      </c>
      <c r="B102" s="235" t="s">
        <v>3498</v>
      </c>
      <c r="C102" s="248" t="s">
        <v>3499</v>
      </c>
      <c r="D102" s="249" t="s">
        <v>3153</v>
      </c>
      <c r="E102" s="249" t="s">
        <v>202</v>
      </c>
      <c r="F102" s="242">
        <v>265</v>
      </c>
      <c r="G102" s="243">
        <v>1.98</v>
      </c>
      <c r="H102" s="243">
        <v>0.90200000000000002</v>
      </c>
      <c r="I102" s="243">
        <v>1.07</v>
      </c>
      <c r="J102" s="243">
        <v>0</v>
      </c>
      <c r="K102" s="243">
        <v>5.4300000000000001E-2</v>
      </c>
      <c r="L102" s="249" t="s">
        <v>3154</v>
      </c>
      <c r="M102" s="251" t="s">
        <v>3500</v>
      </c>
    </row>
    <row r="103" spans="1:13" s="208" customFormat="1" ht="15.75" customHeight="1">
      <c r="A103" s="127" t="s">
        <v>3501</v>
      </c>
      <c r="B103" s="235" t="s">
        <v>3502</v>
      </c>
      <c r="C103" s="236" t="s">
        <v>3503</v>
      </c>
      <c r="D103" s="237" t="s">
        <v>3153</v>
      </c>
      <c r="E103" s="237" t="s">
        <v>202</v>
      </c>
      <c r="F103" s="242">
        <v>934</v>
      </c>
      <c r="G103" s="243">
        <v>3.14</v>
      </c>
      <c r="H103" s="243">
        <v>0.27500000000000002</v>
      </c>
      <c r="I103" s="243">
        <v>2.87</v>
      </c>
      <c r="J103" s="243">
        <v>0</v>
      </c>
      <c r="K103" s="243">
        <v>0.52200000000000002</v>
      </c>
      <c r="L103" s="237" t="s">
        <v>3154</v>
      </c>
      <c r="M103" s="241" t="s">
        <v>3504</v>
      </c>
    </row>
    <row r="104" spans="1:13" s="208" customFormat="1" ht="15.75" customHeight="1">
      <c r="A104" s="141" t="s">
        <v>3505</v>
      </c>
      <c r="B104" s="868"/>
      <c r="C104" s="229" t="s">
        <v>3506</v>
      </c>
      <c r="D104" s="230"/>
      <c r="E104" s="245" t="s">
        <v>3137</v>
      </c>
      <c r="F104" s="246"/>
      <c r="G104" s="246"/>
      <c r="H104" s="246"/>
      <c r="I104" s="246"/>
      <c r="J104" s="246"/>
      <c r="K104" s="246"/>
      <c r="L104" s="230"/>
      <c r="M104" s="233" t="s">
        <v>3507</v>
      </c>
    </row>
    <row r="105" spans="1:13" s="208" customFormat="1" ht="15.75" customHeight="1">
      <c r="A105" s="127" t="s">
        <v>3508</v>
      </c>
      <c r="B105" s="235" t="s">
        <v>3509</v>
      </c>
      <c r="C105" s="236" t="s">
        <v>3441</v>
      </c>
      <c r="D105" s="237" t="s">
        <v>3153</v>
      </c>
      <c r="E105" s="237" t="s">
        <v>202</v>
      </c>
      <c r="F105" s="242">
        <v>86.5</v>
      </c>
      <c r="G105" s="243">
        <v>1.22</v>
      </c>
      <c r="H105" s="243">
        <v>1.0900000000000001</v>
      </c>
      <c r="I105" s="243">
        <v>0.13100000000000001</v>
      </c>
      <c r="J105" s="243">
        <v>1.07</v>
      </c>
      <c r="K105" s="243">
        <v>3.6700000000000003E-2</v>
      </c>
      <c r="L105" s="237" t="s">
        <v>3154</v>
      </c>
      <c r="M105" s="241" t="s">
        <v>3442</v>
      </c>
    </row>
    <row r="106" spans="1:13" s="208" customFormat="1" ht="15.75" customHeight="1">
      <c r="A106" s="127" t="s">
        <v>3510</v>
      </c>
      <c r="B106" s="235" t="s">
        <v>3511</v>
      </c>
      <c r="C106" s="236" t="s">
        <v>3445</v>
      </c>
      <c r="D106" s="237" t="s">
        <v>3153</v>
      </c>
      <c r="E106" s="237" t="s">
        <v>202</v>
      </c>
      <c r="F106" s="242">
        <v>81.2</v>
      </c>
      <c r="G106" s="243">
        <v>1.21</v>
      </c>
      <c r="H106" s="243">
        <v>1.0900000000000001</v>
      </c>
      <c r="I106" s="243">
        <v>0.122</v>
      </c>
      <c r="J106" s="243">
        <v>1.07</v>
      </c>
      <c r="K106" s="243">
        <v>3.4200000000000001E-2</v>
      </c>
      <c r="L106" s="237" t="s">
        <v>3154</v>
      </c>
      <c r="M106" s="241" t="s">
        <v>3446</v>
      </c>
    </row>
    <row r="107" spans="1:13" s="208" customFormat="1" ht="15.75" customHeight="1">
      <c r="A107" s="127" t="s">
        <v>3512</v>
      </c>
      <c r="B107" s="235" t="s">
        <v>3513</v>
      </c>
      <c r="C107" s="236" t="s">
        <v>3449</v>
      </c>
      <c r="D107" s="237" t="s">
        <v>3153</v>
      </c>
      <c r="E107" s="237" t="s">
        <v>202</v>
      </c>
      <c r="F107" s="242">
        <v>90.9</v>
      </c>
      <c r="G107" s="243">
        <v>1.23</v>
      </c>
      <c r="H107" s="243">
        <v>1.0900000000000001</v>
      </c>
      <c r="I107" s="243">
        <v>0.13900000000000001</v>
      </c>
      <c r="J107" s="243">
        <v>1.07</v>
      </c>
      <c r="K107" s="243">
        <v>3.9E-2</v>
      </c>
      <c r="L107" s="237" t="s">
        <v>3154</v>
      </c>
      <c r="M107" s="241" t="s">
        <v>3450</v>
      </c>
    </row>
    <row r="108" spans="1:13" s="208" customFormat="1" ht="15.75" customHeight="1">
      <c r="A108" s="127" t="s">
        <v>3514</v>
      </c>
      <c r="B108" s="235" t="s">
        <v>3515</v>
      </c>
      <c r="C108" s="236" t="s">
        <v>3453</v>
      </c>
      <c r="D108" s="237" t="s">
        <v>3153</v>
      </c>
      <c r="E108" s="237" t="s">
        <v>202</v>
      </c>
      <c r="F108" s="242">
        <v>151</v>
      </c>
      <c r="G108" s="243">
        <v>1.31</v>
      </c>
      <c r="H108" s="243">
        <v>1.0900000000000001</v>
      </c>
      <c r="I108" s="243">
        <v>0.216</v>
      </c>
      <c r="J108" s="243">
        <v>1.07</v>
      </c>
      <c r="K108" s="243">
        <v>5.9400000000000001E-2</v>
      </c>
      <c r="L108" s="237" t="s">
        <v>3154</v>
      </c>
      <c r="M108" s="241" t="s">
        <v>3454</v>
      </c>
    </row>
    <row r="109" spans="1:13" s="253" customFormat="1" ht="15.75" customHeight="1">
      <c r="A109" s="244" t="s">
        <v>3516</v>
      </c>
      <c r="B109" s="235" t="s">
        <v>3517</v>
      </c>
      <c r="C109" s="248" t="s">
        <v>3457</v>
      </c>
      <c r="D109" s="249" t="s">
        <v>3153</v>
      </c>
      <c r="E109" s="249" t="s">
        <v>202</v>
      </c>
      <c r="F109" s="242">
        <v>110</v>
      </c>
      <c r="G109" s="243">
        <v>1.25</v>
      </c>
      <c r="H109" s="243">
        <v>1.0900000000000001</v>
      </c>
      <c r="I109" s="243">
        <v>0.155</v>
      </c>
      <c r="J109" s="243">
        <v>1.07</v>
      </c>
      <c r="K109" s="243">
        <v>4.3099999999999999E-2</v>
      </c>
      <c r="L109" s="249" t="s">
        <v>3154</v>
      </c>
      <c r="M109" s="251" t="s">
        <v>3458</v>
      </c>
    </row>
    <row r="110" spans="1:13" s="253" customFormat="1" ht="15.75" customHeight="1">
      <c r="A110" s="244" t="s">
        <v>3518</v>
      </c>
      <c r="B110" s="235" t="s">
        <v>3519</v>
      </c>
      <c r="C110" s="248" t="s">
        <v>3461</v>
      </c>
      <c r="D110" s="249" t="s">
        <v>3153</v>
      </c>
      <c r="E110" s="249" t="s">
        <v>202</v>
      </c>
      <c r="F110" s="242">
        <v>112</v>
      </c>
      <c r="G110" s="243">
        <v>1.25</v>
      </c>
      <c r="H110" s="243">
        <v>1.0900000000000001</v>
      </c>
      <c r="I110" s="243">
        <v>0.156</v>
      </c>
      <c r="J110" s="243">
        <v>1.07</v>
      </c>
      <c r="K110" s="243">
        <v>4.2900000000000001E-2</v>
      </c>
      <c r="L110" s="249" t="s">
        <v>3154</v>
      </c>
      <c r="M110" s="251" t="s">
        <v>3462</v>
      </c>
    </row>
    <row r="111" spans="1:13" s="253" customFormat="1" ht="15.75" customHeight="1">
      <c r="A111" s="244" t="s">
        <v>3520</v>
      </c>
      <c r="B111" s="235" t="s">
        <v>3521</v>
      </c>
      <c r="C111" s="248" t="s">
        <v>3465</v>
      </c>
      <c r="D111" s="249" t="s">
        <v>3153</v>
      </c>
      <c r="E111" s="249" t="s">
        <v>202</v>
      </c>
      <c r="F111" s="242">
        <v>79.8</v>
      </c>
      <c r="G111" s="243">
        <v>1.2</v>
      </c>
      <c r="H111" s="243">
        <v>1.08</v>
      </c>
      <c r="I111" s="243">
        <v>0.111</v>
      </c>
      <c r="J111" s="243">
        <v>1.07</v>
      </c>
      <c r="K111" s="243">
        <v>2.7199999999999998E-2</v>
      </c>
      <c r="L111" s="249" t="s">
        <v>3154</v>
      </c>
      <c r="M111" s="251" t="s">
        <v>3466</v>
      </c>
    </row>
    <row r="112" spans="1:13" s="253" customFormat="1" ht="15.75" customHeight="1">
      <c r="A112" s="244" t="s">
        <v>3522</v>
      </c>
      <c r="B112" s="235" t="s">
        <v>3523</v>
      </c>
      <c r="C112" s="248" t="s">
        <v>3469</v>
      </c>
      <c r="D112" s="249" t="s">
        <v>3153</v>
      </c>
      <c r="E112" s="249" t="s">
        <v>202</v>
      </c>
      <c r="F112" s="242">
        <v>98.6</v>
      </c>
      <c r="G112" s="243">
        <v>1.25</v>
      </c>
      <c r="H112" s="243">
        <v>1.0900000000000001</v>
      </c>
      <c r="I112" s="243">
        <v>0.158</v>
      </c>
      <c r="J112" s="243">
        <v>1.07</v>
      </c>
      <c r="K112" s="243">
        <v>3.6999999999999998E-2</v>
      </c>
      <c r="L112" s="249" t="s">
        <v>3154</v>
      </c>
      <c r="M112" s="251" t="s">
        <v>3470</v>
      </c>
    </row>
    <row r="113" spans="1:13" s="253" customFormat="1" ht="15.75" customHeight="1">
      <c r="A113" s="244" t="s">
        <v>3524</v>
      </c>
      <c r="B113" s="235" t="s">
        <v>3525</v>
      </c>
      <c r="C113" s="248" t="s">
        <v>3526</v>
      </c>
      <c r="D113" s="249" t="s">
        <v>3153</v>
      </c>
      <c r="E113" s="249" t="s">
        <v>202</v>
      </c>
      <c r="F113" s="242">
        <v>111</v>
      </c>
      <c r="G113" s="243">
        <v>1.26</v>
      </c>
      <c r="H113" s="243">
        <v>1.0900000000000001</v>
      </c>
      <c r="I113" s="243">
        <v>0.17299999999999999</v>
      </c>
      <c r="J113" s="243">
        <v>1.07</v>
      </c>
      <c r="K113" s="243">
        <v>4.9000000000000002E-2</v>
      </c>
      <c r="L113" s="249" t="s">
        <v>3154</v>
      </c>
      <c r="M113" s="251" t="s">
        <v>3527</v>
      </c>
    </row>
    <row r="114" spans="1:13" s="208" customFormat="1" ht="15.75" customHeight="1">
      <c r="A114" s="127" t="s">
        <v>3528</v>
      </c>
      <c r="B114" s="235" t="s">
        <v>3529</v>
      </c>
      <c r="C114" s="236" t="s">
        <v>3473</v>
      </c>
      <c r="D114" s="237" t="s">
        <v>3153</v>
      </c>
      <c r="E114" s="237" t="s">
        <v>202</v>
      </c>
      <c r="F114" s="238">
        <v>49.4</v>
      </c>
      <c r="G114" s="239">
        <v>1.1499999999999999</v>
      </c>
      <c r="H114" s="239">
        <v>1.0900000000000001</v>
      </c>
      <c r="I114" s="239">
        <v>6.6199999999999995E-2</v>
      </c>
      <c r="J114" s="239">
        <v>1.08</v>
      </c>
      <c r="K114" s="239">
        <v>1.9099999999999999E-2</v>
      </c>
      <c r="L114" s="237" t="s">
        <v>3154</v>
      </c>
      <c r="M114" s="241" t="s">
        <v>3474</v>
      </c>
    </row>
    <row r="115" spans="1:13" s="208" customFormat="1" ht="15.75" customHeight="1">
      <c r="A115" s="127" t="s">
        <v>3530</v>
      </c>
      <c r="B115" s="235" t="s">
        <v>3531</v>
      </c>
      <c r="C115" s="236" t="s">
        <v>3194</v>
      </c>
      <c r="D115" s="237" t="s">
        <v>3153</v>
      </c>
      <c r="E115" s="237" t="s">
        <v>202</v>
      </c>
      <c r="F115" s="242">
        <v>410</v>
      </c>
      <c r="G115" s="243">
        <v>0.79500000000000004</v>
      </c>
      <c r="H115" s="243">
        <v>6.8000000000000005E-2</v>
      </c>
      <c r="I115" s="243">
        <v>0.72699999999999998</v>
      </c>
      <c r="J115" s="243">
        <v>0</v>
      </c>
      <c r="K115" s="243">
        <v>0.32200000000000001</v>
      </c>
      <c r="L115" s="237" t="s">
        <v>3154</v>
      </c>
      <c r="M115" s="241" t="s">
        <v>3195</v>
      </c>
    </row>
    <row r="116" spans="1:13" s="208" customFormat="1" ht="15.75" customHeight="1">
      <c r="A116" s="127" t="s">
        <v>3532</v>
      </c>
      <c r="B116" s="235" t="s">
        <v>3533</v>
      </c>
      <c r="C116" s="236" t="s">
        <v>3534</v>
      </c>
      <c r="D116" s="237" t="s">
        <v>3153</v>
      </c>
      <c r="E116" s="237" t="s">
        <v>202</v>
      </c>
      <c r="F116" s="238">
        <v>231</v>
      </c>
      <c r="G116" s="239">
        <v>0.14099999999999999</v>
      </c>
      <c r="H116" s="239">
        <v>3.4299999999999997E-2</v>
      </c>
      <c r="I116" s="239">
        <v>0.107</v>
      </c>
      <c r="J116" s="239">
        <v>0</v>
      </c>
      <c r="K116" s="239">
        <v>0.155</v>
      </c>
      <c r="L116" s="237" t="s">
        <v>3154</v>
      </c>
      <c r="M116" s="241" t="s">
        <v>3535</v>
      </c>
    </row>
    <row r="117" spans="1:13" s="208" customFormat="1" ht="15.75" customHeight="1">
      <c r="A117" s="127" t="s">
        <v>3536</v>
      </c>
      <c r="B117" s="235" t="s">
        <v>3537</v>
      </c>
      <c r="C117" s="236" t="s">
        <v>3392</v>
      </c>
      <c r="D117" s="237" t="s">
        <v>3153</v>
      </c>
      <c r="E117" s="237" t="s">
        <v>202</v>
      </c>
      <c r="F117" s="242">
        <v>940</v>
      </c>
      <c r="G117" s="243">
        <v>3.38</v>
      </c>
      <c r="H117" s="243">
        <v>1.2800000000000001E-2</v>
      </c>
      <c r="I117" s="243">
        <v>3.37</v>
      </c>
      <c r="J117" s="243">
        <v>0</v>
      </c>
      <c r="K117" s="243">
        <v>0.76700000000000002</v>
      </c>
      <c r="L117" s="237" t="s">
        <v>3154</v>
      </c>
      <c r="M117" s="241" t="s">
        <v>3393</v>
      </c>
    </row>
    <row r="118" spans="1:13" s="253" customFormat="1" ht="15.75" customHeight="1">
      <c r="A118" s="261" t="s">
        <v>3538</v>
      </c>
      <c r="B118" s="861" t="s">
        <v>3539</v>
      </c>
      <c r="C118" s="262" t="s">
        <v>3540</v>
      </c>
      <c r="D118" s="263" t="s">
        <v>3153</v>
      </c>
      <c r="E118" s="263" t="s">
        <v>202</v>
      </c>
      <c r="F118" s="242">
        <v>566</v>
      </c>
      <c r="G118" s="243">
        <v>1.0900000000000001</v>
      </c>
      <c r="H118" s="243">
        <v>9.1600000000000001E-2</v>
      </c>
      <c r="I118" s="243">
        <v>1</v>
      </c>
      <c r="J118" s="243">
        <v>0</v>
      </c>
      <c r="K118" s="243">
        <v>0.43099999999999999</v>
      </c>
      <c r="L118" s="263" t="s">
        <v>3154</v>
      </c>
      <c r="M118" s="264" t="s">
        <v>3393</v>
      </c>
    </row>
    <row r="119" spans="1:13" s="208" customFormat="1" ht="90" customHeight="1">
      <c r="A119" s="1690" t="s">
        <v>3541</v>
      </c>
      <c r="B119" s="1690"/>
      <c r="C119" s="1690"/>
      <c r="D119" s="1690"/>
      <c r="E119" s="1690"/>
      <c r="F119" s="1690"/>
      <c r="G119" s="1690"/>
      <c r="H119" s="1690"/>
      <c r="I119" s="1690"/>
      <c r="J119" s="1690"/>
      <c r="K119" s="1690"/>
      <c r="L119" s="1690"/>
      <c r="M119" s="1690"/>
    </row>
    <row r="120" spans="1:13" s="208" customFormat="1" ht="13.5" customHeight="1">
      <c r="C120" s="209" t="s">
        <v>3137</v>
      </c>
      <c r="D120" s="210"/>
      <c r="E120" s="210" t="s">
        <v>3137</v>
      </c>
      <c r="F120" s="210" t="s">
        <v>3137</v>
      </c>
      <c r="G120" s="210" t="s">
        <v>3137</v>
      </c>
      <c r="H120" s="210" t="s">
        <v>3137</v>
      </c>
      <c r="I120" s="265" t="s">
        <v>3137</v>
      </c>
      <c r="J120" s="265"/>
      <c r="K120" s="210" t="s">
        <v>3137</v>
      </c>
      <c r="L120" s="210"/>
      <c r="M120" s="1437" t="s">
        <v>3137</v>
      </c>
    </row>
    <row r="121" spans="1:13" s="208" customFormat="1" ht="13.5" customHeight="1">
      <c r="C121" s="209" t="s">
        <v>3137</v>
      </c>
      <c r="D121" s="210"/>
      <c r="E121" s="210" t="s">
        <v>3137</v>
      </c>
      <c r="F121" s="210" t="s">
        <v>3137</v>
      </c>
      <c r="G121" s="210" t="s">
        <v>3137</v>
      </c>
      <c r="H121" s="210" t="s">
        <v>3137</v>
      </c>
      <c r="I121" s="265" t="s">
        <v>3137</v>
      </c>
      <c r="J121" s="265"/>
      <c r="K121" s="210" t="s">
        <v>3137</v>
      </c>
      <c r="L121" s="210"/>
      <c r="M121" s="1437" t="s">
        <v>3137</v>
      </c>
    </row>
    <row r="122" spans="1:13" s="208" customFormat="1" ht="13.5" customHeight="1">
      <c r="C122" s="209" t="s">
        <v>3137</v>
      </c>
      <c r="D122" s="210"/>
      <c r="E122" s="210" t="s">
        <v>3137</v>
      </c>
      <c r="F122" s="210" t="s">
        <v>3137</v>
      </c>
      <c r="G122" s="210" t="s">
        <v>3137</v>
      </c>
      <c r="H122" s="210" t="s">
        <v>3137</v>
      </c>
      <c r="I122" s="265" t="s">
        <v>3137</v>
      </c>
      <c r="J122" s="265"/>
      <c r="K122" s="210" t="s">
        <v>3137</v>
      </c>
      <c r="L122" s="210"/>
      <c r="M122" s="1437" t="s">
        <v>3137</v>
      </c>
    </row>
    <row r="123" spans="1:13" s="208" customFormat="1" ht="13.5" customHeight="1">
      <c r="C123" s="209" t="s">
        <v>3137</v>
      </c>
      <c r="D123" s="210"/>
      <c r="E123" s="210" t="s">
        <v>3137</v>
      </c>
      <c r="F123" s="210" t="s">
        <v>3137</v>
      </c>
      <c r="G123" s="210" t="s">
        <v>3137</v>
      </c>
      <c r="H123" s="210" t="s">
        <v>3137</v>
      </c>
      <c r="I123" s="265" t="s">
        <v>3137</v>
      </c>
      <c r="J123" s="265"/>
      <c r="K123" s="210" t="s">
        <v>3137</v>
      </c>
      <c r="L123" s="210"/>
      <c r="M123" s="1437" t="s">
        <v>3137</v>
      </c>
    </row>
    <row r="124" spans="1:13" s="208" customFormat="1" ht="13.5" customHeight="1">
      <c r="C124" s="209" t="s">
        <v>3137</v>
      </c>
      <c r="D124" s="210"/>
      <c r="E124" s="210" t="s">
        <v>3137</v>
      </c>
      <c r="F124" s="210" t="s">
        <v>3137</v>
      </c>
      <c r="G124" s="210" t="s">
        <v>3137</v>
      </c>
      <c r="H124" s="210" t="s">
        <v>3137</v>
      </c>
      <c r="I124" s="265" t="s">
        <v>3137</v>
      </c>
      <c r="J124" s="265"/>
      <c r="K124" s="210" t="s">
        <v>3137</v>
      </c>
      <c r="L124" s="210"/>
      <c r="M124" s="1437" t="s">
        <v>3137</v>
      </c>
    </row>
    <row r="125" spans="1:13" s="208" customFormat="1" ht="13.5" customHeight="1">
      <c r="C125" s="209" t="s">
        <v>3137</v>
      </c>
      <c r="D125" s="210"/>
      <c r="E125" s="210" t="s">
        <v>3137</v>
      </c>
      <c r="F125" s="210" t="s">
        <v>3137</v>
      </c>
      <c r="G125" s="210" t="s">
        <v>3137</v>
      </c>
      <c r="H125" s="210" t="s">
        <v>3137</v>
      </c>
      <c r="I125" s="265" t="s">
        <v>3137</v>
      </c>
      <c r="J125" s="265"/>
      <c r="K125" s="210" t="s">
        <v>3137</v>
      </c>
      <c r="L125" s="210"/>
      <c r="M125" s="1437" t="s">
        <v>3137</v>
      </c>
    </row>
    <row r="126" spans="1:13" s="208" customFormat="1" ht="13.5" customHeight="1">
      <c r="C126" s="209" t="s">
        <v>3137</v>
      </c>
      <c r="D126" s="210"/>
      <c r="E126" s="210" t="s">
        <v>3137</v>
      </c>
      <c r="F126" s="210" t="s">
        <v>3137</v>
      </c>
      <c r="G126" s="210" t="s">
        <v>3137</v>
      </c>
      <c r="H126" s="210" t="s">
        <v>3137</v>
      </c>
      <c r="I126" s="265" t="s">
        <v>3137</v>
      </c>
      <c r="J126" s="265"/>
      <c r="K126" s="210" t="s">
        <v>3137</v>
      </c>
      <c r="L126" s="210"/>
      <c r="M126" s="1437" t="s">
        <v>3137</v>
      </c>
    </row>
    <row r="127" spans="1:13" s="208" customFormat="1" ht="13.5" customHeight="1">
      <c r="C127" s="209" t="s">
        <v>3137</v>
      </c>
      <c r="D127" s="210"/>
      <c r="E127" s="210" t="s">
        <v>3137</v>
      </c>
      <c r="F127" s="210" t="s">
        <v>3137</v>
      </c>
      <c r="G127" s="210" t="s">
        <v>3137</v>
      </c>
      <c r="H127" s="210" t="s">
        <v>3137</v>
      </c>
      <c r="I127" s="265" t="s">
        <v>3137</v>
      </c>
      <c r="J127" s="265"/>
      <c r="K127" s="210" t="s">
        <v>3137</v>
      </c>
      <c r="L127" s="210"/>
      <c r="M127" s="1437" t="s">
        <v>3137</v>
      </c>
    </row>
    <row r="128" spans="1:13" s="208" customFormat="1" ht="13.5" customHeight="1">
      <c r="C128" s="209" t="s">
        <v>3137</v>
      </c>
      <c r="D128" s="210"/>
      <c r="E128" s="210" t="s">
        <v>3137</v>
      </c>
      <c r="F128" s="210" t="s">
        <v>3137</v>
      </c>
      <c r="G128" s="210" t="s">
        <v>3137</v>
      </c>
      <c r="H128" s="210" t="s">
        <v>3137</v>
      </c>
      <c r="I128" s="265" t="s">
        <v>3137</v>
      </c>
      <c r="J128" s="265"/>
      <c r="K128" s="210" t="s">
        <v>3137</v>
      </c>
      <c r="L128" s="210"/>
      <c r="M128" s="1437" t="s">
        <v>3137</v>
      </c>
    </row>
  </sheetData>
  <customSheetViews>
    <customSheetView guid="{54A7C567-FA7D-467E-B353-ECB5E61AE756}" hiddenRows="1" hiddenColumns="1" state="hidden">
      <selection activeCell="I30" sqref="I30"/>
      <pageMargins left="0" right="0" top="0" bottom="0" header="0" footer="0"/>
      <pageSetup paperSize="9" orientation="portrait" r:id="rId1"/>
    </customSheetView>
  </customSheetViews>
  <mergeCells count="7">
    <mergeCell ref="A119:M119"/>
    <mergeCell ref="C2:F2"/>
    <mergeCell ref="C4:C6"/>
    <mergeCell ref="D4:E4"/>
    <mergeCell ref="G4:J4"/>
    <mergeCell ref="M4:M6"/>
    <mergeCell ref="A5:A6"/>
  </mergeCells>
  <conditionalFormatting sqref="F9:K118">
    <cfRule type="cellIs" dxfId="58" priority="1" operator="equal">
      <formula>0</formula>
    </cfRule>
    <cfRule type="cellIs" dxfId="57" priority="2" operator="greaterThan">
      <formula>100</formula>
    </cfRule>
    <cfRule type="cellIs" dxfId="56" priority="3" operator="between">
      <formula>10</formula>
      <formula>100</formula>
    </cfRule>
    <cfRule type="cellIs" dxfId="55" priority="4" operator="between">
      <formula>1</formula>
      <formula>10</formula>
    </cfRule>
    <cfRule type="cellIs" dxfId="54" priority="5" operator="lessThan">
      <formula>1</formula>
    </cfRule>
  </conditionalFormatting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2">
    <tabColor theme="9" tint="0.39997558519241921"/>
    <outlinePr summaryRight="0"/>
    <pageSetUpPr autoPageBreaks="0" fitToPage="1"/>
  </sheetPr>
  <dimension ref="A1:AE98"/>
  <sheetViews>
    <sheetView workbookViewId="0"/>
  </sheetViews>
  <sheetFormatPr baseColWidth="10" defaultColWidth="10.75" defaultRowHeight="12.75" outlineLevelRow="1" outlineLevelCol="1"/>
  <cols>
    <col min="1" max="1" width="9.25" style="266" customWidth="1"/>
    <col min="2" max="2" width="36.625" style="266" customWidth="1" outlineLevel="1"/>
    <col min="3" max="3" width="25.75" style="267" customWidth="1" collapsed="1"/>
    <col min="4" max="4" width="13.25" style="268" customWidth="1"/>
    <col min="5" max="5" width="6.75" style="266" customWidth="1"/>
    <col min="6" max="9" width="9.25" style="266" customWidth="1"/>
    <col min="10" max="13" width="9.25" style="266" customWidth="1" outlineLevel="1"/>
    <col min="14" max="25" width="9.25" style="266" customWidth="1"/>
    <col min="26" max="26" width="12.625" style="268" customWidth="1"/>
    <col min="27" max="27" width="32.75" style="865" customWidth="1"/>
    <col min="28" max="29" width="10.75" style="119" customWidth="1"/>
    <col min="30" max="30" width="28.5" style="119" customWidth="1"/>
    <col min="31" max="31" width="25.25" style="119" customWidth="1"/>
    <col min="32" max="16384" width="10.75" style="119"/>
  </cols>
  <sheetData>
    <row r="1" spans="1:31" s="116" customFormat="1" ht="19.5" customHeight="1">
      <c r="A1" s="133"/>
      <c r="B1" s="869"/>
      <c r="C1" s="875" t="s">
        <v>1076</v>
      </c>
      <c r="D1" s="876"/>
      <c r="E1" s="876"/>
      <c r="F1" s="876"/>
      <c r="G1" s="877"/>
      <c r="H1" s="877"/>
      <c r="I1" s="877"/>
      <c r="J1" s="876"/>
      <c r="K1" s="878"/>
      <c r="L1" s="877"/>
      <c r="M1" s="877"/>
      <c r="N1" s="876"/>
      <c r="O1" s="878" t="s">
        <v>1077</v>
      </c>
      <c r="P1" s="877"/>
      <c r="Q1" s="877"/>
      <c r="R1" s="877"/>
      <c r="S1" s="877"/>
      <c r="T1" s="877"/>
      <c r="U1" s="877"/>
      <c r="V1" s="877"/>
      <c r="W1" s="877"/>
      <c r="X1" s="877"/>
      <c r="Y1" s="877"/>
      <c r="Z1" s="876"/>
      <c r="AA1" s="879" t="s">
        <v>1078</v>
      </c>
      <c r="AB1" s="161"/>
    </row>
    <row r="2" spans="1:31" s="117" customFormat="1" ht="14.25" customHeight="1">
      <c r="A2" s="134"/>
      <c r="B2" s="870"/>
      <c r="C2" s="880"/>
      <c r="D2" s="881"/>
      <c r="E2" s="882"/>
      <c r="F2" s="882"/>
      <c r="G2" s="883"/>
      <c r="H2" s="883"/>
      <c r="I2" s="883"/>
      <c r="J2" s="883"/>
      <c r="K2" s="883"/>
      <c r="L2" s="883"/>
      <c r="M2" s="883"/>
      <c r="N2" s="883"/>
      <c r="O2" s="883"/>
      <c r="P2" s="883"/>
      <c r="Q2" s="883"/>
      <c r="R2" s="883"/>
      <c r="S2" s="883"/>
      <c r="T2" s="883"/>
      <c r="U2" s="883"/>
      <c r="V2" s="883"/>
      <c r="W2" s="883"/>
      <c r="X2" s="883"/>
      <c r="Y2" s="883"/>
      <c r="Z2" s="883"/>
      <c r="AA2" s="835"/>
      <c r="AB2" s="135"/>
      <c r="AC2" s="135"/>
      <c r="AD2" s="135"/>
      <c r="AE2" s="135"/>
    </row>
    <row r="3" spans="1:31" s="138" customFormat="1" ht="27.75" hidden="1" customHeight="1" outlineLevel="1">
      <c r="A3" s="1438"/>
      <c r="B3" s="1438"/>
      <c r="C3" s="1439" t="s">
        <v>3137</v>
      </c>
      <c r="D3" s="1440"/>
      <c r="E3" s="1440" t="s">
        <v>3137</v>
      </c>
      <c r="F3" s="1440" t="s">
        <v>1128</v>
      </c>
      <c r="G3" s="1440" t="s">
        <v>1128</v>
      </c>
      <c r="H3" s="1440" t="s">
        <v>1128</v>
      </c>
      <c r="I3" s="1440" t="s">
        <v>1128</v>
      </c>
      <c r="J3" s="1440" t="s">
        <v>2742</v>
      </c>
      <c r="K3" s="1440" t="s">
        <v>2742</v>
      </c>
      <c r="L3" s="1440" t="s">
        <v>2742</v>
      </c>
      <c r="M3" s="1440" t="s">
        <v>2742</v>
      </c>
      <c r="N3" s="1440" t="s">
        <v>2743</v>
      </c>
      <c r="O3" s="1440" t="s">
        <v>2743</v>
      </c>
      <c r="P3" s="1440" t="s">
        <v>2743</v>
      </c>
      <c r="Q3" s="1440" t="s">
        <v>2743</v>
      </c>
      <c r="R3" s="1440" t="s">
        <v>2744</v>
      </c>
      <c r="S3" s="1440" t="s">
        <v>2744</v>
      </c>
      <c r="T3" s="1440" t="s">
        <v>2744</v>
      </c>
      <c r="U3" s="1440" t="s">
        <v>2744</v>
      </c>
      <c r="V3" s="1440" t="s">
        <v>2745</v>
      </c>
      <c r="W3" s="1440" t="s">
        <v>2745</v>
      </c>
      <c r="X3" s="1440" t="s">
        <v>2745</v>
      </c>
      <c r="Y3" s="1440" t="s">
        <v>2745</v>
      </c>
      <c r="Z3" s="1440"/>
      <c r="AA3" s="1441" t="s">
        <v>3137</v>
      </c>
      <c r="AB3" s="136"/>
      <c r="AC3" s="136"/>
      <c r="AD3" s="137"/>
    </row>
    <row r="4" spans="1:31" ht="25.5" customHeight="1" collapsed="1">
      <c r="A4" s="118" t="s">
        <v>1088</v>
      </c>
      <c r="B4" s="17" t="s">
        <v>1089</v>
      </c>
      <c r="C4" s="1719" t="s">
        <v>3542</v>
      </c>
      <c r="D4" s="884" t="s">
        <v>622</v>
      </c>
      <c r="E4" s="885"/>
      <c r="F4" s="1722" t="s">
        <v>1095</v>
      </c>
      <c r="G4" s="1723"/>
      <c r="H4" s="1723"/>
      <c r="I4" s="1724"/>
      <c r="J4" s="1725" t="s">
        <v>1096</v>
      </c>
      <c r="K4" s="1726"/>
      <c r="L4" s="1726"/>
      <c r="M4" s="1726"/>
      <c r="N4" s="1726"/>
      <c r="O4" s="1726"/>
      <c r="P4" s="1726"/>
      <c r="Q4" s="1726"/>
      <c r="R4" s="1726"/>
      <c r="S4" s="1726"/>
      <c r="T4" s="1726"/>
      <c r="U4" s="1727"/>
      <c r="V4" s="1706" t="s">
        <v>3543</v>
      </c>
      <c r="W4" s="1707"/>
      <c r="X4" s="1707"/>
      <c r="Y4" s="1708"/>
      <c r="Z4" s="886" t="s">
        <v>619</v>
      </c>
      <c r="AA4" s="1709" t="s">
        <v>3544</v>
      </c>
    </row>
    <row r="5" spans="1:31" ht="14.25" customHeight="1">
      <c r="A5" s="1666" t="s">
        <v>1101</v>
      </c>
      <c r="B5" s="871"/>
      <c r="C5" s="1720"/>
      <c r="D5" s="887"/>
      <c r="E5" s="888"/>
      <c r="F5" s="1714" t="s">
        <v>1103</v>
      </c>
      <c r="G5" s="1715"/>
      <c r="H5" s="1715"/>
      <c r="I5" s="1716"/>
      <c r="J5" s="1717" t="s">
        <v>1104</v>
      </c>
      <c r="K5" s="1718"/>
      <c r="L5" s="1718"/>
      <c r="M5" s="1718"/>
      <c r="N5" s="1717" t="s">
        <v>1105</v>
      </c>
      <c r="O5" s="1718"/>
      <c r="P5" s="1718"/>
      <c r="Q5" s="1718"/>
      <c r="R5" s="1717" t="s">
        <v>2748</v>
      </c>
      <c r="S5" s="1718"/>
      <c r="T5" s="1718"/>
      <c r="U5" s="1718"/>
      <c r="V5" s="1699" t="s">
        <v>3545</v>
      </c>
      <c r="W5" s="1700"/>
      <c r="X5" s="1700"/>
      <c r="Y5" s="1701"/>
      <c r="Z5" s="889"/>
      <c r="AA5" s="1710"/>
    </row>
    <row r="6" spans="1:31" ht="12.75" customHeight="1">
      <c r="A6" s="1667"/>
      <c r="B6" s="550"/>
      <c r="C6" s="1721"/>
      <c r="D6" s="890" t="s">
        <v>2749</v>
      </c>
      <c r="E6" s="838"/>
      <c r="F6" s="1714"/>
      <c r="G6" s="1715"/>
      <c r="H6" s="1715"/>
      <c r="I6" s="1716"/>
      <c r="J6" s="1712" t="s">
        <v>1109</v>
      </c>
      <c r="K6" s="1713"/>
      <c r="L6" s="1713"/>
      <c r="M6" s="1713"/>
      <c r="N6" s="1712" t="s">
        <v>1110</v>
      </c>
      <c r="O6" s="1713"/>
      <c r="P6" s="1713"/>
      <c r="Q6" s="1713"/>
      <c r="R6" s="1712" t="s">
        <v>2750</v>
      </c>
      <c r="S6" s="1713"/>
      <c r="T6" s="1713"/>
      <c r="U6" s="1713"/>
      <c r="V6" s="1702"/>
      <c r="W6" s="1703"/>
      <c r="X6" s="1703"/>
      <c r="Y6" s="1704"/>
      <c r="Z6" s="891" t="s">
        <v>2751</v>
      </c>
      <c r="AA6" s="1711"/>
    </row>
    <row r="7" spans="1:31" ht="14.25" customHeight="1">
      <c r="A7" s="139"/>
      <c r="B7" s="872"/>
      <c r="C7" s="892"/>
      <c r="D7" s="893"/>
      <c r="E7" s="894"/>
      <c r="F7" s="895" t="s">
        <v>290</v>
      </c>
      <c r="G7" s="896" t="s">
        <v>3546</v>
      </c>
      <c r="H7" s="897" t="s">
        <v>3547</v>
      </c>
      <c r="I7" s="896" t="s">
        <v>3548</v>
      </c>
      <c r="J7" s="898" t="s">
        <v>290</v>
      </c>
      <c r="K7" s="899" t="s">
        <v>3546</v>
      </c>
      <c r="L7" s="899" t="s">
        <v>3547</v>
      </c>
      <c r="M7" s="899" t="s">
        <v>3548</v>
      </c>
      <c r="N7" s="900" t="s">
        <v>290</v>
      </c>
      <c r="O7" s="899" t="s">
        <v>3546</v>
      </c>
      <c r="P7" s="899" t="s">
        <v>3547</v>
      </c>
      <c r="Q7" s="899" t="s">
        <v>3548</v>
      </c>
      <c r="R7" s="900" t="s">
        <v>290</v>
      </c>
      <c r="S7" s="899" t="s">
        <v>3546</v>
      </c>
      <c r="T7" s="899" t="s">
        <v>3547</v>
      </c>
      <c r="U7" s="899" t="s">
        <v>3548</v>
      </c>
      <c r="V7" s="900" t="s">
        <v>290</v>
      </c>
      <c r="W7" s="899" t="s">
        <v>3546</v>
      </c>
      <c r="X7" s="899" t="s">
        <v>3547</v>
      </c>
      <c r="Y7" s="899" t="s">
        <v>3548</v>
      </c>
      <c r="Z7" s="901"/>
      <c r="AA7" s="902"/>
    </row>
    <row r="8" spans="1:31" s="122" customFormat="1" ht="14.25" customHeight="1">
      <c r="A8" s="23"/>
      <c r="B8" s="873"/>
      <c r="C8" s="892"/>
      <c r="D8" s="893"/>
      <c r="E8" s="903"/>
      <c r="F8" s="904" t="s">
        <v>290</v>
      </c>
      <c r="G8" s="905" t="s">
        <v>55</v>
      </c>
      <c r="H8" s="905" t="s">
        <v>3549</v>
      </c>
      <c r="I8" s="905" t="s">
        <v>3550</v>
      </c>
      <c r="J8" s="906" t="s">
        <v>290</v>
      </c>
      <c r="K8" s="907" t="s">
        <v>55</v>
      </c>
      <c r="L8" s="907" t="s">
        <v>3549</v>
      </c>
      <c r="M8" s="907" t="s">
        <v>3550</v>
      </c>
      <c r="N8" s="908" t="s">
        <v>290</v>
      </c>
      <c r="O8" s="907" t="s">
        <v>55</v>
      </c>
      <c r="P8" s="907" t="s">
        <v>3549</v>
      </c>
      <c r="Q8" s="907" t="s">
        <v>3550</v>
      </c>
      <c r="R8" s="908" t="s">
        <v>290</v>
      </c>
      <c r="S8" s="907" t="s">
        <v>55</v>
      </c>
      <c r="T8" s="907" t="s">
        <v>3549</v>
      </c>
      <c r="U8" s="907" t="s">
        <v>3550</v>
      </c>
      <c r="V8" s="908" t="s">
        <v>290</v>
      </c>
      <c r="W8" s="907" t="s">
        <v>55</v>
      </c>
      <c r="X8" s="907" t="s">
        <v>3549</v>
      </c>
      <c r="Y8" s="907" t="s">
        <v>3550</v>
      </c>
      <c r="Z8" s="893"/>
      <c r="AA8" s="902"/>
      <c r="AB8" s="119"/>
      <c r="AC8" s="119"/>
      <c r="AD8" s="119"/>
    </row>
    <row r="9" spans="1:31" s="122" customFormat="1" ht="24">
      <c r="A9" s="26"/>
      <c r="B9" s="874"/>
      <c r="C9" s="909"/>
      <c r="D9" s="910"/>
      <c r="E9" s="911" t="s">
        <v>2752</v>
      </c>
      <c r="F9" s="912" t="s">
        <v>1128</v>
      </c>
      <c r="G9" s="912" t="s">
        <v>1128</v>
      </c>
      <c r="H9" s="912" t="s">
        <v>1128</v>
      </c>
      <c r="I9" s="912" t="s">
        <v>1128</v>
      </c>
      <c r="J9" s="913" t="s">
        <v>1129</v>
      </c>
      <c r="K9" s="913" t="s">
        <v>1129</v>
      </c>
      <c r="L9" s="913" t="s">
        <v>1129</v>
      </c>
      <c r="M9" s="913" t="s">
        <v>1129</v>
      </c>
      <c r="N9" s="913" t="s">
        <v>1129</v>
      </c>
      <c r="O9" s="913" t="s">
        <v>1129</v>
      </c>
      <c r="P9" s="913" t="s">
        <v>1129</v>
      </c>
      <c r="Q9" s="913" t="s">
        <v>1129</v>
      </c>
      <c r="R9" s="913" t="s">
        <v>1129</v>
      </c>
      <c r="S9" s="913" t="s">
        <v>1129</v>
      </c>
      <c r="T9" s="913" t="s">
        <v>1129</v>
      </c>
      <c r="U9" s="913" t="s">
        <v>1129</v>
      </c>
      <c r="V9" s="225" t="s">
        <v>1130</v>
      </c>
      <c r="W9" s="225" t="s">
        <v>1130</v>
      </c>
      <c r="X9" s="225" t="s">
        <v>1130</v>
      </c>
      <c r="Y9" s="225" t="s">
        <v>1130</v>
      </c>
      <c r="Z9" s="910"/>
      <c r="AA9" s="914"/>
      <c r="AB9" s="140"/>
      <c r="AC9" s="119"/>
      <c r="AD9" s="119"/>
    </row>
    <row r="10" spans="1:31" s="208" customFormat="1" ht="15" customHeight="1">
      <c r="A10" s="141" t="s">
        <v>3551</v>
      </c>
      <c r="B10" s="141"/>
      <c r="C10" s="543" t="s">
        <v>3552</v>
      </c>
      <c r="D10" s="544"/>
      <c r="E10" s="545"/>
      <c r="F10" s="546"/>
      <c r="G10" s="546"/>
      <c r="H10" s="546"/>
      <c r="I10" s="546"/>
      <c r="J10" s="546"/>
      <c r="K10" s="546"/>
      <c r="L10" s="546"/>
      <c r="M10" s="546"/>
      <c r="N10" s="546"/>
      <c r="O10" s="546"/>
      <c r="P10" s="546"/>
      <c r="Q10" s="546"/>
      <c r="R10" s="547"/>
      <c r="S10" s="547"/>
      <c r="T10" s="547"/>
      <c r="U10" s="547"/>
      <c r="V10" s="546"/>
      <c r="W10" s="546"/>
      <c r="X10" s="546"/>
      <c r="Y10" s="546"/>
      <c r="Z10" s="548"/>
      <c r="AA10" s="549" t="s">
        <v>3553</v>
      </c>
      <c r="AB10" s="550"/>
      <c r="AC10" s="266"/>
      <c r="AD10" s="266"/>
    </row>
    <row r="11" spans="1:31" s="208" customFormat="1" ht="15" customHeight="1">
      <c r="A11" s="127" t="s">
        <v>3554</v>
      </c>
      <c r="B11" s="235" t="s">
        <v>3555</v>
      </c>
      <c r="C11" s="551" t="s">
        <v>3556</v>
      </c>
      <c r="D11" s="552" t="s">
        <v>3153</v>
      </c>
      <c r="E11" s="552" t="s">
        <v>202</v>
      </c>
      <c r="F11" s="238">
        <v>477</v>
      </c>
      <c r="G11" s="553">
        <v>477</v>
      </c>
      <c r="H11" s="554"/>
      <c r="I11" s="554"/>
      <c r="J11" s="555">
        <v>1.28</v>
      </c>
      <c r="K11" s="556">
        <v>1.28</v>
      </c>
      <c r="L11" s="556"/>
      <c r="M11" s="556"/>
      <c r="N11" s="555">
        <v>2.3800000000000002E-2</v>
      </c>
      <c r="O11" s="556">
        <v>2.3800000000000002E-2</v>
      </c>
      <c r="P11" s="556"/>
      <c r="Q11" s="556"/>
      <c r="R11" s="556">
        <v>1.25</v>
      </c>
      <c r="S11" s="556">
        <v>1.25</v>
      </c>
      <c r="T11" s="556"/>
      <c r="U11" s="556"/>
      <c r="V11" s="556">
        <v>0.33800000000000002</v>
      </c>
      <c r="W11" s="556">
        <v>0.33800000000000002</v>
      </c>
      <c r="X11" s="499">
        <v>0</v>
      </c>
      <c r="Y11" s="499">
        <v>0</v>
      </c>
      <c r="Z11" s="552" t="s">
        <v>3154</v>
      </c>
      <c r="AA11" s="557" t="s">
        <v>3557</v>
      </c>
      <c r="AB11" s="266"/>
      <c r="AC11" s="266"/>
      <c r="AD11" s="266"/>
    </row>
    <row r="12" spans="1:31" s="208" customFormat="1" ht="15" customHeight="1">
      <c r="A12" s="127" t="s">
        <v>3558</v>
      </c>
      <c r="B12" s="235" t="s">
        <v>3559</v>
      </c>
      <c r="C12" s="551" t="s">
        <v>3560</v>
      </c>
      <c r="D12" s="552" t="s">
        <v>3153</v>
      </c>
      <c r="E12" s="552" t="s">
        <v>202</v>
      </c>
      <c r="F12" s="238">
        <v>813</v>
      </c>
      <c r="G12" s="553">
        <v>813</v>
      </c>
      <c r="H12" s="554"/>
      <c r="I12" s="554"/>
      <c r="J12" s="555">
        <v>1.28</v>
      </c>
      <c r="K12" s="556">
        <v>1.28</v>
      </c>
      <c r="L12" s="499"/>
      <c r="M12" s="499"/>
      <c r="N12" s="555">
        <v>2.4299999999999999E-2</v>
      </c>
      <c r="O12" s="556">
        <v>2.4299999999999999E-2</v>
      </c>
      <c r="P12" s="556"/>
      <c r="Q12" s="556"/>
      <c r="R12" s="556">
        <v>1.26</v>
      </c>
      <c r="S12" s="556">
        <v>1.26</v>
      </c>
      <c r="T12" s="556"/>
      <c r="U12" s="556"/>
      <c r="V12" s="556">
        <v>0.39600000000000002</v>
      </c>
      <c r="W12" s="556">
        <v>0.39600000000000002</v>
      </c>
      <c r="X12" s="499">
        <v>0</v>
      </c>
      <c r="Y12" s="499">
        <v>0</v>
      </c>
      <c r="Z12" s="552" t="s">
        <v>3154</v>
      </c>
      <c r="AA12" s="557" t="s">
        <v>3561</v>
      </c>
      <c r="AB12" s="266"/>
      <c r="AC12" s="266"/>
      <c r="AD12" s="266"/>
    </row>
    <row r="13" spans="1:31" s="208" customFormat="1" ht="15" customHeight="1">
      <c r="A13" s="127" t="s">
        <v>3562</v>
      </c>
      <c r="B13" s="235" t="s">
        <v>3563</v>
      </c>
      <c r="C13" s="551" t="s">
        <v>3564</v>
      </c>
      <c r="D13" s="552" t="s">
        <v>3153</v>
      </c>
      <c r="E13" s="552" t="s">
        <v>202</v>
      </c>
      <c r="F13" s="238">
        <v>188</v>
      </c>
      <c r="G13" s="553">
        <v>188</v>
      </c>
      <c r="H13" s="554"/>
      <c r="I13" s="554"/>
      <c r="J13" s="555">
        <v>0.35599999999999998</v>
      </c>
      <c r="K13" s="556">
        <v>0.35599999999999998</v>
      </c>
      <c r="L13" s="499"/>
      <c r="M13" s="499"/>
      <c r="N13" s="555">
        <v>3.5999999999999997E-2</v>
      </c>
      <c r="O13" s="556">
        <v>3.5999999999999997E-2</v>
      </c>
      <c r="P13" s="556"/>
      <c r="Q13" s="556"/>
      <c r="R13" s="556">
        <v>0.32</v>
      </c>
      <c r="S13" s="556">
        <v>0.32</v>
      </c>
      <c r="T13" s="556"/>
      <c r="U13" s="556"/>
      <c r="V13" s="556">
        <v>0.114</v>
      </c>
      <c r="W13" s="556">
        <v>0.114</v>
      </c>
      <c r="X13" s="499">
        <v>0</v>
      </c>
      <c r="Y13" s="499">
        <v>0</v>
      </c>
      <c r="Z13" s="552" t="s">
        <v>3154</v>
      </c>
      <c r="AA13" s="557" t="s">
        <v>3565</v>
      </c>
      <c r="AB13" s="266"/>
      <c r="AC13" s="266"/>
      <c r="AD13" s="266"/>
    </row>
    <row r="14" spans="1:31" s="208" customFormat="1" ht="15" customHeight="1">
      <c r="A14" s="127" t="s">
        <v>3566</v>
      </c>
      <c r="B14" s="235" t="s">
        <v>3567</v>
      </c>
      <c r="C14" s="551" t="s">
        <v>3568</v>
      </c>
      <c r="D14" s="552" t="s">
        <v>3153</v>
      </c>
      <c r="E14" s="552" t="s">
        <v>202</v>
      </c>
      <c r="F14" s="238">
        <v>513</v>
      </c>
      <c r="G14" s="553">
        <v>513</v>
      </c>
      <c r="H14" s="554"/>
      <c r="I14" s="554"/>
      <c r="J14" s="555">
        <v>1.24</v>
      </c>
      <c r="K14" s="556">
        <v>1.24</v>
      </c>
      <c r="L14" s="499"/>
      <c r="M14" s="499"/>
      <c r="N14" s="555">
        <v>6.6400000000000001E-3</v>
      </c>
      <c r="O14" s="556">
        <v>6.6400000000000001E-3</v>
      </c>
      <c r="P14" s="556"/>
      <c r="Q14" s="556"/>
      <c r="R14" s="556">
        <v>1.23</v>
      </c>
      <c r="S14" s="556">
        <v>1.23</v>
      </c>
      <c r="T14" s="556"/>
      <c r="U14" s="556"/>
      <c r="V14" s="556">
        <v>0.32400000000000001</v>
      </c>
      <c r="W14" s="556">
        <v>0.32400000000000001</v>
      </c>
      <c r="X14" s="499">
        <v>0</v>
      </c>
      <c r="Y14" s="499">
        <v>0</v>
      </c>
      <c r="Z14" s="552" t="s">
        <v>3154</v>
      </c>
      <c r="AA14" s="557" t="s">
        <v>3569</v>
      </c>
      <c r="AB14" s="266"/>
      <c r="AC14" s="266"/>
      <c r="AD14" s="266"/>
    </row>
    <row r="15" spans="1:31" s="208" customFormat="1" ht="15" customHeight="1">
      <c r="A15" s="127" t="s">
        <v>3570</v>
      </c>
      <c r="B15" s="235" t="s">
        <v>3571</v>
      </c>
      <c r="C15" s="551" t="s">
        <v>3572</v>
      </c>
      <c r="D15" s="552" t="s">
        <v>3153</v>
      </c>
      <c r="E15" s="552" t="s">
        <v>202</v>
      </c>
      <c r="F15" s="238">
        <v>565</v>
      </c>
      <c r="G15" s="553">
        <v>565</v>
      </c>
      <c r="H15" s="554"/>
      <c r="I15" s="554"/>
      <c r="J15" s="555">
        <v>1.24</v>
      </c>
      <c r="K15" s="556">
        <v>1.24</v>
      </c>
      <c r="L15" s="499"/>
      <c r="M15" s="499"/>
      <c r="N15" s="555">
        <v>5.0900000000000001E-2</v>
      </c>
      <c r="O15" s="556">
        <v>5.0900000000000001E-2</v>
      </c>
      <c r="P15" s="556"/>
      <c r="Q15" s="556"/>
      <c r="R15" s="556">
        <v>1.19</v>
      </c>
      <c r="S15" s="556">
        <v>1.19</v>
      </c>
      <c r="T15" s="556"/>
      <c r="U15" s="556"/>
      <c r="V15" s="556">
        <v>0.32</v>
      </c>
      <c r="W15" s="556">
        <v>0.32</v>
      </c>
      <c r="X15" s="499">
        <v>0</v>
      </c>
      <c r="Y15" s="499">
        <v>0</v>
      </c>
      <c r="Z15" s="552" t="s">
        <v>3154</v>
      </c>
      <c r="AA15" s="557" t="s">
        <v>3573</v>
      </c>
      <c r="AB15" s="266"/>
      <c r="AC15" s="266"/>
      <c r="AD15" s="266"/>
    </row>
    <row r="16" spans="1:31" s="208" customFormat="1" ht="15" customHeight="1">
      <c r="A16" s="127" t="s">
        <v>3574</v>
      </c>
      <c r="B16" s="235" t="s">
        <v>3575</v>
      </c>
      <c r="C16" s="551" t="s">
        <v>3576</v>
      </c>
      <c r="D16" s="552" t="s">
        <v>3153</v>
      </c>
      <c r="E16" s="552" t="s">
        <v>202</v>
      </c>
      <c r="F16" s="238">
        <v>486</v>
      </c>
      <c r="G16" s="553">
        <v>486</v>
      </c>
      <c r="H16" s="554"/>
      <c r="I16" s="554"/>
      <c r="J16" s="555">
        <v>1.2</v>
      </c>
      <c r="K16" s="556">
        <v>1.2</v>
      </c>
      <c r="L16" s="499"/>
      <c r="M16" s="499"/>
      <c r="N16" s="555">
        <v>5.1599999999999997E-3</v>
      </c>
      <c r="O16" s="556">
        <v>5.1599999999999997E-3</v>
      </c>
      <c r="P16" s="556"/>
      <c r="Q16" s="556"/>
      <c r="R16" s="556">
        <v>1.2</v>
      </c>
      <c r="S16" s="556">
        <v>1.2</v>
      </c>
      <c r="T16" s="556"/>
      <c r="U16" s="556"/>
      <c r="V16" s="556">
        <v>0.32800000000000001</v>
      </c>
      <c r="W16" s="556">
        <v>0.32800000000000001</v>
      </c>
      <c r="X16" s="499">
        <v>0</v>
      </c>
      <c r="Y16" s="499">
        <v>0</v>
      </c>
      <c r="Z16" s="552" t="s">
        <v>3154</v>
      </c>
      <c r="AA16" s="557" t="s">
        <v>3577</v>
      </c>
      <c r="AB16" s="266"/>
      <c r="AC16" s="266"/>
      <c r="AD16" s="266"/>
    </row>
    <row r="17" spans="1:30" s="208" customFormat="1" ht="15" customHeight="1">
      <c r="A17" s="127" t="s">
        <v>3578</v>
      </c>
      <c r="B17" s="235" t="s">
        <v>3579</v>
      </c>
      <c r="C17" s="551" t="s">
        <v>3580</v>
      </c>
      <c r="D17" s="552" t="s">
        <v>3153</v>
      </c>
      <c r="E17" s="552" t="s">
        <v>202</v>
      </c>
      <c r="F17" s="238">
        <v>326</v>
      </c>
      <c r="G17" s="553">
        <v>326</v>
      </c>
      <c r="H17" s="554"/>
      <c r="I17" s="554"/>
      <c r="J17" s="555">
        <v>1.1299999999999999</v>
      </c>
      <c r="K17" s="556">
        <v>1.1299999999999999</v>
      </c>
      <c r="L17" s="499"/>
      <c r="M17" s="499"/>
      <c r="N17" s="555">
        <v>1.0999999999999999E-2</v>
      </c>
      <c r="O17" s="556">
        <v>1.0999999999999999E-2</v>
      </c>
      <c r="P17" s="556"/>
      <c r="Q17" s="556"/>
      <c r="R17" s="556">
        <v>1.1200000000000001</v>
      </c>
      <c r="S17" s="556">
        <v>1.1200000000000001</v>
      </c>
      <c r="T17" s="556"/>
      <c r="U17" s="556"/>
      <c r="V17" s="556">
        <v>0.23599999999999999</v>
      </c>
      <c r="W17" s="556">
        <v>0.23599999999999999</v>
      </c>
      <c r="X17" s="499">
        <v>0</v>
      </c>
      <c r="Y17" s="499">
        <v>0</v>
      </c>
      <c r="Z17" s="552" t="s">
        <v>3154</v>
      </c>
      <c r="AA17" s="557" t="s">
        <v>3581</v>
      </c>
      <c r="AB17" s="266"/>
      <c r="AC17" s="266"/>
      <c r="AD17" s="266"/>
    </row>
    <row r="18" spans="1:30" s="208" customFormat="1" ht="15" customHeight="1">
      <c r="A18" s="558" t="s">
        <v>3582</v>
      </c>
      <c r="B18" s="235" t="s">
        <v>3583</v>
      </c>
      <c r="C18" s="551" t="s">
        <v>3584</v>
      </c>
      <c r="D18" s="552" t="s">
        <v>3153</v>
      </c>
      <c r="E18" s="552" t="s">
        <v>202</v>
      </c>
      <c r="F18" s="238">
        <v>775</v>
      </c>
      <c r="G18" s="553">
        <v>775</v>
      </c>
      <c r="H18" s="554"/>
      <c r="I18" s="554"/>
      <c r="J18" s="555">
        <v>1.23</v>
      </c>
      <c r="K18" s="556">
        <v>1.23</v>
      </c>
      <c r="L18" s="499"/>
      <c r="M18" s="499"/>
      <c r="N18" s="555">
        <v>5.2300000000000003E-3</v>
      </c>
      <c r="O18" s="556">
        <v>5.2300000000000003E-3</v>
      </c>
      <c r="P18" s="556"/>
      <c r="Q18" s="556"/>
      <c r="R18" s="556">
        <v>1.22</v>
      </c>
      <c r="S18" s="556">
        <v>1.22</v>
      </c>
      <c r="T18" s="556"/>
      <c r="U18" s="556"/>
      <c r="V18" s="556">
        <v>0.66400000000000003</v>
      </c>
      <c r="W18" s="556">
        <v>0.66400000000000003</v>
      </c>
      <c r="X18" s="499">
        <v>0</v>
      </c>
      <c r="Y18" s="499">
        <v>0</v>
      </c>
      <c r="Z18" s="552" t="s">
        <v>3154</v>
      </c>
      <c r="AA18" s="557" t="s">
        <v>3585</v>
      </c>
      <c r="AB18" s="266"/>
      <c r="AC18" s="266"/>
      <c r="AD18" s="266"/>
    </row>
    <row r="19" spans="1:30" s="208" customFormat="1" ht="28.5" customHeight="1">
      <c r="A19" s="127" t="s">
        <v>3586</v>
      </c>
      <c r="B19" s="235" t="s">
        <v>3587</v>
      </c>
      <c r="C19" s="559" t="s">
        <v>3588</v>
      </c>
      <c r="D19" s="552" t="s">
        <v>3153</v>
      </c>
      <c r="E19" s="552" t="s">
        <v>202</v>
      </c>
      <c r="F19" s="242">
        <v>628</v>
      </c>
      <c r="G19" s="560">
        <v>628</v>
      </c>
      <c r="H19" s="561"/>
      <c r="I19" s="561"/>
      <c r="J19" s="562">
        <v>2.64</v>
      </c>
      <c r="K19" s="563">
        <v>2.64</v>
      </c>
      <c r="L19" s="564"/>
      <c r="M19" s="564"/>
      <c r="N19" s="562">
        <v>0.55600000000000005</v>
      </c>
      <c r="O19" s="563">
        <v>0.55600000000000005</v>
      </c>
      <c r="P19" s="563"/>
      <c r="Q19" s="563"/>
      <c r="R19" s="563">
        <v>2.08</v>
      </c>
      <c r="S19" s="563">
        <v>2.08</v>
      </c>
      <c r="T19" s="563"/>
      <c r="U19" s="563"/>
      <c r="V19" s="563">
        <v>0.158</v>
      </c>
      <c r="W19" s="563">
        <v>0.158</v>
      </c>
      <c r="X19" s="499">
        <v>0</v>
      </c>
      <c r="Y19" s="499">
        <v>0</v>
      </c>
      <c r="Z19" s="552" t="s">
        <v>3154</v>
      </c>
      <c r="AA19" s="565" t="s">
        <v>3589</v>
      </c>
      <c r="AB19" s="266"/>
      <c r="AC19" s="266"/>
      <c r="AD19" s="266"/>
    </row>
    <row r="20" spans="1:30" s="253" customFormat="1" ht="41.1" customHeight="1">
      <c r="A20" s="534" t="s">
        <v>3590</v>
      </c>
      <c r="B20" s="235" t="s">
        <v>3591</v>
      </c>
      <c r="C20" s="559" t="s">
        <v>3592</v>
      </c>
      <c r="D20" s="566" t="s">
        <v>3153</v>
      </c>
      <c r="E20" s="566" t="s">
        <v>202</v>
      </c>
      <c r="F20" s="242">
        <v>196</v>
      </c>
      <c r="G20" s="560">
        <v>196</v>
      </c>
      <c r="H20" s="561"/>
      <c r="I20" s="561"/>
      <c r="J20" s="562">
        <v>1.19</v>
      </c>
      <c r="K20" s="563">
        <v>1.19</v>
      </c>
      <c r="L20" s="564"/>
      <c r="M20" s="564"/>
      <c r="N20" s="562">
        <v>1.1599999999999999</v>
      </c>
      <c r="O20" s="563">
        <v>1.1599999999999999</v>
      </c>
      <c r="P20" s="563"/>
      <c r="Q20" s="563"/>
      <c r="R20" s="563">
        <v>3.2500000000000001E-2</v>
      </c>
      <c r="S20" s="563">
        <v>3.2500000000000001E-2</v>
      </c>
      <c r="T20" s="563"/>
      <c r="U20" s="563"/>
      <c r="V20" s="563">
        <v>4.7899999999999998E-2</v>
      </c>
      <c r="W20" s="563">
        <v>4.7899999999999998E-2</v>
      </c>
      <c r="X20" s="499">
        <v>0</v>
      </c>
      <c r="Y20" s="499">
        <v>0</v>
      </c>
      <c r="Z20" s="566" t="s">
        <v>3154</v>
      </c>
      <c r="AA20" s="565" t="s">
        <v>3593</v>
      </c>
      <c r="AB20" s="507"/>
      <c r="AC20" s="507"/>
      <c r="AD20" s="507"/>
    </row>
    <row r="21" spans="1:30" s="208" customFormat="1" ht="15" customHeight="1">
      <c r="A21" s="141" t="s">
        <v>3594</v>
      </c>
      <c r="B21" s="868"/>
      <c r="C21" s="543" t="s">
        <v>3595</v>
      </c>
      <c r="D21" s="567"/>
      <c r="E21" s="568" t="s">
        <v>3137</v>
      </c>
      <c r="F21" s="568"/>
      <c r="G21" s="568"/>
      <c r="H21" s="568" t="s">
        <v>3137</v>
      </c>
      <c r="I21" s="568" t="s">
        <v>3137</v>
      </c>
      <c r="J21" s="568" t="s">
        <v>3137</v>
      </c>
      <c r="K21" s="568" t="s">
        <v>3137</v>
      </c>
      <c r="L21" s="568" t="s">
        <v>3137</v>
      </c>
      <c r="M21" s="568" t="s">
        <v>3137</v>
      </c>
      <c r="N21" s="568" t="s">
        <v>3137</v>
      </c>
      <c r="O21" s="568" t="s">
        <v>3137</v>
      </c>
      <c r="P21" s="568" t="s">
        <v>3137</v>
      </c>
      <c r="Q21" s="568" t="s">
        <v>3137</v>
      </c>
      <c r="R21" s="568" t="s">
        <v>3137</v>
      </c>
      <c r="S21" s="568" t="s">
        <v>3137</v>
      </c>
      <c r="T21" s="568" t="s">
        <v>3137</v>
      </c>
      <c r="U21" s="568" t="s">
        <v>3137</v>
      </c>
      <c r="V21" s="568" t="s">
        <v>3137</v>
      </c>
      <c r="W21" s="568" t="s">
        <v>3137</v>
      </c>
      <c r="X21" s="568" t="s">
        <v>3137</v>
      </c>
      <c r="Y21" s="568" t="s">
        <v>3137</v>
      </c>
      <c r="Z21" s="567"/>
      <c r="AA21" s="549" t="s">
        <v>3596</v>
      </c>
      <c r="AB21" s="266"/>
      <c r="AC21" s="266"/>
      <c r="AD21" s="266"/>
    </row>
    <row r="22" spans="1:30" s="208" customFormat="1" ht="15" customHeight="1">
      <c r="A22" s="130" t="s">
        <v>634</v>
      </c>
      <c r="B22" s="235" t="s">
        <v>3597</v>
      </c>
      <c r="C22" s="551" t="s">
        <v>3598</v>
      </c>
      <c r="D22" s="552" t="s">
        <v>3599</v>
      </c>
      <c r="E22" s="371" t="s">
        <v>295</v>
      </c>
      <c r="F22" s="238">
        <v>690</v>
      </c>
      <c r="G22" s="553">
        <v>612</v>
      </c>
      <c r="H22" s="553">
        <v>78.3</v>
      </c>
      <c r="I22" s="569">
        <v>0</v>
      </c>
      <c r="J22" s="570">
        <v>1.65</v>
      </c>
      <c r="K22" s="569">
        <v>1.48</v>
      </c>
      <c r="L22" s="569">
        <v>0.17699999999999999</v>
      </c>
      <c r="M22" s="569">
        <v>0</v>
      </c>
      <c r="N22" s="570">
        <v>1.8100000000000002E-2</v>
      </c>
      <c r="O22" s="569">
        <v>7.9299999999999995E-3</v>
      </c>
      <c r="P22" s="569">
        <v>1.01E-2</v>
      </c>
      <c r="Q22" s="569">
        <v>0</v>
      </c>
      <c r="R22" s="570">
        <v>1.64</v>
      </c>
      <c r="S22" s="569">
        <v>1.47</v>
      </c>
      <c r="T22" s="569">
        <v>0.16700000000000001</v>
      </c>
      <c r="U22" s="569">
        <v>0</v>
      </c>
      <c r="V22" s="570">
        <v>0.433</v>
      </c>
      <c r="W22" s="569">
        <v>0.38700000000000001</v>
      </c>
      <c r="X22" s="569">
        <v>4.5600000000000002E-2</v>
      </c>
      <c r="Y22" s="569">
        <v>0</v>
      </c>
      <c r="Z22" s="552" t="s">
        <v>312</v>
      </c>
      <c r="AA22" s="557" t="s">
        <v>3600</v>
      </c>
      <c r="AB22" s="266"/>
      <c r="AC22" s="571"/>
      <c r="AD22" s="571"/>
    </row>
    <row r="23" spans="1:30" s="208" customFormat="1" ht="15" customHeight="1">
      <c r="A23" s="130" t="s">
        <v>3601</v>
      </c>
      <c r="B23" s="235" t="s">
        <v>3602</v>
      </c>
      <c r="C23" s="551" t="s">
        <v>3603</v>
      </c>
      <c r="D23" s="552" t="s">
        <v>3599</v>
      </c>
      <c r="E23" s="371" t="s">
        <v>295</v>
      </c>
      <c r="F23" s="238">
        <v>690</v>
      </c>
      <c r="G23" s="553">
        <v>612</v>
      </c>
      <c r="H23" s="553">
        <v>78.3</v>
      </c>
      <c r="I23" s="569">
        <v>0</v>
      </c>
      <c r="J23" s="570">
        <v>1.65</v>
      </c>
      <c r="K23" s="569">
        <v>1.48</v>
      </c>
      <c r="L23" s="569">
        <v>0.17699999999999999</v>
      </c>
      <c r="M23" s="569">
        <v>0</v>
      </c>
      <c r="N23" s="570">
        <v>1.8100000000000002E-2</v>
      </c>
      <c r="O23" s="569">
        <v>7.9299999999999995E-3</v>
      </c>
      <c r="P23" s="569">
        <v>1.01E-2</v>
      </c>
      <c r="Q23" s="569">
        <v>0</v>
      </c>
      <c r="R23" s="570">
        <v>1.64</v>
      </c>
      <c r="S23" s="569">
        <v>1.47</v>
      </c>
      <c r="T23" s="569">
        <v>0.16700000000000001</v>
      </c>
      <c r="U23" s="569">
        <v>0</v>
      </c>
      <c r="V23" s="570">
        <v>0.433</v>
      </c>
      <c r="W23" s="569">
        <v>0.38700000000000001</v>
      </c>
      <c r="X23" s="569">
        <v>4.5600000000000002E-2</v>
      </c>
      <c r="Y23" s="569">
        <v>0</v>
      </c>
      <c r="Z23" s="552" t="s">
        <v>312</v>
      </c>
      <c r="AA23" s="557" t="s">
        <v>3604</v>
      </c>
      <c r="AB23" s="266"/>
      <c r="AC23" s="571"/>
      <c r="AD23" s="571"/>
    </row>
    <row r="24" spans="1:30" s="208" customFormat="1" ht="15" customHeight="1">
      <c r="A24" s="130" t="s">
        <v>3605</v>
      </c>
      <c r="B24" s="235" t="s">
        <v>3606</v>
      </c>
      <c r="C24" s="551" t="s">
        <v>3607</v>
      </c>
      <c r="D24" s="552" t="s">
        <v>3599</v>
      </c>
      <c r="E24" s="371" t="s">
        <v>295</v>
      </c>
      <c r="F24" s="238">
        <v>692</v>
      </c>
      <c r="G24" s="553">
        <v>614</v>
      </c>
      <c r="H24" s="553">
        <v>78.3</v>
      </c>
      <c r="I24" s="569">
        <v>0</v>
      </c>
      <c r="J24" s="570">
        <v>1.61</v>
      </c>
      <c r="K24" s="569">
        <v>1.43</v>
      </c>
      <c r="L24" s="569">
        <v>0.17699999999999999</v>
      </c>
      <c r="M24" s="569">
        <v>0</v>
      </c>
      <c r="N24" s="570">
        <v>1.78E-2</v>
      </c>
      <c r="O24" s="569">
        <v>7.7000000000000002E-3</v>
      </c>
      <c r="P24" s="569">
        <v>1.01E-2</v>
      </c>
      <c r="Q24" s="569">
        <v>0</v>
      </c>
      <c r="R24" s="570">
        <v>1.59</v>
      </c>
      <c r="S24" s="569">
        <v>1.43</v>
      </c>
      <c r="T24" s="569">
        <v>0.16700000000000001</v>
      </c>
      <c r="U24" s="569">
        <v>0</v>
      </c>
      <c r="V24" s="570">
        <v>0.42199999999999999</v>
      </c>
      <c r="W24" s="569">
        <v>0.376</v>
      </c>
      <c r="X24" s="569">
        <v>4.5600000000000002E-2</v>
      </c>
      <c r="Y24" s="569">
        <v>0</v>
      </c>
      <c r="Z24" s="552" t="s">
        <v>312</v>
      </c>
      <c r="AA24" s="557" t="s">
        <v>3608</v>
      </c>
      <c r="AB24" s="266"/>
      <c r="AC24" s="571"/>
      <c r="AD24" s="571"/>
    </row>
    <row r="25" spans="1:30" s="208" customFormat="1" ht="15" customHeight="1">
      <c r="A25" s="127" t="s">
        <v>3609</v>
      </c>
      <c r="B25" s="235" t="s">
        <v>3610</v>
      </c>
      <c r="C25" s="551" t="s">
        <v>3611</v>
      </c>
      <c r="D25" s="552" t="s">
        <v>3612</v>
      </c>
      <c r="E25" s="371" t="s">
        <v>613</v>
      </c>
      <c r="F25" s="238">
        <v>69.7</v>
      </c>
      <c r="G25" s="553">
        <v>56.1</v>
      </c>
      <c r="H25" s="553">
        <v>0.94</v>
      </c>
      <c r="I25" s="553">
        <v>12.6</v>
      </c>
      <c r="J25" s="570">
        <v>0.16500000000000001</v>
      </c>
      <c r="K25" s="569">
        <v>0.125</v>
      </c>
      <c r="L25" s="569">
        <v>1.91E-3</v>
      </c>
      <c r="M25" s="569">
        <v>3.7900000000000003E-2</v>
      </c>
      <c r="N25" s="570">
        <v>8.5299999999999994E-3</v>
      </c>
      <c r="O25" s="569">
        <v>5.13E-3</v>
      </c>
      <c r="P25" s="569">
        <v>1.02E-4</v>
      </c>
      <c r="Q25" s="569">
        <v>3.29E-3</v>
      </c>
      <c r="R25" s="570">
        <v>0.156</v>
      </c>
      <c r="S25" s="569">
        <v>0.12</v>
      </c>
      <c r="T25" s="569">
        <v>1.81E-3</v>
      </c>
      <c r="U25" s="569">
        <v>3.4599999999999999E-2</v>
      </c>
      <c r="V25" s="570">
        <v>3.9800000000000002E-2</v>
      </c>
      <c r="W25" s="569">
        <v>3.2300000000000002E-2</v>
      </c>
      <c r="X25" s="569">
        <v>4.6000000000000001E-4</v>
      </c>
      <c r="Y25" s="569">
        <v>7.0699999999999999E-3</v>
      </c>
      <c r="Z25" s="552" t="s">
        <v>3613</v>
      </c>
      <c r="AA25" s="557" t="s">
        <v>3614</v>
      </c>
      <c r="AB25" s="266"/>
      <c r="AC25" s="571"/>
      <c r="AD25" s="571"/>
    </row>
    <row r="26" spans="1:30" s="208" customFormat="1" ht="15" customHeight="1">
      <c r="A26" s="558" t="s">
        <v>3615</v>
      </c>
      <c r="B26" s="235" t="s">
        <v>3616</v>
      </c>
      <c r="C26" s="551" t="s">
        <v>3617</v>
      </c>
      <c r="D26" s="552" t="s">
        <v>3612</v>
      </c>
      <c r="E26" s="371" t="s">
        <v>613</v>
      </c>
      <c r="F26" s="242">
        <v>1950</v>
      </c>
      <c r="G26" s="560">
        <v>1930</v>
      </c>
      <c r="H26" s="560">
        <v>1.61</v>
      </c>
      <c r="I26" s="560">
        <v>18.3</v>
      </c>
      <c r="J26" s="572">
        <v>2.89</v>
      </c>
      <c r="K26" s="573">
        <v>2.83</v>
      </c>
      <c r="L26" s="573">
        <v>4.5199999999999997E-3</v>
      </c>
      <c r="M26" s="573">
        <v>5.8200000000000002E-2</v>
      </c>
      <c r="N26" s="572">
        <v>1.6199999999999999E-2</v>
      </c>
      <c r="O26" s="573">
        <v>1.21E-2</v>
      </c>
      <c r="P26" s="573">
        <v>3.8000000000000002E-4</v>
      </c>
      <c r="Q26" s="573">
        <v>3.7000000000000002E-3</v>
      </c>
      <c r="R26" s="572">
        <v>2.88</v>
      </c>
      <c r="S26" s="573">
        <v>2.82</v>
      </c>
      <c r="T26" s="573">
        <v>4.1399999999999996E-3</v>
      </c>
      <c r="U26" s="573">
        <v>5.45E-2</v>
      </c>
      <c r="V26" s="572">
        <v>1.67</v>
      </c>
      <c r="W26" s="573">
        <v>1.66</v>
      </c>
      <c r="X26" s="573">
        <v>9.41E-4</v>
      </c>
      <c r="Y26" s="573">
        <v>1.09E-2</v>
      </c>
      <c r="Z26" s="552" t="s">
        <v>3613</v>
      </c>
      <c r="AA26" s="565" t="s">
        <v>3618</v>
      </c>
      <c r="AB26" s="266"/>
      <c r="AC26" s="571"/>
      <c r="AD26" s="571"/>
    </row>
    <row r="27" spans="1:30" s="208" customFormat="1" ht="15" customHeight="1">
      <c r="A27" s="558" t="s">
        <v>3619</v>
      </c>
      <c r="B27" s="235" t="s">
        <v>3620</v>
      </c>
      <c r="C27" s="574" t="s">
        <v>3621</v>
      </c>
      <c r="D27" s="552" t="s">
        <v>3612</v>
      </c>
      <c r="E27" s="371" t="s">
        <v>613</v>
      </c>
      <c r="F27" s="242">
        <v>2600</v>
      </c>
      <c r="G27" s="560">
        <v>2470</v>
      </c>
      <c r="H27" s="560">
        <v>4.37</v>
      </c>
      <c r="I27" s="560">
        <v>129</v>
      </c>
      <c r="J27" s="572">
        <v>4.99</v>
      </c>
      <c r="K27" s="573">
        <v>4.57</v>
      </c>
      <c r="L27" s="573">
        <v>1.23E-2</v>
      </c>
      <c r="M27" s="573">
        <v>0.40899999999999997</v>
      </c>
      <c r="N27" s="572">
        <v>4.65E-2</v>
      </c>
      <c r="O27" s="573">
        <v>1.95E-2</v>
      </c>
      <c r="P27" s="573">
        <v>9.7300000000000002E-4</v>
      </c>
      <c r="Q27" s="573">
        <v>2.5999999999999999E-2</v>
      </c>
      <c r="R27" s="572">
        <v>4.9400000000000004</v>
      </c>
      <c r="S27" s="573">
        <v>4.55</v>
      </c>
      <c r="T27" s="573">
        <v>1.1299999999999999E-2</v>
      </c>
      <c r="U27" s="573">
        <v>0.38300000000000001</v>
      </c>
      <c r="V27" s="572">
        <v>2.12</v>
      </c>
      <c r="W27" s="573">
        <v>2.04</v>
      </c>
      <c r="X27" s="573">
        <v>2.5699999999999998E-3</v>
      </c>
      <c r="Y27" s="573">
        <v>7.6799999999999993E-2</v>
      </c>
      <c r="Z27" s="552" t="s">
        <v>3613</v>
      </c>
      <c r="AA27" s="565" t="s">
        <v>3622</v>
      </c>
      <c r="AB27" s="266"/>
      <c r="AC27" s="571"/>
      <c r="AD27" s="571"/>
    </row>
    <row r="28" spans="1:30" s="253" customFormat="1" ht="15" customHeight="1">
      <c r="A28" s="575">
        <v>62.018000000000001</v>
      </c>
      <c r="B28" s="235" t="s">
        <v>3623</v>
      </c>
      <c r="C28" s="574" t="s">
        <v>3624</v>
      </c>
      <c r="D28" s="566" t="s">
        <v>3612</v>
      </c>
      <c r="E28" s="576" t="s">
        <v>613</v>
      </c>
      <c r="F28" s="242">
        <v>1880</v>
      </c>
      <c r="G28" s="560">
        <v>1840</v>
      </c>
      <c r="H28" s="560">
        <v>1.1200000000000001</v>
      </c>
      <c r="I28" s="560">
        <v>34.4</v>
      </c>
      <c r="J28" s="572">
        <v>2.91</v>
      </c>
      <c r="K28" s="573">
        <v>2.8</v>
      </c>
      <c r="L28" s="573">
        <v>3.1700000000000001E-3</v>
      </c>
      <c r="M28" s="573">
        <v>0.11</v>
      </c>
      <c r="N28" s="572">
        <v>1.9099999999999999E-2</v>
      </c>
      <c r="O28" s="573">
        <v>1.1900000000000001E-2</v>
      </c>
      <c r="P28" s="573">
        <v>2.5000000000000001E-4</v>
      </c>
      <c r="Q28" s="573">
        <v>6.9699999999999996E-3</v>
      </c>
      <c r="R28" s="572">
        <v>2.89</v>
      </c>
      <c r="S28" s="573">
        <v>2.78</v>
      </c>
      <c r="T28" s="573">
        <v>2.9199999999999999E-3</v>
      </c>
      <c r="U28" s="573">
        <v>0.10299999999999999</v>
      </c>
      <c r="V28" s="572">
        <v>1.59</v>
      </c>
      <c r="W28" s="573">
        <v>1.57</v>
      </c>
      <c r="X28" s="573">
        <v>6.6100000000000002E-4</v>
      </c>
      <c r="Y28" s="573">
        <v>2.06E-2</v>
      </c>
      <c r="Z28" s="566" t="s">
        <v>3613</v>
      </c>
      <c r="AA28" s="565" t="s">
        <v>3625</v>
      </c>
      <c r="AB28" s="507"/>
      <c r="AC28" s="577"/>
      <c r="AD28" s="577"/>
    </row>
    <row r="29" spans="1:30" s="208" customFormat="1" ht="15" customHeight="1">
      <c r="A29" s="558" t="s">
        <v>3626</v>
      </c>
      <c r="B29" s="235" t="s">
        <v>3627</v>
      </c>
      <c r="C29" s="574" t="s">
        <v>3628</v>
      </c>
      <c r="D29" s="552" t="s">
        <v>3612</v>
      </c>
      <c r="E29" s="371" t="s">
        <v>613</v>
      </c>
      <c r="F29" s="242">
        <v>1930</v>
      </c>
      <c r="G29" s="560">
        <v>1910</v>
      </c>
      <c r="H29" s="560">
        <v>1.01</v>
      </c>
      <c r="I29" s="560">
        <v>12.3</v>
      </c>
      <c r="J29" s="572">
        <v>2.8</v>
      </c>
      <c r="K29" s="573">
        <v>2.76</v>
      </c>
      <c r="L29" s="573">
        <v>2.8400000000000001E-3</v>
      </c>
      <c r="M29" s="573">
        <v>3.9100000000000003E-2</v>
      </c>
      <c r="N29" s="572">
        <v>1.4500000000000001E-2</v>
      </c>
      <c r="O29" s="573">
        <v>1.18E-2</v>
      </c>
      <c r="P29" s="573">
        <v>2.3900000000000001E-4</v>
      </c>
      <c r="Q29" s="573">
        <v>2.48E-3</v>
      </c>
      <c r="R29" s="572">
        <v>2.79</v>
      </c>
      <c r="S29" s="573">
        <v>2.75</v>
      </c>
      <c r="T29" s="573">
        <v>2.5999999999999999E-3</v>
      </c>
      <c r="U29" s="573">
        <v>3.6600000000000001E-2</v>
      </c>
      <c r="V29" s="572">
        <v>1.66</v>
      </c>
      <c r="W29" s="573">
        <v>1.65</v>
      </c>
      <c r="X29" s="573">
        <v>5.9100000000000005E-4</v>
      </c>
      <c r="Y29" s="573">
        <v>7.3299999999999997E-3</v>
      </c>
      <c r="Z29" s="552" t="s">
        <v>3613</v>
      </c>
      <c r="AA29" s="565" t="s">
        <v>3629</v>
      </c>
      <c r="AB29" s="266"/>
      <c r="AC29" s="571"/>
      <c r="AD29" s="571"/>
    </row>
    <row r="30" spans="1:30" s="208" customFormat="1" ht="15" customHeight="1">
      <c r="A30" s="558" t="s">
        <v>3630</v>
      </c>
      <c r="B30" s="235" t="s">
        <v>3631</v>
      </c>
      <c r="C30" s="551" t="s">
        <v>3632</v>
      </c>
      <c r="D30" s="552" t="s">
        <v>3612</v>
      </c>
      <c r="E30" s="371" t="s">
        <v>613</v>
      </c>
      <c r="F30" s="238">
        <v>31.7</v>
      </c>
      <c r="G30" s="553">
        <v>11.3</v>
      </c>
      <c r="H30" s="553">
        <v>9.07</v>
      </c>
      <c r="I30" s="553">
        <v>11.3</v>
      </c>
      <c r="J30" s="570">
        <v>9.9299999999999999E-2</v>
      </c>
      <c r="K30" s="569">
        <v>5.6300000000000003E-2</v>
      </c>
      <c r="L30" s="569">
        <v>1.95E-2</v>
      </c>
      <c r="M30" s="569">
        <v>2.3599999999999999E-2</v>
      </c>
      <c r="N30" s="570">
        <v>4.6300000000000001E-2</v>
      </c>
      <c r="O30" s="569">
        <v>4.1599999999999998E-2</v>
      </c>
      <c r="P30" s="569">
        <v>1.34E-3</v>
      </c>
      <c r="Q30" s="569">
        <v>3.3800000000000002E-3</v>
      </c>
      <c r="R30" s="570">
        <v>5.2999999999999999E-2</v>
      </c>
      <c r="S30" s="569">
        <v>1.47E-2</v>
      </c>
      <c r="T30" s="569">
        <v>1.8100000000000002E-2</v>
      </c>
      <c r="U30" s="569">
        <v>2.0199999999999999E-2</v>
      </c>
      <c r="V30" s="570">
        <v>1.1900000000000001E-2</v>
      </c>
      <c r="W30" s="569">
        <v>2.2699999999999999E-3</v>
      </c>
      <c r="X30" s="569">
        <v>5.3499999999999997E-3</v>
      </c>
      <c r="Y30" s="569">
        <v>4.2599999999999999E-3</v>
      </c>
      <c r="Z30" s="552" t="s">
        <v>3613</v>
      </c>
      <c r="AA30" s="557" t="s">
        <v>3633</v>
      </c>
      <c r="AB30" s="266"/>
      <c r="AC30" s="571"/>
      <c r="AD30" s="571"/>
    </row>
    <row r="31" spans="1:30" s="208" customFormat="1" ht="15" customHeight="1">
      <c r="A31" s="558" t="s">
        <v>3634</v>
      </c>
      <c r="B31" s="235" t="s">
        <v>3635</v>
      </c>
      <c r="C31" s="551" t="s">
        <v>3636</v>
      </c>
      <c r="D31" s="552" t="s">
        <v>3637</v>
      </c>
      <c r="E31" s="371" t="s">
        <v>3638</v>
      </c>
      <c r="F31" s="238">
        <v>1010000</v>
      </c>
      <c r="G31" s="553">
        <v>998000</v>
      </c>
      <c r="H31" s="553">
        <v>7420</v>
      </c>
      <c r="I31" s="569">
        <v>0</v>
      </c>
      <c r="J31" s="570">
        <v>2860</v>
      </c>
      <c r="K31" s="569">
        <v>2840</v>
      </c>
      <c r="L31" s="569">
        <v>20.9</v>
      </c>
      <c r="M31" s="569">
        <v>0</v>
      </c>
      <c r="N31" s="570">
        <v>13.8</v>
      </c>
      <c r="O31" s="569">
        <v>12.1</v>
      </c>
      <c r="P31" s="569">
        <v>1.65</v>
      </c>
      <c r="Q31" s="569">
        <v>0</v>
      </c>
      <c r="R31" s="570">
        <v>2840</v>
      </c>
      <c r="S31" s="569">
        <v>2820</v>
      </c>
      <c r="T31" s="569">
        <v>19.3</v>
      </c>
      <c r="U31" s="569">
        <v>0</v>
      </c>
      <c r="V31" s="570">
        <v>758</v>
      </c>
      <c r="W31" s="569">
        <v>753</v>
      </c>
      <c r="X31" s="569">
        <v>4.37</v>
      </c>
      <c r="Y31" s="569">
        <v>0</v>
      </c>
      <c r="Z31" s="552" t="s">
        <v>3639</v>
      </c>
      <c r="AA31" s="557" t="s">
        <v>3640</v>
      </c>
      <c r="AB31" s="266"/>
      <c r="AC31" s="571"/>
      <c r="AD31" s="578"/>
    </row>
    <row r="32" spans="1:30" s="208" customFormat="1" ht="15" customHeight="1">
      <c r="A32" s="127" t="s">
        <v>3641</v>
      </c>
      <c r="B32" s="235" t="s">
        <v>3642</v>
      </c>
      <c r="C32" s="551" t="s">
        <v>3643</v>
      </c>
      <c r="D32" s="552" t="s">
        <v>3612</v>
      </c>
      <c r="E32" s="371" t="s">
        <v>613</v>
      </c>
      <c r="F32" s="238">
        <v>17.3</v>
      </c>
      <c r="G32" s="553">
        <v>15.2</v>
      </c>
      <c r="H32" s="553">
        <v>0.27900000000000003</v>
      </c>
      <c r="I32" s="553">
        <v>1.79</v>
      </c>
      <c r="J32" s="570">
        <v>2.9399999999999999E-2</v>
      </c>
      <c r="K32" s="569">
        <v>2.29E-2</v>
      </c>
      <c r="L32" s="569">
        <v>4.64E-4</v>
      </c>
      <c r="M32" s="569">
        <v>6.0299999999999998E-3</v>
      </c>
      <c r="N32" s="570">
        <v>6.7100000000000005E-4</v>
      </c>
      <c r="O32" s="569">
        <v>1.11E-4</v>
      </c>
      <c r="P32" s="569">
        <v>3.2799999999999998E-5</v>
      </c>
      <c r="Q32" s="569">
        <v>5.2700000000000002E-4</v>
      </c>
      <c r="R32" s="570">
        <v>2.8799999999999999E-2</v>
      </c>
      <c r="S32" s="569">
        <v>2.2800000000000001E-2</v>
      </c>
      <c r="T32" s="569">
        <v>4.3100000000000001E-4</v>
      </c>
      <c r="U32" s="569">
        <v>5.4999999999999997E-3</v>
      </c>
      <c r="V32" s="570">
        <v>7.3499999999999998E-3</v>
      </c>
      <c r="W32" s="569">
        <v>6.1999999999999998E-3</v>
      </c>
      <c r="X32" s="569">
        <v>1.4100000000000001E-4</v>
      </c>
      <c r="Y32" s="569">
        <v>1E-3</v>
      </c>
      <c r="Z32" s="552" t="s">
        <v>3613</v>
      </c>
      <c r="AA32" s="557" t="s">
        <v>3644</v>
      </c>
      <c r="AB32" s="266"/>
      <c r="AC32" s="571"/>
      <c r="AD32" s="571"/>
    </row>
    <row r="33" spans="1:30" s="208" customFormat="1" ht="15" customHeight="1">
      <c r="A33" s="127" t="s">
        <v>3645</v>
      </c>
      <c r="B33" s="235" t="s">
        <v>3646</v>
      </c>
      <c r="C33" s="551" t="s">
        <v>3647</v>
      </c>
      <c r="D33" s="552" t="s">
        <v>3612</v>
      </c>
      <c r="E33" s="371" t="s">
        <v>613</v>
      </c>
      <c r="F33" s="238">
        <v>20.3</v>
      </c>
      <c r="G33" s="553">
        <v>19.2</v>
      </c>
      <c r="H33" s="553">
        <v>0.151</v>
      </c>
      <c r="I33" s="553">
        <v>1.02</v>
      </c>
      <c r="J33" s="570">
        <v>2.4899999999999999E-2</v>
      </c>
      <c r="K33" s="569">
        <v>2.12E-2</v>
      </c>
      <c r="L33" s="569">
        <v>2.4699999999999999E-4</v>
      </c>
      <c r="M33" s="569">
        <v>3.4299999999999999E-3</v>
      </c>
      <c r="N33" s="570">
        <v>4.2000000000000002E-4</v>
      </c>
      <c r="O33" s="569">
        <v>1.03E-4</v>
      </c>
      <c r="P33" s="569">
        <v>1.7399999999999999E-5</v>
      </c>
      <c r="Q33" s="569">
        <v>2.99E-4</v>
      </c>
      <c r="R33" s="570">
        <v>2.4400000000000002E-2</v>
      </c>
      <c r="S33" s="569">
        <v>2.1100000000000001E-2</v>
      </c>
      <c r="T33" s="569">
        <v>2.2900000000000001E-4</v>
      </c>
      <c r="U33" s="569">
        <v>3.13E-3</v>
      </c>
      <c r="V33" s="570">
        <v>6.3800000000000003E-3</v>
      </c>
      <c r="W33" s="569">
        <v>5.7299999999999999E-3</v>
      </c>
      <c r="X33" s="569">
        <v>7.6199999999999995E-5</v>
      </c>
      <c r="Y33" s="569">
        <v>5.6999999999999998E-4</v>
      </c>
      <c r="Z33" s="552" t="s">
        <v>3613</v>
      </c>
      <c r="AA33" s="557" t="s">
        <v>3648</v>
      </c>
      <c r="AB33" s="266"/>
      <c r="AC33" s="571"/>
      <c r="AD33" s="571"/>
    </row>
    <row r="34" spans="1:30" s="208" customFormat="1" ht="15" customHeight="1">
      <c r="A34" s="127" t="s">
        <v>3649</v>
      </c>
      <c r="B34" s="235" t="s">
        <v>3650</v>
      </c>
      <c r="C34" s="551" t="s">
        <v>3651</v>
      </c>
      <c r="D34" s="552" t="s">
        <v>3612</v>
      </c>
      <c r="E34" s="371" t="s">
        <v>613</v>
      </c>
      <c r="F34" s="238">
        <v>2880</v>
      </c>
      <c r="G34" s="553">
        <v>1960</v>
      </c>
      <c r="H34" s="553">
        <v>651</v>
      </c>
      <c r="I34" s="553">
        <v>276</v>
      </c>
      <c r="J34" s="570">
        <v>7.56</v>
      </c>
      <c r="K34" s="569">
        <v>4.97</v>
      </c>
      <c r="L34" s="569">
        <v>1.54</v>
      </c>
      <c r="M34" s="569">
        <v>1.05</v>
      </c>
      <c r="N34" s="570">
        <v>0.309</v>
      </c>
      <c r="O34" s="569">
        <v>3.2099999999999997E-2</v>
      </c>
      <c r="P34" s="569">
        <v>0.13300000000000001</v>
      </c>
      <c r="Q34" s="569">
        <v>0.14499999999999999</v>
      </c>
      <c r="R34" s="570">
        <v>7.25</v>
      </c>
      <c r="S34" s="569">
        <v>4.9400000000000004</v>
      </c>
      <c r="T34" s="569">
        <v>1.41</v>
      </c>
      <c r="U34" s="569">
        <v>0.90700000000000003</v>
      </c>
      <c r="V34" s="570">
        <v>1.75</v>
      </c>
      <c r="W34" s="569">
        <v>1.33</v>
      </c>
      <c r="X34" s="569">
        <v>0.33100000000000002</v>
      </c>
      <c r="Y34" s="569">
        <v>8.9499999999999996E-2</v>
      </c>
      <c r="Z34" s="552" t="s">
        <v>3613</v>
      </c>
      <c r="AA34" s="557" t="s">
        <v>3652</v>
      </c>
      <c r="AB34" s="266"/>
      <c r="AC34" s="571"/>
      <c r="AD34" s="571"/>
    </row>
    <row r="35" spans="1:30" s="208" customFormat="1" ht="15" customHeight="1">
      <c r="A35" s="130" t="s">
        <v>612</v>
      </c>
      <c r="B35" s="235" t="s">
        <v>3653</v>
      </c>
      <c r="C35" s="551" t="s">
        <v>3654</v>
      </c>
      <c r="D35" s="552" t="s">
        <v>3612</v>
      </c>
      <c r="E35" s="371" t="s">
        <v>613</v>
      </c>
      <c r="F35" s="238">
        <v>263</v>
      </c>
      <c r="G35" s="553">
        <v>204</v>
      </c>
      <c r="H35" s="553">
        <v>24</v>
      </c>
      <c r="I35" s="553">
        <v>34.700000000000003</v>
      </c>
      <c r="J35" s="570">
        <v>0.63</v>
      </c>
      <c r="K35" s="569">
        <v>0.44700000000000001</v>
      </c>
      <c r="L35" s="569">
        <v>6.4600000000000005E-2</v>
      </c>
      <c r="M35" s="569">
        <v>0.11799999999999999</v>
      </c>
      <c r="N35" s="570">
        <v>2.8199999999999999E-2</v>
      </c>
      <c r="O35" s="569">
        <v>1.83E-2</v>
      </c>
      <c r="P35" s="569">
        <v>3.5699999999999998E-3</v>
      </c>
      <c r="Q35" s="569">
        <v>6.3400000000000001E-3</v>
      </c>
      <c r="R35" s="570">
        <v>0.60099999999999998</v>
      </c>
      <c r="S35" s="569">
        <v>0.42799999999999999</v>
      </c>
      <c r="T35" s="569">
        <v>6.0999999999999999E-2</v>
      </c>
      <c r="U35" s="569">
        <v>0.112</v>
      </c>
      <c r="V35" s="570">
        <v>0.14199999999999999</v>
      </c>
      <c r="W35" s="569">
        <v>0.115</v>
      </c>
      <c r="X35" s="569">
        <v>1.23E-2</v>
      </c>
      <c r="Y35" s="569">
        <v>1.49E-2</v>
      </c>
      <c r="Z35" s="552" t="s">
        <v>3613</v>
      </c>
      <c r="AA35" s="557" t="s">
        <v>3655</v>
      </c>
      <c r="AB35" s="266"/>
      <c r="AC35" s="571"/>
      <c r="AD35" s="571"/>
    </row>
    <row r="36" spans="1:30" s="208" customFormat="1" ht="15" customHeight="1">
      <c r="A36" s="130" t="s">
        <v>3656</v>
      </c>
      <c r="B36" s="235" t="s">
        <v>3657</v>
      </c>
      <c r="C36" s="551" t="s">
        <v>3658</v>
      </c>
      <c r="D36" s="552" t="s">
        <v>3612</v>
      </c>
      <c r="E36" s="371" t="s">
        <v>613</v>
      </c>
      <c r="F36" s="238">
        <v>1060</v>
      </c>
      <c r="G36" s="553">
        <v>837</v>
      </c>
      <c r="H36" s="553">
        <v>120</v>
      </c>
      <c r="I36" s="553">
        <v>107</v>
      </c>
      <c r="J36" s="570">
        <v>2.4300000000000002</v>
      </c>
      <c r="K36" s="569">
        <v>1.72</v>
      </c>
      <c r="L36" s="569">
        <v>0.32600000000000001</v>
      </c>
      <c r="M36" s="569">
        <v>0.38700000000000001</v>
      </c>
      <c r="N36" s="570">
        <v>0.127</v>
      </c>
      <c r="O36" s="569">
        <v>7.0400000000000004E-2</v>
      </c>
      <c r="P36" s="569">
        <v>1.9E-2</v>
      </c>
      <c r="Q36" s="569">
        <v>3.7199999999999997E-2</v>
      </c>
      <c r="R36" s="570">
        <v>2.2999999999999998</v>
      </c>
      <c r="S36" s="569">
        <v>1.65</v>
      </c>
      <c r="T36" s="569">
        <v>0.307</v>
      </c>
      <c r="U36" s="569">
        <v>0.35</v>
      </c>
      <c r="V36" s="570">
        <v>0.54800000000000004</v>
      </c>
      <c r="W36" s="569">
        <v>0.44400000000000001</v>
      </c>
      <c r="X36" s="569">
        <v>6.2799999999999995E-2</v>
      </c>
      <c r="Y36" s="569">
        <v>4.0599999999999997E-2</v>
      </c>
      <c r="Z36" s="552" t="s">
        <v>3613</v>
      </c>
      <c r="AA36" s="557" t="s">
        <v>3659</v>
      </c>
      <c r="AB36" s="266"/>
      <c r="AC36" s="571"/>
      <c r="AD36" s="571"/>
    </row>
    <row r="37" spans="1:30" s="208" customFormat="1" ht="15" customHeight="1">
      <c r="A37" s="127" t="s">
        <v>3660</v>
      </c>
      <c r="B37" s="235" t="s">
        <v>3661</v>
      </c>
      <c r="C37" s="551" t="s">
        <v>3662</v>
      </c>
      <c r="D37" s="552" t="s">
        <v>3612</v>
      </c>
      <c r="E37" s="371" t="s">
        <v>613</v>
      </c>
      <c r="F37" s="238">
        <v>420</v>
      </c>
      <c r="G37" s="553">
        <v>335</v>
      </c>
      <c r="H37" s="553">
        <v>35.9</v>
      </c>
      <c r="I37" s="553">
        <v>49.3</v>
      </c>
      <c r="J37" s="570">
        <v>1.01</v>
      </c>
      <c r="K37" s="569">
        <v>0.74399999999999999</v>
      </c>
      <c r="L37" s="569">
        <v>9.7600000000000006E-2</v>
      </c>
      <c r="M37" s="569">
        <v>0.17199999999999999</v>
      </c>
      <c r="N37" s="570">
        <v>4.87E-2</v>
      </c>
      <c r="O37" s="569">
        <v>3.0499999999999999E-2</v>
      </c>
      <c r="P37" s="569">
        <v>5.7000000000000002E-3</v>
      </c>
      <c r="Q37" s="569">
        <v>1.26E-2</v>
      </c>
      <c r="R37" s="570">
        <v>0.96299999999999997</v>
      </c>
      <c r="S37" s="569">
        <v>0.71199999999999997</v>
      </c>
      <c r="T37" s="569">
        <v>9.1899999999999996E-2</v>
      </c>
      <c r="U37" s="569">
        <v>0.16</v>
      </c>
      <c r="V37" s="570">
        <v>0.23</v>
      </c>
      <c r="W37" s="569">
        <v>0.191</v>
      </c>
      <c r="X37" s="569">
        <v>1.8800000000000001E-2</v>
      </c>
      <c r="Y37" s="569">
        <v>2.01E-2</v>
      </c>
      <c r="Z37" s="552" t="s">
        <v>3613</v>
      </c>
      <c r="AA37" s="557" t="s">
        <v>3663</v>
      </c>
      <c r="AB37" s="266"/>
      <c r="AC37" s="571"/>
      <c r="AD37" s="571"/>
    </row>
    <row r="38" spans="1:30" s="208" customFormat="1" ht="15" customHeight="1">
      <c r="A38" s="127" t="s">
        <v>3664</v>
      </c>
      <c r="B38" s="235" t="s">
        <v>3665</v>
      </c>
      <c r="C38" s="551" t="s">
        <v>3666</v>
      </c>
      <c r="D38" s="552" t="s">
        <v>3612</v>
      </c>
      <c r="E38" s="371" t="s">
        <v>613</v>
      </c>
      <c r="F38" s="238">
        <v>341</v>
      </c>
      <c r="G38" s="553">
        <v>274</v>
      </c>
      <c r="H38" s="553">
        <v>29.1</v>
      </c>
      <c r="I38" s="553">
        <v>38.200000000000003</v>
      </c>
      <c r="J38" s="570">
        <v>0.79400000000000004</v>
      </c>
      <c r="K38" s="569">
        <v>0.58599999999999997</v>
      </c>
      <c r="L38" s="569">
        <v>7.6600000000000001E-2</v>
      </c>
      <c r="M38" s="569">
        <v>0.13100000000000001</v>
      </c>
      <c r="N38" s="570">
        <v>3.6299999999999999E-2</v>
      </c>
      <c r="O38" s="569">
        <v>2.4E-2</v>
      </c>
      <c r="P38" s="569">
        <v>4.3299999999999996E-3</v>
      </c>
      <c r="Q38" s="569">
        <v>7.9900000000000006E-3</v>
      </c>
      <c r="R38" s="570">
        <v>0.75600000000000001</v>
      </c>
      <c r="S38" s="569">
        <v>0.56000000000000005</v>
      </c>
      <c r="T38" s="569">
        <v>7.2300000000000003E-2</v>
      </c>
      <c r="U38" s="569">
        <v>0.123</v>
      </c>
      <c r="V38" s="570">
        <v>0.18099999999999999</v>
      </c>
      <c r="W38" s="569">
        <v>0.15</v>
      </c>
      <c r="X38" s="569">
        <v>1.5100000000000001E-2</v>
      </c>
      <c r="Y38" s="569">
        <v>1.61E-2</v>
      </c>
      <c r="Z38" s="552" t="s">
        <v>3613</v>
      </c>
      <c r="AA38" s="557" t="s">
        <v>3667</v>
      </c>
      <c r="AB38" s="266"/>
      <c r="AC38" s="571"/>
      <c r="AD38" s="571"/>
    </row>
    <row r="39" spans="1:30" s="208" customFormat="1" ht="15" customHeight="1">
      <c r="A39" s="127" t="s">
        <v>3668</v>
      </c>
      <c r="B39" s="235" t="s">
        <v>3669</v>
      </c>
      <c r="C39" s="551" t="s">
        <v>3670</v>
      </c>
      <c r="D39" s="552" t="s">
        <v>3612</v>
      </c>
      <c r="E39" s="371" t="s">
        <v>613</v>
      </c>
      <c r="F39" s="238">
        <v>212</v>
      </c>
      <c r="G39" s="553">
        <v>159</v>
      </c>
      <c r="H39" s="553">
        <v>20.3</v>
      </c>
      <c r="I39" s="553">
        <v>31.9</v>
      </c>
      <c r="J39" s="570">
        <v>0.52</v>
      </c>
      <c r="K39" s="569">
        <v>0.35599999999999998</v>
      </c>
      <c r="L39" s="569">
        <v>5.57E-2</v>
      </c>
      <c r="M39" s="569">
        <v>0.108</v>
      </c>
      <c r="N39" s="570">
        <v>2.2599999999999999E-2</v>
      </c>
      <c r="O39" s="569">
        <v>1.46E-2</v>
      </c>
      <c r="P39" s="569">
        <v>3.0100000000000001E-3</v>
      </c>
      <c r="Q39" s="569">
        <v>5.0499999999999998E-3</v>
      </c>
      <c r="R39" s="570">
        <v>0.496</v>
      </c>
      <c r="S39" s="569">
        <v>0.34</v>
      </c>
      <c r="T39" s="569">
        <v>5.2699999999999997E-2</v>
      </c>
      <c r="U39" s="569">
        <v>0.10299999999999999</v>
      </c>
      <c r="V39" s="570">
        <v>0.11700000000000001</v>
      </c>
      <c r="W39" s="569">
        <v>9.2200000000000004E-2</v>
      </c>
      <c r="X39" s="569">
        <v>1.04E-2</v>
      </c>
      <c r="Y39" s="569">
        <v>1.3899999999999999E-2</v>
      </c>
      <c r="Z39" s="552" t="s">
        <v>3613</v>
      </c>
      <c r="AA39" s="557" t="s">
        <v>3671</v>
      </c>
      <c r="AB39" s="266"/>
      <c r="AC39" s="571"/>
      <c r="AD39" s="571"/>
    </row>
    <row r="40" spans="1:30" s="208" customFormat="1" ht="15" customHeight="1">
      <c r="A40" s="141" t="s">
        <v>3672</v>
      </c>
      <c r="B40" s="868"/>
      <c r="C40" s="543" t="s">
        <v>3673</v>
      </c>
      <c r="D40" s="567"/>
      <c r="E40" s="568" t="s">
        <v>3137</v>
      </c>
      <c r="F40" s="579"/>
      <c r="G40" s="579"/>
      <c r="H40" s="579"/>
      <c r="I40" s="579"/>
      <c r="J40" s="570">
        <v>0</v>
      </c>
      <c r="K40" s="569">
        <v>0</v>
      </c>
      <c r="L40" s="569">
        <v>0</v>
      </c>
      <c r="M40" s="569">
        <v>0</v>
      </c>
      <c r="N40" s="570">
        <v>0</v>
      </c>
      <c r="O40" s="569">
        <v>0</v>
      </c>
      <c r="P40" s="569">
        <v>0</v>
      </c>
      <c r="Q40" s="569">
        <v>0</v>
      </c>
      <c r="R40" s="570">
        <v>0</v>
      </c>
      <c r="S40" s="569">
        <v>0</v>
      </c>
      <c r="T40" s="569">
        <v>0</v>
      </c>
      <c r="U40" s="569">
        <v>0</v>
      </c>
      <c r="V40" s="570">
        <v>0</v>
      </c>
      <c r="W40" s="569">
        <v>0</v>
      </c>
      <c r="X40" s="569">
        <v>0</v>
      </c>
      <c r="Y40" s="569">
        <v>0</v>
      </c>
      <c r="Z40" s="567"/>
      <c r="AA40" s="549" t="s">
        <v>3674</v>
      </c>
      <c r="AB40" s="266"/>
      <c r="AC40" s="571"/>
      <c r="AD40" s="571"/>
    </row>
    <row r="41" spans="1:30" s="208" customFormat="1" ht="15" customHeight="1">
      <c r="A41" s="127" t="s">
        <v>3675</v>
      </c>
      <c r="B41" s="235" t="s">
        <v>3676</v>
      </c>
      <c r="C41" s="551" t="s">
        <v>3677</v>
      </c>
      <c r="D41" s="552" t="s">
        <v>3612</v>
      </c>
      <c r="E41" s="371" t="s">
        <v>3678</v>
      </c>
      <c r="F41" s="238">
        <v>257</v>
      </c>
      <c r="G41" s="553">
        <v>227</v>
      </c>
      <c r="H41" s="553">
        <v>12.5</v>
      </c>
      <c r="I41" s="553">
        <v>17.2</v>
      </c>
      <c r="J41" s="570">
        <v>0.63700000000000001</v>
      </c>
      <c r="K41" s="569">
        <v>0.53900000000000003</v>
      </c>
      <c r="L41" s="569">
        <v>3.85E-2</v>
      </c>
      <c r="M41" s="569">
        <v>0.06</v>
      </c>
      <c r="N41" s="570">
        <v>1.1900000000000001E-2</v>
      </c>
      <c r="O41" s="569">
        <v>2.31E-3</v>
      </c>
      <c r="P41" s="569">
        <v>5.4099999999999999E-3</v>
      </c>
      <c r="Q41" s="569">
        <v>4.1999999999999997E-3</v>
      </c>
      <c r="R41" s="570">
        <v>0.625</v>
      </c>
      <c r="S41" s="569">
        <v>0.53700000000000003</v>
      </c>
      <c r="T41" s="569">
        <v>3.3099999999999997E-2</v>
      </c>
      <c r="U41" s="569">
        <v>5.5800000000000002E-2</v>
      </c>
      <c r="V41" s="570">
        <v>0.156</v>
      </c>
      <c r="W41" s="569">
        <v>0.14299999999999999</v>
      </c>
      <c r="X41" s="569">
        <v>5.5500000000000002E-3</v>
      </c>
      <c r="Y41" s="569">
        <v>7.0699999999999999E-3</v>
      </c>
      <c r="Z41" s="552" t="s">
        <v>3613</v>
      </c>
      <c r="AA41" s="557" t="s">
        <v>3677</v>
      </c>
      <c r="AB41" s="266"/>
      <c r="AC41" s="571"/>
      <c r="AD41" s="571"/>
    </row>
    <row r="42" spans="1:30" s="208" customFormat="1" ht="15" customHeight="1">
      <c r="A42" s="127" t="s">
        <v>3679</v>
      </c>
      <c r="B42" s="235" t="s">
        <v>3680</v>
      </c>
      <c r="C42" s="551" t="s">
        <v>3681</v>
      </c>
      <c r="D42" s="552" t="s">
        <v>3612</v>
      </c>
      <c r="E42" s="371" t="s">
        <v>3678</v>
      </c>
      <c r="F42" s="238">
        <v>29</v>
      </c>
      <c r="G42" s="553">
        <v>13.6</v>
      </c>
      <c r="H42" s="553">
        <v>3.23</v>
      </c>
      <c r="I42" s="553">
        <v>12.2</v>
      </c>
      <c r="J42" s="570">
        <v>0.115</v>
      </c>
      <c r="K42" s="569">
        <v>7.9899999999999999E-2</v>
      </c>
      <c r="L42" s="569">
        <v>9.9100000000000004E-3</v>
      </c>
      <c r="M42" s="569">
        <v>2.5499999999999998E-2</v>
      </c>
      <c r="N42" s="570">
        <v>7.22E-2</v>
      </c>
      <c r="O42" s="569">
        <v>6.7400000000000002E-2</v>
      </c>
      <c r="P42" s="569">
        <v>1.14E-3</v>
      </c>
      <c r="Q42" s="569">
        <v>3.65E-3</v>
      </c>
      <c r="R42" s="570">
        <v>4.3099999999999999E-2</v>
      </c>
      <c r="S42" s="569">
        <v>1.2500000000000001E-2</v>
      </c>
      <c r="T42" s="569">
        <v>8.77E-3</v>
      </c>
      <c r="U42" s="569">
        <v>2.18E-2</v>
      </c>
      <c r="V42" s="570">
        <v>6.8599999999999998E-3</v>
      </c>
      <c r="W42" s="569">
        <v>6.78E-4</v>
      </c>
      <c r="X42" s="569">
        <v>1.5900000000000001E-3</v>
      </c>
      <c r="Y42" s="569">
        <v>4.5900000000000003E-3</v>
      </c>
      <c r="Z42" s="552" t="s">
        <v>3613</v>
      </c>
      <c r="AA42" s="557" t="s">
        <v>3682</v>
      </c>
      <c r="AB42" s="266"/>
      <c r="AC42" s="571"/>
      <c r="AD42" s="571"/>
    </row>
    <row r="43" spans="1:30" s="208" customFormat="1" ht="15" customHeight="1">
      <c r="A43" s="127" t="s">
        <v>3683</v>
      </c>
      <c r="B43" s="235" t="s">
        <v>3684</v>
      </c>
      <c r="C43" s="551" t="s">
        <v>3685</v>
      </c>
      <c r="D43" s="552" t="s">
        <v>3612</v>
      </c>
      <c r="E43" s="371" t="s">
        <v>3678</v>
      </c>
      <c r="F43" s="238">
        <v>63.4</v>
      </c>
      <c r="G43" s="553">
        <v>44</v>
      </c>
      <c r="H43" s="553">
        <v>1.92</v>
      </c>
      <c r="I43" s="553">
        <v>17.5</v>
      </c>
      <c r="J43" s="570">
        <v>0.158</v>
      </c>
      <c r="K43" s="569">
        <v>0.128</v>
      </c>
      <c r="L43" s="569">
        <v>5.1799999999999997E-3</v>
      </c>
      <c r="M43" s="569">
        <v>2.5100000000000001E-2</v>
      </c>
      <c r="N43" s="570">
        <v>3.44E-2</v>
      </c>
      <c r="O43" s="569">
        <v>3.2300000000000002E-2</v>
      </c>
      <c r="P43" s="569">
        <v>3.4499999999999998E-4</v>
      </c>
      <c r="Q43" s="569">
        <v>1.6800000000000001E-3</v>
      </c>
      <c r="R43" s="570">
        <v>0.124</v>
      </c>
      <c r="S43" s="569">
        <v>9.5500000000000002E-2</v>
      </c>
      <c r="T43" s="569">
        <v>4.8300000000000001E-3</v>
      </c>
      <c r="U43" s="569">
        <v>2.3400000000000001E-2</v>
      </c>
      <c r="V43" s="570">
        <v>3.3599999999999998E-2</v>
      </c>
      <c r="W43" s="569">
        <v>2.46E-2</v>
      </c>
      <c r="X43" s="569">
        <v>1.06E-3</v>
      </c>
      <c r="Y43" s="569">
        <v>7.9000000000000008E-3</v>
      </c>
      <c r="Z43" s="552" t="s">
        <v>3613</v>
      </c>
      <c r="AA43" s="557" t="s">
        <v>3686</v>
      </c>
      <c r="AB43" s="266"/>
      <c r="AC43" s="571"/>
      <c r="AD43" s="571"/>
    </row>
    <row r="44" spans="1:30" s="208" customFormat="1" ht="15" customHeight="1">
      <c r="A44" s="558" t="s">
        <v>3687</v>
      </c>
      <c r="B44" s="235" t="s">
        <v>3688</v>
      </c>
      <c r="C44" s="551" t="s">
        <v>3617</v>
      </c>
      <c r="D44" s="552" t="s">
        <v>3612</v>
      </c>
      <c r="E44" s="371" t="s">
        <v>3678</v>
      </c>
      <c r="F44" s="242">
        <v>332</v>
      </c>
      <c r="G44" s="560">
        <v>324</v>
      </c>
      <c r="H44" s="560">
        <v>0.65300000000000002</v>
      </c>
      <c r="I44" s="560">
        <v>6.9</v>
      </c>
      <c r="J44" s="572">
        <v>0.53700000000000003</v>
      </c>
      <c r="K44" s="573">
        <v>0.51300000000000001</v>
      </c>
      <c r="L44" s="573">
        <v>1.83E-3</v>
      </c>
      <c r="M44" s="573">
        <v>2.1999999999999999E-2</v>
      </c>
      <c r="N44" s="572">
        <v>3.7399999999999998E-3</v>
      </c>
      <c r="O44" s="573">
        <v>2.1900000000000001E-3</v>
      </c>
      <c r="P44" s="573">
        <v>1.54E-4</v>
      </c>
      <c r="Q44" s="573">
        <v>1.4E-3</v>
      </c>
      <c r="R44" s="572">
        <v>0.53300000000000003</v>
      </c>
      <c r="S44" s="573">
        <v>0.51100000000000001</v>
      </c>
      <c r="T44" s="573">
        <v>1.6800000000000001E-3</v>
      </c>
      <c r="U44" s="573">
        <v>2.06E-2</v>
      </c>
      <c r="V44" s="572">
        <v>0.28199999999999997</v>
      </c>
      <c r="W44" s="573">
        <v>0.27800000000000002</v>
      </c>
      <c r="X44" s="573">
        <v>3.8200000000000002E-4</v>
      </c>
      <c r="Y44" s="573">
        <v>4.1200000000000004E-3</v>
      </c>
      <c r="Z44" s="552" t="s">
        <v>3613</v>
      </c>
      <c r="AA44" s="557" t="s">
        <v>3689</v>
      </c>
      <c r="AB44" s="266"/>
      <c r="AC44" s="571"/>
      <c r="AD44" s="571"/>
    </row>
    <row r="45" spans="1:30" s="208" customFormat="1" ht="15" customHeight="1">
      <c r="A45" s="558" t="s">
        <v>3690</v>
      </c>
      <c r="B45" s="235" t="s">
        <v>3691</v>
      </c>
      <c r="C45" s="574" t="s">
        <v>3621</v>
      </c>
      <c r="D45" s="552" t="s">
        <v>3612</v>
      </c>
      <c r="E45" s="371" t="s">
        <v>3678</v>
      </c>
      <c r="F45" s="242">
        <v>426</v>
      </c>
      <c r="G45" s="560">
        <v>404</v>
      </c>
      <c r="H45" s="560">
        <v>0.72</v>
      </c>
      <c r="I45" s="560">
        <v>21.2</v>
      </c>
      <c r="J45" s="572">
        <v>0.82299999999999995</v>
      </c>
      <c r="K45" s="573">
        <v>0.753</v>
      </c>
      <c r="L45" s="573">
        <v>2.0300000000000001E-3</v>
      </c>
      <c r="M45" s="573">
        <v>6.7400000000000002E-2</v>
      </c>
      <c r="N45" s="572">
        <v>7.6600000000000001E-3</v>
      </c>
      <c r="O45" s="573">
        <v>3.2100000000000002E-3</v>
      </c>
      <c r="P45" s="573">
        <v>1.6000000000000001E-4</v>
      </c>
      <c r="Q45" s="573">
        <v>4.2900000000000004E-3</v>
      </c>
      <c r="R45" s="572">
        <v>0.81499999999999995</v>
      </c>
      <c r="S45" s="573">
        <v>0.75</v>
      </c>
      <c r="T45" s="573">
        <v>1.8699999999999999E-3</v>
      </c>
      <c r="U45" s="573">
        <v>6.3100000000000003E-2</v>
      </c>
      <c r="V45" s="572">
        <v>0.35</v>
      </c>
      <c r="W45" s="573">
        <v>0.33700000000000002</v>
      </c>
      <c r="X45" s="573">
        <v>4.2400000000000001E-4</v>
      </c>
      <c r="Y45" s="573">
        <v>1.2699999999999999E-2</v>
      </c>
      <c r="Z45" s="552" t="s">
        <v>3613</v>
      </c>
      <c r="AA45" s="565" t="s">
        <v>3622</v>
      </c>
      <c r="AB45" s="266"/>
      <c r="AC45" s="571"/>
      <c r="AD45" s="571"/>
    </row>
    <row r="46" spans="1:30" s="253" customFormat="1" ht="15" customHeight="1">
      <c r="A46" s="575" t="s">
        <v>3692</v>
      </c>
      <c r="B46" s="235" t="s">
        <v>3693</v>
      </c>
      <c r="C46" s="574" t="s">
        <v>3624</v>
      </c>
      <c r="D46" s="566" t="s">
        <v>3612</v>
      </c>
      <c r="E46" s="576" t="s">
        <v>3678</v>
      </c>
      <c r="F46" s="242">
        <v>302</v>
      </c>
      <c r="G46" s="560">
        <v>296</v>
      </c>
      <c r="H46" s="560">
        <v>0.182</v>
      </c>
      <c r="I46" s="560">
        <v>5.58</v>
      </c>
      <c r="J46" s="572">
        <v>0.47099999999999997</v>
      </c>
      <c r="K46" s="573">
        <v>0.45300000000000001</v>
      </c>
      <c r="L46" s="573">
        <v>5.13E-4</v>
      </c>
      <c r="M46" s="573">
        <v>1.78E-2</v>
      </c>
      <c r="N46" s="572">
        <v>3.0999999999999999E-3</v>
      </c>
      <c r="O46" s="573">
        <v>1.9300000000000001E-3</v>
      </c>
      <c r="P46" s="573">
        <v>4.0599999999999998E-5</v>
      </c>
      <c r="Q46" s="573">
        <v>1.1299999999999999E-3</v>
      </c>
      <c r="R46" s="572">
        <v>0.46800000000000003</v>
      </c>
      <c r="S46" s="573">
        <v>0.45100000000000001</v>
      </c>
      <c r="T46" s="573">
        <v>4.73E-4</v>
      </c>
      <c r="U46" s="573">
        <v>1.66E-2</v>
      </c>
      <c r="V46" s="572">
        <v>0.25800000000000001</v>
      </c>
      <c r="W46" s="573">
        <v>0.255</v>
      </c>
      <c r="X46" s="573">
        <v>1.07E-4</v>
      </c>
      <c r="Y46" s="573">
        <v>3.3300000000000001E-3</v>
      </c>
      <c r="Z46" s="566" t="s">
        <v>3613</v>
      </c>
      <c r="AA46" s="565" t="s">
        <v>3625</v>
      </c>
      <c r="AB46" s="507"/>
      <c r="AC46" s="577"/>
      <c r="AD46" s="577"/>
    </row>
    <row r="47" spans="1:30" s="208" customFormat="1" ht="15" customHeight="1">
      <c r="A47" s="558" t="s">
        <v>3694</v>
      </c>
      <c r="B47" s="235" t="s">
        <v>3695</v>
      </c>
      <c r="C47" s="574" t="s">
        <v>3628</v>
      </c>
      <c r="D47" s="552" t="s">
        <v>3612</v>
      </c>
      <c r="E47" s="371" t="s">
        <v>3678</v>
      </c>
      <c r="F47" s="242">
        <v>303</v>
      </c>
      <c r="G47" s="560">
        <v>301</v>
      </c>
      <c r="H47" s="560">
        <v>0.16</v>
      </c>
      <c r="I47" s="560">
        <v>1.95</v>
      </c>
      <c r="J47" s="572">
        <v>0.44400000000000001</v>
      </c>
      <c r="K47" s="573">
        <v>0.438</v>
      </c>
      <c r="L47" s="573">
        <v>4.4999999999999999E-4</v>
      </c>
      <c r="M47" s="573">
        <v>6.1999999999999998E-3</v>
      </c>
      <c r="N47" s="572">
        <v>2.3E-3</v>
      </c>
      <c r="O47" s="573">
        <v>1.8699999999999999E-3</v>
      </c>
      <c r="P47" s="573">
        <v>3.7799999999999997E-5</v>
      </c>
      <c r="Q47" s="573">
        <v>3.9399999999999998E-4</v>
      </c>
      <c r="R47" s="572">
        <v>0.442</v>
      </c>
      <c r="S47" s="573">
        <v>0.436</v>
      </c>
      <c r="T47" s="573">
        <v>4.1199999999999999E-4</v>
      </c>
      <c r="U47" s="573">
        <v>5.7999999999999996E-3</v>
      </c>
      <c r="V47" s="572">
        <v>0.26300000000000001</v>
      </c>
      <c r="W47" s="573">
        <v>0.26100000000000001</v>
      </c>
      <c r="X47" s="573">
        <v>9.3700000000000001E-5</v>
      </c>
      <c r="Y47" s="573">
        <v>1.16E-3</v>
      </c>
      <c r="Z47" s="552" t="s">
        <v>3613</v>
      </c>
      <c r="AA47" s="565" t="s">
        <v>3629</v>
      </c>
      <c r="AB47" s="266"/>
      <c r="AC47" s="571"/>
      <c r="AD47" s="571"/>
    </row>
    <row r="48" spans="1:30" s="208" customFormat="1" ht="15" customHeight="1">
      <c r="A48" s="580" t="s">
        <v>3696</v>
      </c>
      <c r="B48" s="235" t="s">
        <v>3697</v>
      </c>
      <c r="C48" s="551" t="s">
        <v>3698</v>
      </c>
      <c r="D48" s="552" t="s">
        <v>3637</v>
      </c>
      <c r="E48" s="371" t="s">
        <v>3638</v>
      </c>
      <c r="F48" s="238">
        <v>1270000</v>
      </c>
      <c r="G48" s="553">
        <v>1260000</v>
      </c>
      <c r="H48" s="553">
        <v>7420</v>
      </c>
      <c r="I48" s="569">
        <v>0</v>
      </c>
      <c r="J48" s="570">
        <v>3630</v>
      </c>
      <c r="K48" s="569">
        <v>3600</v>
      </c>
      <c r="L48" s="569">
        <v>20.9</v>
      </c>
      <c r="M48" s="569">
        <v>0</v>
      </c>
      <c r="N48" s="570">
        <v>17</v>
      </c>
      <c r="O48" s="569">
        <v>15.4</v>
      </c>
      <c r="P48" s="569">
        <v>1.65</v>
      </c>
      <c r="Q48" s="569">
        <v>0</v>
      </c>
      <c r="R48" s="570">
        <v>3610</v>
      </c>
      <c r="S48" s="569">
        <v>3590</v>
      </c>
      <c r="T48" s="569">
        <v>19.3</v>
      </c>
      <c r="U48" s="569">
        <v>0</v>
      </c>
      <c r="V48" s="570">
        <v>967</v>
      </c>
      <c r="W48" s="569">
        <v>962</v>
      </c>
      <c r="X48" s="569">
        <v>4.37</v>
      </c>
      <c r="Y48" s="569">
        <v>0</v>
      </c>
      <c r="Z48" s="552" t="s">
        <v>3639</v>
      </c>
      <c r="AA48" s="557" t="s">
        <v>3699</v>
      </c>
      <c r="AB48" s="266"/>
      <c r="AC48" s="571"/>
      <c r="AD48" s="571"/>
    </row>
    <row r="49" spans="1:30" s="208" customFormat="1" ht="15" customHeight="1">
      <c r="A49" s="580" t="s">
        <v>3700</v>
      </c>
      <c r="B49" s="235" t="s">
        <v>3701</v>
      </c>
      <c r="C49" s="551" t="s">
        <v>3702</v>
      </c>
      <c r="D49" s="552" t="s">
        <v>3637</v>
      </c>
      <c r="E49" s="371" t="s">
        <v>3638</v>
      </c>
      <c r="F49" s="238">
        <v>1830000</v>
      </c>
      <c r="G49" s="553">
        <v>1820000</v>
      </c>
      <c r="H49" s="553">
        <v>8640</v>
      </c>
      <c r="I49" s="569">
        <v>0</v>
      </c>
      <c r="J49" s="570">
        <v>5200</v>
      </c>
      <c r="K49" s="569">
        <v>5170</v>
      </c>
      <c r="L49" s="569">
        <v>24.4</v>
      </c>
      <c r="M49" s="569">
        <v>0</v>
      </c>
      <c r="N49" s="570">
        <v>24</v>
      </c>
      <c r="O49" s="569">
        <v>22.1</v>
      </c>
      <c r="P49" s="569">
        <v>1.92</v>
      </c>
      <c r="Q49" s="569">
        <v>0</v>
      </c>
      <c r="R49" s="570">
        <v>5180</v>
      </c>
      <c r="S49" s="569">
        <v>5150</v>
      </c>
      <c r="T49" s="569">
        <v>22.4</v>
      </c>
      <c r="U49" s="569">
        <v>0</v>
      </c>
      <c r="V49" s="570">
        <v>1410</v>
      </c>
      <c r="W49" s="569">
        <v>1410</v>
      </c>
      <c r="X49" s="569">
        <v>5.08</v>
      </c>
      <c r="Y49" s="569">
        <v>0</v>
      </c>
      <c r="Z49" s="552" t="s">
        <v>3639</v>
      </c>
      <c r="AA49" s="557" t="s">
        <v>3703</v>
      </c>
      <c r="AB49" s="266"/>
      <c r="AC49" s="571"/>
      <c r="AD49" s="571"/>
    </row>
    <row r="50" spans="1:30" s="208" customFormat="1" ht="15" customHeight="1">
      <c r="A50" s="127" t="s">
        <v>3704</v>
      </c>
      <c r="B50" s="235" t="s">
        <v>3705</v>
      </c>
      <c r="C50" s="551" t="s">
        <v>3706</v>
      </c>
      <c r="D50" s="552" t="s">
        <v>3612</v>
      </c>
      <c r="E50" s="371" t="s">
        <v>3678</v>
      </c>
      <c r="F50" s="238">
        <v>348</v>
      </c>
      <c r="G50" s="553">
        <v>220</v>
      </c>
      <c r="H50" s="553">
        <v>93</v>
      </c>
      <c r="I50" s="553">
        <v>34.6</v>
      </c>
      <c r="J50" s="570">
        <v>0.91100000000000003</v>
      </c>
      <c r="K50" s="569">
        <v>0.57499999999999996</v>
      </c>
      <c r="L50" s="569">
        <v>0.20100000000000001</v>
      </c>
      <c r="M50" s="569">
        <v>0.13500000000000001</v>
      </c>
      <c r="N50" s="570">
        <v>4.5900000000000003E-2</v>
      </c>
      <c r="O50" s="569">
        <v>8.0199999999999994E-3</v>
      </c>
      <c r="P50" s="569">
        <v>1.77E-2</v>
      </c>
      <c r="Q50" s="569">
        <v>2.0199999999999999E-2</v>
      </c>
      <c r="R50" s="570">
        <v>0.86499999999999999</v>
      </c>
      <c r="S50" s="569">
        <v>0.56699999999999995</v>
      </c>
      <c r="T50" s="569">
        <v>0.184</v>
      </c>
      <c r="U50" s="569">
        <v>0.114</v>
      </c>
      <c r="V50" s="570">
        <v>0.20899999999999999</v>
      </c>
      <c r="W50" s="569">
        <v>0.154</v>
      </c>
      <c r="X50" s="569">
        <v>4.5100000000000001E-2</v>
      </c>
      <c r="Y50" s="569">
        <v>1.06E-2</v>
      </c>
      <c r="Z50" s="552" t="s">
        <v>3613</v>
      </c>
      <c r="AA50" s="557" t="s">
        <v>3707</v>
      </c>
      <c r="AB50" s="266"/>
      <c r="AC50" s="571"/>
      <c r="AD50" s="571"/>
    </row>
    <row r="51" spans="1:30" s="208" customFormat="1" ht="15" customHeight="1">
      <c r="A51" s="127" t="s">
        <v>3708</v>
      </c>
      <c r="B51" s="235" t="s">
        <v>3709</v>
      </c>
      <c r="C51" s="551" t="s">
        <v>3710</v>
      </c>
      <c r="D51" s="552" t="s">
        <v>3612</v>
      </c>
      <c r="E51" s="371" t="s">
        <v>3678</v>
      </c>
      <c r="F51" s="238">
        <v>360</v>
      </c>
      <c r="G51" s="553">
        <v>237</v>
      </c>
      <c r="H51" s="553">
        <v>89.4</v>
      </c>
      <c r="I51" s="553">
        <v>34.200000000000003</v>
      </c>
      <c r="J51" s="570">
        <v>0.96399999999999997</v>
      </c>
      <c r="K51" s="569">
        <v>0.63600000000000001</v>
      </c>
      <c r="L51" s="569">
        <v>0.19500000000000001</v>
      </c>
      <c r="M51" s="569">
        <v>0.13300000000000001</v>
      </c>
      <c r="N51" s="570">
        <v>4.9000000000000002E-2</v>
      </c>
      <c r="O51" s="569">
        <v>1.1900000000000001E-2</v>
      </c>
      <c r="P51" s="569">
        <v>1.7000000000000001E-2</v>
      </c>
      <c r="Q51" s="569">
        <v>2.0199999999999999E-2</v>
      </c>
      <c r="R51" s="570">
        <v>0.91500000000000004</v>
      </c>
      <c r="S51" s="569">
        <v>0.624</v>
      </c>
      <c r="T51" s="569">
        <v>0.17799999999999999</v>
      </c>
      <c r="U51" s="569">
        <v>0.113</v>
      </c>
      <c r="V51" s="570">
        <v>0.222</v>
      </c>
      <c r="W51" s="569">
        <v>0.16800000000000001</v>
      </c>
      <c r="X51" s="569">
        <v>4.3700000000000003E-2</v>
      </c>
      <c r="Y51" s="569">
        <v>1.04E-2</v>
      </c>
      <c r="Z51" s="552" t="s">
        <v>3613</v>
      </c>
      <c r="AA51" s="557" t="s">
        <v>3711</v>
      </c>
      <c r="AB51" s="266"/>
      <c r="AC51" s="571"/>
      <c r="AD51" s="571"/>
    </row>
    <row r="52" spans="1:30" s="208" customFormat="1" ht="15" customHeight="1">
      <c r="A52" s="127" t="s">
        <v>3712</v>
      </c>
      <c r="B52" s="235" t="s">
        <v>3713</v>
      </c>
      <c r="C52" s="551" t="s">
        <v>3714</v>
      </c>
      <c r="D52" s="552" t="s">
        <v>3612</v>
      </c>
      <c r="E52" s="371" t="s">
        <v>3678</v>
      </c>
      <c r="F52" s="238">
        <v>190</v>
      </c>
      <c r="G52" s="553">
        <v>112</v>
      </c>
      <c r="H52" s="553">
        <v>43.5</v>
      </c>
      <c r="I52" s="553">
        <v>34.5</v>
      </c>
      <c r="J52" s="570">
        <v>0.46400000000000002</v>
      </c>
      <c r="K52" s="569">
        <v>0.21099999999999999</v>
      </c>
      <c r="L52" s="569">
        <v>0.11700000000000001</v>
      </c>
      <c r="M52" s="569">
        <v>0.13600000000000001</v>
      </c>
      <c r="N52" s="570">
        <v>5.0599999999999999E-2</v>
      </c>
      <c r="O52" s="569">
        <v>2.1299999999999999E-2</v>
      </c>
      <c r="P52" s="569">
        <v>7.6600000000000001E-3</v>
      </c>
      <c r="Q52" s="569">
        <v>2.1600000000000001E-2</v>
      </c>
      <c r="R52" s="570">
        <v>0.41299999999999998</v>
      </c>
      <c r="S52" s="569">
        <v>0.19</v>
      </c>
      <c r="T52" s="569">
        <v>0.109</v>
      </c>
      <c r="U52" s="569">
        <v>0.114</v>
      </c>
      <c r="V52" s="570">
        <v>0.10100000000000001</v>
      </c>
      <c r="W52" s="569">
        <v>6.7699999999999996E-2</v>
      </c>
      <c r="X52" s="569">
        <v>2.2700000000000001E-2</v>
      </c>
      <c r="Y52" s="569">
        <v>1.01E-2</v>
      </c>
      <c r="Z52" s="552" t="s">
        <v>3613</v>
      </c>
      <c r="AA52" s="557" t="s">
        <v>3715</v>
      </c>
      <c r="AB52" s="266"/>
      <c r="AC52" s="571"/>
      <c r="AD52" s="571"/>
    </row>
    <row r="53" spans="1:30" s="208" customFormat="1" ht="15" customHeight="1">
      <c r="A53" s="127" t="s">
        <v>3716</v>
      </c>
      <c r="B53" s="235" t="s">
        <v>3717</v>
      </c>
      <c r="C53" s="551" t="s">
        <v>3718</v>
      </c>
      <c r="D53" s="552" t="s">
        <v>3612</v>
      </c>
      <c r="E53" s="371" t="s">
        <v>3678</v>
      </c>
      <c r="F53" s="238">
        <v>328</v>
      </c>
      <c r="G53" s="553">
        <v>194</v>
      </c>
      <c r="H53" s="553">
        <v>98.4</v>
      </c>
      <c r="I53" s="553">
        <v>35.299999999999997</v>
      </c>
      <c r="J53" s="570">
        <v>0.82899999999999996</v>
      </c>
      <c r="K53" s="569">
        <v>0.48099999999999998</v>
      </c>
      <c r="L53" s="569">
        <v>0.21099999999999999</v>
      </c>
      <c r="M53" s="569">
        <v>0.13700000000000001</v>
      </c>
      <c r="N53" s="570">
        <v>4.1099999999999998E-2</v>
      </c>
      <c r="O53" s="569">
        <v>2.0699999999999998E-3</v>
      </c>
      <c r="P53" s="569">
        <v>1.8700000000000001E-2</v>
      </c>
      <c r="Q53" s="569">
        <v>2.0299999999999999E-2</v>
      </c>
      <c r="R53" s="570">
        <v>0.78800000000000003</v>
      </c>
      <c r="S53" s="569">
        <v>0.47899999999999998</v>
      </c>
      <c r="T53" s="569">
        <v>0.192</v>
      </c>
      <c r="U53" s="569">
        <v>0.11700000000000001</v>
      </c>
      <c r="V53" s="570">
        <v>0.19</v>
      </c>
      <c r="W53" s="569">
        <v>0.13100000000000001</v>
      </c>
      <c r="X53" s="569">
        <v>4.7199999999999999E-2</v>
      </c>
      <c r="Y53" s="569">
        <v>1.09E-2</v>
      </c>
      <c r="Z53" s="552" t="s">
        <v>3613</v>
      </c>
      <c r="AA53" s="557" t="s">
        <v>3719</v>
      </c>
      <c r="AB53" s="266"/>
      <c r="AC53" s="571"/>
      <c r="AD53" s="571"/>
    </row>
    <row r="54" spans="1:30" s="208" customFormat="1" ht="25.5" customHeight="1">
      <c r="A54" s="127" t="s">
        <v>3720</v>
      </c>
      <c r="B54" s="235" t="s">
        <v>3721</v>
      </c>
      <c r="C54" s="559" t="s">
        <v>3722</v>
      </c>
      <c r="D54" s="552" t="s">
        <v>3612</v>
      </c>
      <c r="E54" s="371" t="s">
        <v>3678</v>
      </c>
      <c r="F54" s="238">
        <v>252</v>
      </c>
      <c r="G54" s="553">
        <v>78.099999999999994</v>
      </c>
      <c r="H54" s="553">
        <v>139</v>
      </c>
      <c r="I54" s="553">
        <v>34.200000000000003</v>
      </c>
      <c r="J54" s="570">
        <v>0.74399999999999999</v>
      </c>
      <c r="K54" s="569">
        <v>0.32800000000000001</v>
      </c>
      <c r="L54" s="569">
        <v>0.28299999999999997</v>
      </c>
      <c r="M54" s="569">
        <v>0.13300000000000001</v>
      </c>
      <c r="N54" s="570">
        <v>0.107</v>
      </c>
      <c r="O54" s="569">
        <v>6.9099999999999995E-2</v>
      </c>
      <c r="P54" s="569">
        <v>1.8100000000000002E-2</v>
      </c>
      <c r="Q54" s="569">
        <v>2.01E-2</v>
      </c>
      <c r="R54" s="570">
        <v>0.63600000000000001</v>
      </c>
      <c r="S54" s="569">
        <v>0.25900000000000001</v>
      </c>
      <c r="T54" s="569">
        <v>0.26400000000000001</v>
      </c>
      <c r="U54" s="569">
        <v>0.113</v>
      </c>
      <c r="V54" s="570">
        <v>9.06E-2</v>
      </c>
      <c r="W54" s="569">
        <v>1.9599999999999999E-2</v>
      </c>
      <c r="X54" s="569">
        <v>6.0600000000000001E-2</v>
      </c>
      <c r="Y54" s="569">
        <v>1.04E-2</v>
      </c>
      <c r="Z54" s="552" t="s">
        <v>3613</v>
      </c>
      <c r="AA54" s="565" t="s">
        <v>3723</v>
      </c>
      <c r="AB54" s="266"/>
      <c r="AC54" s="571"/>
      <c r="AD54" s="571"/>
    </row>
    <row r="55" spans="1:30" s="253" customFormat="1" ht="42.6" customHeight="1">
      <c r="A55" s="534">
        <v>63.021000000000001</v>
      </c>
      <c r="B55" s="235" t="s">
        <v>3724</v>
      </c>
      <c r="C55" s="559" t="s">
        <v>3725</v>
      </c>
      <c r="D55" s="566" t="s">
        <v>3612</v>
      </c>
      <c r="E55" s="576" t="s">
        <v>3678</v>
      </c>
      <c r="F55" s="242">
        <v>198</v>
      </c>
      <c r="G55" s="560">
        <v>24.4</v>
      </c>
      <c r="H55" s="560">
        <v>139</v>
      </c>
      <c r="I55" s="560">
        <v>34.200000000000003</v>
      </c>
      <c r="J55" s="572">
        <v>0.56399999999999995</v>
      </c>
      <c r="K55" s="573">
        <v>0.14799999999999999</v>
      </c>
      <c r="L55" s="573">
        <v>0.28299999999999997</v>
      </c>
      <c r="M55" s="573">
        <v>0.13300000000000001</v>
      </c>
      <c r="N55" s="572">
        <v>0.182</v>
      </c>
      <c r="O55" s="573">
        <v>0.14399999999999999</v>
      </c>
      <c r="P55" s="573">
        <v>1.8100000000000002E-2</v>
      </c>
      <c r="Q55" s="573">
        <v>2.01E-2</v>
      </c>
      <c r="R55" s="572">
        <v>0.38100000000000001</v>
      </c>
      <c r="S55" s="573">
        <v>4.0400000000000002E-3</v>
      </c>
      <c r="T55" s="573">
        <v>0.26400000000000001</v>
      </c>
      <c r="U55" s="573">
        <v>0.113</v>
      </c>
      <c r="V55" s="572">
        <v>7.6999999999999999E-2</v>
      </c>
      <c r="W55" s="573">
        <v>5.96E-3</v>
      </c>
      <c r="X55" s="573">
        <v>6.0600000000000001E-2</v>
      </c>
      <c r="Y55" s="573">
        <v>1.04E-2</v>
      </c>
      <c r="Z55" s="566" t="s">
        <v>3613</v>
      </c>
      <c r="AA55" s="565" t="s">
        <v>3726</v>
      </c>
      <c r="AB55" s="507"/>
      <c r="AC55" s="577"/>
      <c r="AD55" s="577"/>
    </row>
    <row r="56" spans="1:30" s="208" customFormat="1" ht="15" customHeight="1">
      <c r="A56" s="127" t="s">
        <v>3727</v>
      </c>
      <c r="B56" s="235" t="s">
        <v>3728</v>
      </c>
      <c r="C56" s="551" t="s">
        <v>3729</v>
      </c>
      <c r="D56" s="552" t="s">
        <v>3612</v>
      </c>
      <c r="E56" s="371" t="s">
        <v>3678</v>
      </c>
      <c r="F56" s="238">
        <v>262</v>
      </c>
      <c r="G56" s="553">
        <v>184</v>
      </c>
      <c r="H56" s="553">
        <v>43.5</v>
      </c>
      <c r="I56" s="553">
        <v>34.5</v>
      </c>
      <c r="J56" s="570">
        <v>0.89200000000000002</v>
      </c>
      <c r="K56" s="569">
        <v>0.64</v>
      </c>
      <c r="L56" s="569">
        <v>0.11700000000000001</v>
      </c>
      <c r="M56" s="569">
        <v>0.13600000000000001</v>
      </c>
      <c r="N56" s="570">
        <v>3.5499999999999997E-2</v>
      </c>
      <c r="O56" s="569">
        <v>6.2199999999999998E-3</v>
      </c>
      <c r="P56" s="569">
        <v>7.6600000000000001E-3</v>
      </c>
      <c r="Q56" s="569">
        <v>2.1600000000000001E-2</v>
      </c>
      <c r="R56" s="570">
        <v>0.85699999999999998</v>
      </c>
      <c r="S56" s="569">
        <v>0.63400000000000001</v>
      </c>
      <c r="T56" s="569">
        <v>0.109</v>
      </c>
      <c r="U56" s="569">
        <v>0.114</v>
      </c>
      <c r="V56" s="570">
        <v>0.16600000000000001</v>
      </c>
      <c r="W56" s="569">
        <v>0.13300000000000001</v>
      </c>
      <c r="X56" s="569">
        <v>2.2700000000000001E-2</v>
      </c>
      <c r="Y56" s="569">
        <v>1.01E-2</v>
      </c>
      <c r="Z56" s="552" t="s">
        <v>3613</v>
      </c>
      <c r="AA56" s="557" t="s">
        <v>3730</v>
      </c>
      <c r="AB56" s="266"/>
      <c r="AC56" s="571"/>
      <c r="AD56" s="571"/>
    </row>
    <row r="57" spans="1:30" s="208" customFormat="1" ht="15" customHeight="1">
      <c r="A57" s="127" t="s">
        <v>3731</v>
      </c>
      <c r="B57" s="235" t="s">
        <v>3732</v>
      </c>
      <c r="C57" s="551" t="s">
        <v>3733</v>
      </c>
      <c r="D57" s="552" t="s">
        <v>3612</v>
      </c>
      <c r="E57" s="371" t="s">
        <v>3678</v>
      </c>
      <c r="F57" s="238">
        <v>37.5</v>
      </c>
      <c r="G57" s="553">
        <v>19.5</v>
      </c>
      <c r="H57" s="553">
        <v>2.52</v>
      </c>
      <c r="I57" s="553">
        <v>15.6</v>
      </c>
      <c r="J57" s="570">
        <v>0.20200000000000001</v>
      </c>
      <c r="K57" s="569">
        <v>0.16400000000000001</v>
      </c>
      <c r="L57" s="569">
        <v>6.13E-3</v>
      </c>
      <c r="M57" s="569">
        <v>3.2300000000000002E-2</v>
      </c>
      <c r="N57" s="570">
        <v>0.14399999999999999</v>
      </c>
      <c r="O57" s="569">
        <v>0.13800000000000001</v>
      </c>
      <c r="P57" s="569">
        <v>1.17E-3</v>
      </c>
      <c r="Q57" s="569">
        <v>4.6299999999999996E-3</v>
      </c>
      <c r="R57" s="570">
        <v>5.8400000000000001E-2</v>
      </c>
      <c r="S57" s="569">
        <v>2.5700000000000001E-2</v>
      </c>
      <c r="T57" s="569">
        <v>4.96E-3</v>
      </c>
      <c r="U57" s="569">
        <v>2.7699999999999999E-2</v>
      </c>
      <c r="V57" s="570">
        <v>8.3499999999999998E-3</v>
      </c>
      <c r="W57" s="569">
        <v>1.4400000000000001E-3</v>
      </c>
      <c r="X57" s="569">
        <v>1.07E-3</v>
      </c>
      <c r="Y57" s="569">
        <v>5.8399999999999997E-3</v>
      </c>
      <c r="Z57" s="552" t="s">
        <v>3613</v>
      </c>
      <c r="AA57" s="557" t="s">
        <v>3734</v>
      </c>
      <c r="AB57" s="266"/>
      <c r="AC57" s="571"/>
      <c r="AD57" s="571"/>
    </row>
    <row r="58" spans="1:30" s="208" customFormat="1" ht="15" customHeight="1">
      <c r="A58" s="127" t="s">
        <v>3735</v>
      </c>
      <c r="B58" s="235" t="s">
        <v>3736</v>
      </c>
      <c r="C58" s="551" t="s">
        <v>3737</v>
      </c>
      <c r="D58" s="552" t="s">
        <v>3612</v>
      </c>
      <c r="E58" s="371" t="s">
        <v>3678</v>
      </c>
      <c r="F58" s="238">
        <v>106</v>
      </c>
      <c r="G58" s="553">
        <v>89.4</v>
      </c>
      <c r="H58" s="553">
        <v>6.96</v>
      </c>
      <c r="I58" s="553">
        <v>9.76</v>
      </c>
      <c r="J58" s="570">
        <v>0.25600000000000001</v>
      </c>
      <c r="K58" s="569">
        <v>0.2</v>
      </c>
      <c r="L58" s="569">
        <v>2.1600000000000001E-2</v>
      </c>
      <c r="M58" s="569">
        <v>3.3700000000000001E-2</v>
      </c>
      <c r="N58" s="570">
        <v>6.0299999999999998E-3</v>
      </c>
      <c r="O58" s="569">
        <v>8.5999999999999998E-4</v>
      </c>
      <c r="P58" s="569">
        <v>3.0400000000000002E-3</v>
      </c>
      <c r="Q58" s="569">
        <v>2.1299999999999999E-3</v>
      </c>
      <c r="R58" s="570">
        <v>0.25</v>
      </c>
      <c r="S58" s="569">
        <v>0.2</v>
      </c>
      <c r="T58" s="569">
        <v>1.8599999999999998E-2</v>
      </c>
      <c r="U58" s="569">
        <v>3.15E-2</v>
      </c>
      <c r="V58" s="570">
        <v>6.08E-2</v>
      </c>
      <c r="W58" s="569">
        <v>5.3699999999999998E-2</v>
      </c>
      <c r="X58" s="569">
        <v>3.0999999999999999E-3</v>
      </c>
      <c r="Y58" s="569">
        <v>4.0800000000000003E-3</v>
      </c>
      <c r="Z58" s="552" t="s">
        <v>3613</v>
      </c>
      <c r="AA58" s="557" t="s">
        <v>3738</v>
      </c>
      <c r="AB58" s="266"/>
      <c r="AC58" s="571"/>
      <c r="AD58" s="571"/>
    </row>
    <row r="59" spans="1:30" s="208" customFormat="1" ht="15" customHeight="1">
      <c r="A59" s="127" t="s">
        <v>3739</v>
      </c>
      <c r="B59" s="235" t="s">
        <v>3740</v>
      </c>
      <c r="C59" s="551" t="s">
        <v>3741</v>
      </c>
      <c r="D59" s="552" t="s">
        <v>3612</v>
      </c>
      <c r="E59" s="371" t="s">
        <v>3678</v>
      </c>
      <c r="F59" s="238">
        <v>255</v>
      </c>
      <c r="G59" s="553">
        <v>233</v>
      </c>
      <c r="H59" s="553">
        <v>20.100000000000001</v>
      </c>
      <c r="I59" s="553">
        <v>2.08</v>
      </c>
      <c r="J59" s="570">
        <v>0.43099999999999999</v>
      </c>
      <c r="K59" s="569">
        <v>0.36699999999999999</v>
      </c>
      <c r="L59" s="569">
        <v>5.7099999999999998E-2</v>
      </c>
      <c r="M59" s="569">
        <v>6.8399999999999997E-3</v>
      </c>
      <c r="N59" s="570">
        <v>1.06E-2</v>
      </c>
      <c r="O59" s="569">
        <v>6.9699999999999996E-3</v>
      </c>
      <c r="P59" s="569">
        <v>3.5000000000000001E-3</v>
      </c>
      <c r="Q59" s="569">
        <v>1.73E-4</v>
      </c>
      <c r="R59" s="570">
        <v>0.42099999999999999</v>
      </c>
      <c r="S59" s="569">
        <v>0.36</v>
      </c>
      <c r="T59" s="569">
        <v>5.3600000000000002E-2</v>
      </c>
      <c r="U59" s="569">
        <v>6.6699999999999997E-3</v>
      </c>
      <c r="V59" s="570">
        <v>0.126</v>
      </c>
      <c r="W59" s="569">
        <v>0.114</v>
      </c>
      <c r="X59" s="569">
        <v>1.14E-2</v>
      </c>
      <c r="Y59" s="569">
        <v>9.5399999999999999E-4</v>
      </c>
      <c r="Z59" s="552" t="s">
        <v>3613</v>
      </c>
      <c r="AA59" s="557" t="s">
        <v>3742</v>
      </c>
      <c r="AB59" s="266"/>
      <c r="AC59" s="571"/>
      <c r="AD59" s="571"/>
    </row>
    <row r="60" spans="1:30" s="208" customFormat="1" ht="15" customHeight="1">
      <c r="A60" s="127" t="s">
        <v>3743</v>
      </c>
      <c r="B60" s="235" t="s">
        <v>3744</v>
      </c>
      <c r="C60" s="551" t="s">
        <v>3745</v>
      </c>
      <c r="D60" s="552" t="s">
        <v>3612</v>
      </c>
      <c r="E60" s="371" t="s">
        <v>3678</v>
      </c>
      <c r="F60" s="238">
        <v>123</v>
      </c>
      <c r="G60" s="553">
        <v>69.8</v>
      </c>
      <c r="H60" s="553">
        <v>6.17</v>
      </c>
      <c r="I60" s="553">
        <v>46.9</v>
      </c>
      <c r="J60" s="570">
        <v>0.48299999999999998</v>
      </c>
      <c r="K60" s="569">
        <v>0.36</v>
      </c>
      <c r="L60" s="569">
        <v>1.9300000000000001E-2</v>
      </c>
      <c r="M60" s="569">
        <v>0.105</v>
      </c>
      <c r="N60" s="570">
        <v>8.9499999999999996E-2</v>
      </c>
      <c r="O60" s="569">
        <v>7.5899999999999995E-2</v>
      </c>
      <c r="P60" s="569">
        <v>2.5100000000000001E-3</v>
      </c>
      <c r="Q60" s="569">
        <v>1.11E-2</v>
      </c>
      <c r="R60" s="570">
        <v>0.39400000000000002</v>
      </c>
      <c r="S60" s="569">
        <v>0.28399999999999997</v>
      </c>
      <c r="T60" s="569">
        <v>1.6799999999999999E-2</v>
      </c>
      <c r="U60" s="569">
        <v>9.3600000000000003E-2</v>
      </c>
      <c r="V60" s="570">
        <v>4.2900000000000001E-2</v>
      </c>
      <c r="W60" s="569">
        <v>1.7100000000000001E-2</v>
      </c>
      <c r="X60" s="569">
        <v>2.7399999999999998E-3</v>
      </c>
      <c r="Y60" s="569">
        <v>2.3E-2</v>
      </c>
      <c r="Z60" s="552" t="s">
        <v>3613</v>
      </c>
      <c r="AA60" s="557" t="s">
        <v>3745</v>
      </c>
      <c r="AB60" s="266"/>
      <c r="AC60" s="571"/>
      <c r="AD60" s="571"/>
    </row>
    <row r="61" spans="1:30" s="208" customFormat="1" ht="15" customHeight="1">
      <c r="A61" s="127" t="s">
        <v>3746</v>
      </c>
      <c r="B61" s="235" t="s">
        <v>3747</v>
      </c>
      <c r="C61" s="551" t="s">
        <v>3748</v>
      </c>
      <c r="D61" s="552" t="s">
        <v>3612</v>
      </c>
      <c r="E61" s="371" t="s">
        <v>3678</v>
      </c>
      <c r="F61" s="238">
        <v>111</v>
      </c>
      <c r="G61" s="553">
        <v>85.7</v>
      </c>
      <c r="H61" s="553">
        <v>10.4</v>
      </c>
      <c r="I61" s="553">
        <v>14.9</v>
      </c>
      <c r="J61" s="570">
        <v>0.46</v>
      </c>
      <c r="K61" s="569">
        <v>0.38200000000000001</v>
      </c>
      <c r="L61" s="569">
        <v>3.2399999999999998E-2</v>
      </c>
      <c r="M61" s="569">
        <v>4.6399999999999997E-2</v>
      </c>
      <c r="N61" s="570">
        <v>8.7800000000000003E-2</v>
      </c>
      <c r="O61" s="569">
        <v>8.0600000000000005E-2</v>
      </c>
      <c r="P61" s="569">
        <v>4.5599999999999998E-3</v>
      </c>
      <c r="Q61" s="569">
        <v>2.6900000000000001E-3</v>
      </c>
      <c r="R61" s="570">
        <v>0.373</v>
      </c>
      <c r="S61" s="569">
        <v>0.30099999999999999</v>
      </c>
      <c r="T61" s="569">
        <v>2.7799999999999998E-2</v>
      </c>
      <c r="U61" s="569">
        <v>4.3700000000000003E-2</v>
      </c>
      <c r="V61" s="570">
        <v>2.9700000000000001E-2</v>
      </c>
      <c r="W61" s="569">
        <v>1.9199999999999998E-2</v>
      </c>
      <c r="X61" s="569">
        <v>4.6499999999999996E-3</v>
      </c>
      <c r="Y61" s="569">
        <v>5.8199999999999997E-3</v>
      </c>
      <c r="Z61" s="552" t="s">
        <v>3613</v>
      </c>
      <c r="AA61" s="557" t="s">
        <v>3748</v>
      </c>
      <c r="AB61" s="266"/>
      <c r="AC61" s="571"/>
      <c r="AD61" s="571"/>
    </row>
    <row r="62" spans="1:30" s="208" customFormat="1" ht="15" customHeight="1">
      <c r="A62" s="141" t="s">
        <v>3749</v>
      </c>
      <c r="B62" s="868"/>
      <c r="C62" s="543" t="s">
        <v>3673</v>
      </c>
      <c r="D62" s="567"/>
      <c r="E62" s="568" t="s">
        <v>3137</v>
      </c>
      <c r="F62" s="579"/>
      <c r="G62" s="579"/>
      <c r="H62" s="579"/>
      <c r="I62" s="579"/>
      <c r="J62" s="570">
        <v>0</v>
      </c>
      <c r="K62" s="569">
        <v>0</v>
      </c>
      <c r="L62" s="569">
        <v>0</v>
      </c>
      <c r="M62" s="569">
        <v>0</v>
      </c>
      <c r="N62" s="570">
        <v>0</v>
      </c>
      <c r="O62" s="569">
        <v>0</v>
      </c>
      <c r="P62" s="569">
        <v>0</v>
      </c>
      <c r="Q62" s="569">
        <v>0</v>
      </c>
      <c r="R62" s="570">
        <v>0</v>
      </c>
      <c r="S62" s="569">
        <v>0</v>
      </c>
      <c r="T62" s="569">
        <v>0</v>
      </c>
      <c r="U62" s="569">
        <v>0</v>
      </c>
      <c r="V62" s="570">
        <v>0</v>
      </c>
      <c r="W62" s="569">
        <v>0</v>
      </c>
      <c r="X62" s="569">
        <v>0</v>
      </c>
      <c r="Y62" s="569">
        <v>0</v>
      </c>
      <c r="Z62" s="567"/>
      <c r="AA62" s="549" t="s">
        <v>3674</v>
      </c>
      <c r="AB62" s="266"/>
      <c r="AC62" s="571"/>
      <c r="AD62" s="571"/>
    </row>
    <row r="63" spans="1:30" s="208" customFormat="1" ht="15" customHeight="1">
      <c r="A63" s="127" t="s">
        <v>3750</v>
      </c>
      <c r="B63" s="235" t="s">
        <v>3751</v>
      </c>
      <c r="C63" s="551" t="s">
        <v>3677</v>
      </c>
      <c r="D63" s="552" t="s">
        <v>3752</v>
      </c>
      <c r="E63" s="371" t="s">
        <v>3753</v>
      </c>
      <c r="F63" s="238">
        <v>2620</v>
      </c>
      <c r="G63" s="553">
        <v>2320</v>
      </c>
      <c r="H63" s="553">
        <v>127</v>
      </c>
      <c r="I63" s="553">
        <v>176</v>
      </c>
      <c r="J63" s="570">
        <v>6.5</v>
      </c>
      <c r="K63" s="569">
        <v>5.5</v>
      </c>
      <c r="L63" s="569">
        <v>0.39200000000000002</v>
      </c>
      <c r="M63" s="569">
        <v>0.61199999999999999</v>
      </c>
      <c r="N63" s="570">
        <v>0.122</v>
      </c>
      <c r="O63" s="569">
        <v>2.3599999999999999E-2</v>
      </c>
      <c r="P63" s="569">
        <v>5.5199999999999999E-2</v>
      </c>
      <c r="Q63" s="569">
        <v>4.2799999999999998E-2</v>
      </c>
      <c r="R63" s="570">
        <v>6.38</v>
      </c>
      <c r="S63" s="569">
        <v>5.47</v>
      </c>
      <c r="T63" s="569">
        <v>0.33700000000000002</v>
      </c>
      <c r="U63" s="569">
        <v>0.56899999999999995</v>
      </c>
      <c r="V63" s="570">
        <v>1.59</v>
      </c>
      <c r="W63" s="569">
        <v>1.46</v>
      </c>
      <c r="X63" s="569">
        <v>5.6599999999999998E-2</v>
      </c>
      <c r="Y63" s="569">
        <v>7.2099999999999997E-2</v>
      </c>
      <c r="Z63" s="552" t="s">
        <v>3754</v>
      </c>
      <c r="AA63" s="557" t="s">
        <v>3677</v>
      </c>
      <c r="AB63" s="266"/>
      <c r="AC63" s="571"/>
      <c r="AD63" s="571"/>
    </row>
    <row r="64" spans="1:30" s="208" customFormat="1" ht="15" customHeight="1">
      <c r="A64" s="127" t="s">
        <v>3755</v>
      </c>
      <c r="B64" s="235" t="s">
        <v>3756</v>
      </c>
      <c r="C64" s="551" t="s">
        <v>3681</v>
      </c>
      <c r="D64" s="552" t="s">
        <v>3752</v>
      </c>
      <c r="E64" s="371" t="s">
        <v>3753</v>
      </c>
      <c r="F64" s="238">
        <v>6020</v>
      </c>
      <c r="G64" s="553">
        <v>2810</v>
      </c>
      <c r="H64" s="553">
        <v>670</v>
      </c>
      <c r="I64" s="553">
        <v>2540</v>
      </c>
      <c r="J64" s="570">
        <v>23.9</v>
      </c>
      <c r="K64" s="569">
        <v>16.600000000000001</v>
      </c>
      <c r="L64" s="569">
        <v>2.0499999999999998</v>
      </c>
      <c r="M64" s="569">
        <v>5.28</v>
      </c>
      <c r="N64" s="570">
        <v>15</v>
      </c>
      <c r="O64" s="569">
        <v>14</v>
      </c>
      <c r="P64" s="569">
        <v>0.23599999999999999</v>
      </c>
      <c r="Q64" s="569">
        <v>0.75600000000000001</v>
      </c>
      <c r="R64" s="570">
        <v>8.94</v>
      </c>
      <c r="S64" s="569">
        <v>2.6</v>
      </c>
      <c r="T64" s="569">
        <v>1.82</v>
      </c>
      <c r="U64" s="569">
        <v>4.5199999999999996</v>
      </c>
      <c r="V64" s="570">
        <v>1.42</v>
      </c>
      <c r="W64" s="569">
        <v>0.14099999999999999</v>
      </c>
      <c r="X64" s="569">
        <v>0.32900000000000001</v>
      </c>
      <c r="Y64" s="569">
        <v>0.95299999999999996</v>
      </c>
      <c r="Z64" s="552" t="s">
        <v>3754</v>
      </c>
      <c r="AA64" s="557" t="s">
        <v>3682</v>
      </c>
      <c r="AB64" s="266"/>
      <c r="AC64" s="571"/>
      <c r="AD64" s="571"/>
    </row>
    <row r="65" spans="1:30" s="208" customFormat="1" ht="15" customHeight="1">
      <c r="A65" s="127" t="s">
        <v>3757</v>
      </c>
      <c r="B65" s="235" t="s">
        <v>3758</v>
      </c>
      <c r="C65" s="551" t="s">
        <v>3685</v>
      </c>
      <c r="D65" s="552" t="s">
        <v>3752</v>
      </c>
      <c r="E65" s="371" t="s">
        <v>3753</v>
      </c>
      <c r="F65" s="238">
        <v>14900</v>
      </c>
      <c r="G65" s="553">
        <v>10400</v>
      </c>
      <c r="H65" s="553">
        <v>453</v>
      </c>
      <c r="I65" s="553">
        <v>4110</v>
      </c>
      <c r="J65" s="570">
        <v>37.200000000000003</v>
      </c>
      <c r="K65" s="569">
        <v>30.1</v>
      </c>
      <c r="L65" s="569">
        <v>1.22</v>
      </c>
      <c r="M65" s="569">
        <v>5.92</v>
      </c>
      <c r="N65" s="570">
        <v>8.09</v>
      </c>
      <c r="O65" s="569">
        <v>7.61</v>
      </c>
      <c r="P65" s="569">
        <v>8.1199999999999994E-2</v>
      </c>
      <c r="Q65" s="569">
        <v>0.39400000000000002</v>
      </c>
      <c r="R65" s="570">
        <v>29.1</v>
      </c>
      <c r="S65" s="569">
        <v>22.5</v>
      </c>
      <c r="T65" s="569">
        <v>1.1399999999999999</v>
      </c>
      <c r="U65" s="569">
        <v>5.52</v>
      </c>
      <c r="V65" s="570">
        <v>7.91</v>
      </c>
      <c r="W65" s="569">
        <v>5.8</v>
      </c>
      <c r="X65" s="569">
        <v>0.25</v>
      </c>
      <c r="Y65" s="569">
        <v>1.86</v>
      </c>
      <c r="Z65" s="552" t="s">
        <v>3754</v>
      </c>
      <c r="AA65" s="557" t="s">
        <v>3686</v>
      </c>
      <c r="AB65" s="266"/>
      <c r="AC65" s="571"/>
      <c r="AD65" s="571"/>
    </row>
    <row r="66" spans="1:30" s="208" customFormat="1" ht="15" customHeight="1">
      <c r="A66" s="580" t="s">
        <v>3759</v>
      </c>
      <c r="B66" s="235" t="s">
        <v>3760</v>
      </c>
      <c r="C66" s="551" t="s">
        <v>3617</v>
      </c>
      <c r="D66" s="552" t="s">
        <v>3752</v>
      </c>
      <c r="E66" s="371" t="s">
        <v>3753</v>
      </c>
      <c r="F66" s="238">
        <v>68300</v>
      </c>
      <c r="G66" s="553">
        <v>66800</v>
      </c>
      <c r="H66" s="553">
        <v>135</v>
      </c>
      <c r="I66" s="553">
        <v>1420</v>
      </c>
      <c r="J66" s="570">
        <v>111</v>
      </c>
      <c r="K66" s="569">
        <v>106</v>
      </c>
      <c r="L66" s="569">
        <v>0.378</v>
      </c>
      <c r="M66" s="569">
        <v>4.5199999999999996</v>
      </c>
      <c r="N66" s="570">
        <v>0.77</v>
      </c>
      <c r="O66" s="569">
        <v>0.45100000000000001</v>
      </c>
      <c r="P66" s="569">
        <v>3.1699999999999999E-2</v>
      </c>
      <c r="Q66" s="569">
        <v>0.28799999999999998</v>
      </c>
      <c r="R66" s="570">
        <v>110</v>
      </c>
      <c r="S66" s="569">
        <v>105</v>
      </c>
      <c r="T66" s="569">
        <v>0.34599999999999997</v>
      </c>
      <c r="U66" s="569">
        <v>4.24</v>
      </c>
      <c r="V66" s="570">
        <v>58.2</v>
      </c>
      <c r="W66" s="569">
        <v>57.3</v>
      </c>
      <c r="X66" s="569">
        <v>7.8600000000000003E-2</v>
      </c>
      <c r="Y66" s="569">
        <v>0.84899999999999998</v>
      </c>
      <c r="Z66" s="552" t="s">
        <v>3754</v>
      </c>
      <c r="AA66" s="557" t="s">
        <v>3689</v>
      </c>
      <c r="AB66" s="266"/>
      <c r="AC66" s="571"/>
      <c r="AD66" s="571"/>
    </row>
    <row r="67" spans="1:30" s="208" customFormat="1" ht="15" customHeight="1">
      <c r="A67" s="558" t="s">
        <v>3761</v>
      </c>
      <c r="B67" s="235" t="s">
        <v>3762</v>
      </c>
      <c r="C67" s="574" t="s">
        <v>3621</v>
      </c>
      <c r="D67" s="552" t="s">
        <v>3752</v>
      </c>
      <c r="E67" s="371" t="s">
        <v>3753</v>
      </c>
      <c r="F67" s="242">
        <v>53700</v>
      </c>
      <c r="G67" s="560">
        <v>50900</v>
      </c>
      <c r="H67" s="560">
        <v>90.7</v>
      </c>
      <c r="I67" s="560">
        <v>2670</v>
      </c>
      <c r="J67" s="572">
        <v>104</v>
      </c>
      <c r="K67" s="573">
        <v>94.9</v>
      </c>
      <c r="L67" s="573">
        <v>0.25600000000000001</v>
      </c>
      <c r="M67" s="573">
        <v>8.5</v>
      </c>
      <c r="N67" s="572">
        <v>0.96499999999999997</v>
      </c>
      <c r="O67" s="573">
        <v>0.40500000000000003</v>
      </c>
      <c r="P67" s="573">
        <v>2.0199999999999999E-2</v>
      </c>
      <c r="Q67" s="573">
        <v>0.54</v>
      </c>
      <c r="R67" s="572">
        <v>103</v>
      </c>
      <c r="S67" s="573">
        <v>94.5</v>
      </c>
      <c r="T67" s="573">
        <v>0.23499999999999999</v>
      </c>
      <c r="U67" s="573">
        <v>7.96</v>
      </c>
      <c r="V67" s="572">
        <v>44.1</v>
      </c>
      <c r="W67" s="573">
        <v>42.4</v>
      </c>
      <c r="X67" s="573">
        <v>5.3400000000000003E-2</v>
      </c>
      <c r="Y67" s="573">
        <v>1.59</v>
      </c>
      <c r="Z67" s="552" t="s">
        <v>3754</v>
      </c>
      <c r="AA67" s="565" t="s">
        <v>3622</v>
      </c>
      <c r="AB67" s="266"/>
      <c r="AC67" s="571"/>
      <c r="AD67" s="571"/>
    </row>
    <row r="68" spans="1:30" s="253" customFormat="1" ht="15" customHeight="1">
      <c r="A68" s="575" t="s">
        <v>3763</v>
      </c>
      <c r="B68" s="235" t="s">
        <v>3764</v>
      </c>
      <c r="C68" s="574" t="s">
        <v>3624</v>
      </c>
      <c r="D68" s="566" t="s">
        <v>3752</v>
      </c>
      <c r="E68" s="576" t="s">
        <v>3753</v>
      </c>
      <c r="F68" s="242">
        <v>39800</v>
      </c>
      <c r="G68" s="560">
        <v>39100</v>
      </c>
      <c r="H68" s="560">
        <v>24</v>
      </c>
      <c r="I68" s="560">
        <v>736</v>
      </c>
      <c r="J68" s="572">
        <v>62.2</v>
      </c>
      <c r="K68" s="573">
        <v>59.8</v>
      </c>
      <c r="L68" s="573">
        <v>6.7699999999999996E-2</v>
      </c>
      <c r="M68" s="573">
        <v>2.34</v>
      </c>
      <c r="N68" s="572">
        <v>0.40899999999999997</v>
      </c>
      <c r="O68" s="573">
        <v>0.255</v>
      </c>
      <c r="P68" s="573">
        <v>5.3499999999999997E-3</v>
      </c>
      <c r="Q68" s="573">
        <v>0.14899999999999999</v>
      </c>
      <c r="R68" s="572">
        <v>61.8</v>
      </c>
      <c r="S68" s="573">
        <v>59.5</v>
      </c>
      <c r="T68" s="573">
        <v>6.2399999999999997E-2</v>
      </c>
      <c r="U68" s="573">
        <v>2.19</v>
      </c>
      <c r="V68" s="572">
        <v>34.1</v>
      </c>
      <c r="W68" s="573">
        <v>33.6</v>
      </c>
      <c r="X68" s="573">
        <v>1.41E-2</v>
      </c>
      <c r="Y68" s="573">
        <v>0.44</v>
      </c>
      <c r="Z68" s="566" t="s">
        <v>3754</v>
      </c>
      <c r="AA68" s="565" t="s">
        <v>3625</v>
      </c>
      <c r="AB68" s="507"/>
      <c r="AC68" s="577"/>
      <c r="AD68" s="577"/>
    </row>
    <row r="69" spans="1:30" s="208" customFormat="1" ht="15" customHeight="1">
      <c r="A69" s="558" t="s">
        <v>3765</v>
      </c>
      <c r="B69" s="235" t="s">
        <v>3766</v>
      </c>
      <c r="C69" s="574" t="s">
        <v>3628</v>
      </c>
      <c r="D69" s="552" t="s">
        <v>3752</v>
      </c>
      <c r="E69" s="371" t="s">
        <v>3753</v>
      </c>
      <c r="F69" s="242">
        <v>76000</v>
      </c>
      <c r="G69" s="560">
        <v>75500</v>
      </c>
      <c r="H69" s="560">
        <v>40.299999999999997</v>
      </c>
      <c r="I69" s="560">
        <v>489</v>
      </c>
      <c r="J69" s="572">
        <v>112</v>
      </c>
      <c r="K69" s="573">
        <v>110</v>
      </c>
      <c r="L69" s="573">
        <v>0.113</v>
      </c>
      <c r="M69" s="573">
        <v>1.56</v>
      </c>
      <c r="N69" s="572">
        <v>0.57699999999999996</v>
      </c>
      <c r="O69" s="573">
        <v>0.46899999999999997</v>
      </c>
      <c r="P69" s="573">
        <v>9.4900000000000002E-3</v>
      </c>
      <c r="Q69" s="573">
        <v>9.8900000000000002E-2</v>
      </c>
      <c r="R69" s="572">
        <v>111</v>
      </c>
      <c r="S69" s="573">
        <v>109</v>
      </c>
      <c r="T69" s="573">
        <v>0.104</v>
      </c>
      <c r="U69" s="573">
        <v>1.46</v>
      </c>
      <c r="V69" s="572">
        <v>65.900000000000006</v>
      </c>
      <c r="W69" s="573">
        <v>65.599999999999994</v>
      </c>
      <c r="X69" s="573">
        <v>2.35E-2</v>
      </c>
      <c r="Y69" s="573">
        <v>0.29199999999999998</v>
      </c>
      <c r="Z69" s="552" t="s">
        <v>3754</v>
      </c>
      <c r="AA69" s="565" t="s">
        <v>3629</v>
      </c>
      <c r="AB69" s="266"/>
      <c r="AC69" s="571"/>
      <c r="AD69" s="571"/>
    </row>
    <row r="70" spans="1:30" s="208" customFormat="1" ht="15" customHeight="1">
      <c r="A70" s="580" t="s">
        <v>3767</v>
      </c>
      <c r="B70" s="235" t="s">
        <v>3768</v>
      </c>
      <c r="C70" s="551" t="s">
        <v>3698</v>
      </c>
      <c r="D70" s="552" t="s">
        <v>3637</v>
      </c>
      <c r="E70" s="371" t="s">
        <v>3638</v>
      </c>
      <c r="F70" s="238">
        <v>1270000</v>
      </c>
      <c r="G70" s="553">
        <v>1260000</v>
      </c>
      <c r="H70" s="553">
        <v>7420</v>
      </c>
      <c r="I70" s="569">
        <v>0</v>
      </c>
      <c r="J70" s="570">
        <v>3630</v>
      </c>
      <c r="K70" s="569">
        <v>3600</v>
      </c>
      <c r="L70" s="569">
        <v>20.9</v>
      </c>
      <c r="M70" s="569">
        <v>0</v>
      </c>
      <c r="N70" s="570">
        <v>17</v>
      </c>
      <c r="O70" s="569">
        <v>15.4</v>
      </c>
      <c r="P70" s="569">
        <v>1.65</v>
      </c>
      <c r="Q70" s="569">
        <v>0</v>
      </c>
      <c r="R70" s="570">
        <v>3610</v>
      </c>
      <c r="S70" s="569">
        <v>3590</v>
      </c>
      <c r="T70" s="569">
        <v>19.3</v>
      </c>
      <c r="U70" s="569">
        <v>0</v>
      </c>
      <c r="V70" s="570">
        <v>967</v>
      </c>
      <c r="W70" s="569">
        <v>962</v>
      </c>
      <c r="X70" s="569">
        <v>4.37</v>
      </c>
      <c r="Y70" s="569">
        <v>0</v>
      </c>
      <c r="Z70" s="552" t="s">
        <v>3639</v>
      </c>
      <c r="AA70" s="557" t="s">
        <v>3699</v>
      </c>
      <c r="AB70" s="266"/>
      <c r="AC70" s="571"/>
      <c r="AD70" s="571"/>
    </row>
    <row r="71" spans="1:30" s="208" customFormat="1" ht="15" customHeight="1">
      <c r="A71" s="580" t="s">
        <v>3769</v>
      </c>
      <c r="B71" s="235" t="s">
        <v>3770</v>
      </c>
      <c r="C71" s="551" t="s">
        <v>3702</v>
      </c>
      <c r="D71" s="552" t="s">
        <v>3637</v>
      </c>
      <c r="E71" s="371" t="s">
        <v>3638</v>
      </c>
      <c r="F71" s="238">
        <v>1830000</v>
      </c>
      <c r="G71" s="553">
        <v>1820000</v>
      </c>
      <c r="H71" s="553">
        <v>8640</v>
      </c>
      <c r="I71" s="569">
        <v>0</v>
      </c>
      <c r="J71" s="570">
        <v>5200</v>
      </c>
      <c r="K71" s="569">
        <v>5170</v>
      </c>
      <c r="L71" s="569">
        <v>24.4</v>
      </c>
      <c r="M71" s="569">
        <v>0</v>
      </c>
      <c r="N71" s="570">
        <v>24</v>
      </c>
      <c r="O71" s="569">
        <v>22.1</v>
      </c>
      <c r="P71" s="569">
        <v>1.92</v>
      </c>
      <c r="Q71" s="569">
        <v>0</v>
      </c>
      <c r="R71" s="570">
        <v>5180</v>
      </c>
      <c r="S71" s="569">
        <v>5150</v>
      </c>
      <c r="T71" s="569">
        <v>22.4</v>
      </c>
      <c r="U71" s="569">
        <v>0</v>
      </c>
      <c r="V71" s="570">
        <v>1410</v>
      </c>
      <c r="W71" s="569">
        <v>1410</v>
      </c>
      <c r="X71" s="569">
        <v>5.08</v>
      </c>
      <c r="Y71" s="569">
        <v>0</v>
      </c>
      <c r="Z71" s="552" t="s">
        <v>3639</v>
      </c>
      <c r="AA71" s="557" t="s">
        <v>3703</v>
      </c>
      <c r="AB71" s="266"/>
      <c r="AC71" s="571"/>
      <c r="AD71" s="571"/>
    </row>
    <row r="72" spans="1:30" s="208" customFormat="1" ht="15" customHeight="1">
      <c r="A72" s="127" t="s">
        <v>3771</v>
      </c>
      <c r="B72" s="235" t="s">
        <v>3772</v>
      </c>
      <c r="C72" s="551" t="s">
        <v>3706</v>
      </c>
      <c r="D72" s="552" t="s">
        <v>3752</v>
      </c>
      <c r="E72" s="371" t="s">
        <v>3753</v>
      </c>
      <c r="F72" s="238">
        <v>556</v>
      </c>
      <c r="G72" s="553">
        <v>352</v>
      </c>
      <c r="H72" s="553">
        <v>149</v>
      </c>
      <c r="I72" s="553">
        <v>55.4</v>
      </c>
      <c r="J72" s="570">
        <v>1.46</v>
      </c>
      <c r="K72" s="569">
        <v>0.92</v>
      </c>
      <c r="L72" s="569">
        <v>0.32200000000000001</v>
      </c>
      <c r="M72" s="569">
        <v>0.215</v>
      </c>
      <c r="N72" s="570">
        <v>7.3400000000000007E-2</v>
      </c>
      <c r="O72" s="569">
        <v>1.2800000000000001E-2</v>
      </c>
      <c r="P72" s="569">
        <v>2.8299999999999999E-2</v>
      </c>
      <c r="Q72" s="569">
        <v>3.2300000000000002E-2</v>
      </c>
      <c r="R72" s="570">
        <v>1.38</v>
      </c>
      <c r="S72" s="569">
        <v>0.90700000000000003</v>
      </c>
      <c r="T72" s="569">
        <v>0.29399999999999998</v>
      </c>
      <c r="U72" s="569">
        <v>0.183</v>
      </c>
      <c r="V72" s="570">
        <v>0.33500000000000002</v>
      </c>
      <c r="W72" s="569">
        <v>0.246</v>
      </c>
      <c r="X72" s="569">
        <v>7.2099999999999997E-2</v>
      </c>
      <c r="Y72" s="569">
        <v>1.7000000000000001E-2</v>
      </c>
      <c r="Z72" s="552" t="s">
        <v>3754</v>
      </c>
      <c r="AA72" s="557" t="s">
        <v>3707</v>
      </c>
      <c r="AB72" s="266"/>
      <c r="AC72" s="571"/>
      <c r="AD72" s="571"/>
    </row>
    <row r="73" spans="1:30" s="208" customFormat="1" ht="15" customHeight="1">
      <c r="A73" s="127" t="s">
        <v>3773</v>
      </c>
      <c r="B73" s="235" t="s">
        <v>3774</v>
      </c>
      <c r="C73" s="551" t="s">
        <v>3710</v>
      </c>
      <c r="D73" s="552" t="s">
        <v>3752</v>
      </c>
      <c r="E73" s="371" t="s">
        <v>3753</v>
      </c>
      <c r="F73" s="238">
        <v>576</v>
      </c>
      <c r="G73" s="553">
        <v>378</v>
      </c>
      <c r="H73" s="553">
        <v>143</v>
      </c>
      <c r="I73" s="553">
        <v>54.7</v>
      </c>
      <c r="J73" s="570">
        <v>1.54</v>
      </c>
      <c r="K73" s="569">
        <v>1.02</v>
      </c>
      <c r="L73" s="569">
        <v>0.312</v>
      </c>
      <c r="M73" s="569">
        <v>0.21299999999999999</v>
      </c>
      <c r="N73" s="570">
        <v>7.8399999999999997E-2</v>
      </c>
      <c r="O73" s="569">
        <v>1.9E-2</v>
      </c>
      <c r="P73" s="569">
        <v>2.7199999999999998E-2</v>
      </c>
      <c r="Q73" s="569">
        <v>3.2300000000000002E-2</v>
      </c>
      <c r="R73" s="570">
        <v>1.46</v>
      </c>
      <c r="S73" s="569">
        <v>0.998</v>
      </c>
      <c r="T73" s="569">
        <v>0.28499999999999998</v>
      </c>
      <c r="U73" s="569">
        <v>0.18099999999999999</v>
      </c>
      <c r="V73" s="570">
        <v>0.35499999999999998</v>
      </c>
      <c r="W73" s="569">
        <v>0.26900000000000002</v>
      </c>
      <c r="X73" s="569">
        <v>6.9900000000000004E-2</v>
      </c>
      <c r="Y73" s="569">
        <v>1.67E-2</v>
      </c>
      <c r="Z73" s="552" t="s">
        <v>3754</v>
      </c>
      <c r="AA73" s="557" t="s">
        <v>3711</v>
      </c>
      <c r="AB73" s="266"/>
      <c r="AC73" s="571"/>
      <c r="AD73" s="571"/>
    </row>
    <row r="74" spans="1:30" s="208" customFormat="1" ht="15" customHeight="1">
      <c r="A74" s="127" t="s">
        <v>3775</v>
      </c>
      <c r="B74" s="235" t="s">
        <v>3776</v>
      </c>
      <c r="C74" s="551" t="s">
        <v>3714</v>
      </c>
      <c r="D74" s="552" t="s">
        <v>3752</v>
      </c>
      <c r="E74" s="371" t="s">
        <v>3753</v>
      </c>
      <c r="F74" s="238">
        <v>303</v>
      </c>
      <c r="G74" s="553">
        <v>178</v>
      </c>
      <c r="H74" s="553">
        <v>69.7</v>
      </c>
      <c r="I74" s="553">
        <v>55.2</v>
      </c>
      <c r="J74" s="570">
        <v>0.74199999999999999</v>
      </c>
      <c r="K74" s="569">
        <v>0.33800000000000002</v>
      </c>
      <c r="L74" s="569">
        <v>0.187</v>
      </c>
      <c r="M74" s="569">
        <v>0.217</v>
      </c>
      <c r="N74" s="570">
        <v>8.1000000000000003E-2</v>
      </c>
      <c r="O74" s="569">
        <v>3.4099999999999998E-2</v>
      </c>
      <c r="P74" s="569">
        <v>1.23E-2</v>
      </c>
      <c r="Q74" s="569">
        <v>3.4599999999999999E-2</v>
      </c>
      <c r="R74" s="570">
        <v>0.66100000000000003</v>
      </c>
      <c r="S74" s="569">
        <v>0.30399999999999999</v>
      </c>
      <c r="T74" s="569">
        <v>0.17399999999999999</v>
      </c>
      <c r="U74" s="569">
        <v>0.183</v>
      </c>
      <c r="V74" s="570">
        <v>0.161</v>
      </c>
      <c r="W74" s="569">
        <v>0.108</v>
      </c>
      <c r="X74" s="569">
        <v>3.6200000000000003E-2</v>
      </c>
      <c r="Y74" s="569">
        <v>1.6199999999999999E-2</v>
      </c>
      <c r="Z74" s="552" t="s">
        <v>3754</v>
      </c>
      <c r="AA74" s="557" t="s">
        <v>3715</v>
      </c>
      <c r="AB74" s="266"/>
      <c r="AC74" s="571"/>
      <c r="AD74" s="571"/>
    </row>
    <row r="75" spans="1:30" s="208" customFormat="1" ht="15" customHeight="1">
      <c r="A75" s="127" t="s">
        <v>3777</v>
      </c>
      <c r="B75" s="235" t="s">
        <v>3778</v>
      </c>
      <c r="C75" s="551" t="s">
        <v>3718</v>
      </c>
      <c r="D75" s="552" t="s">
        <v>3752</v>
      </c>
      <c r="E75" s="371" t="s">
        <v>3753</v>
      </c>
      <c r="F75" s="238">
        <v>525</v>
      </c>
      <c r="G75" s="553">
        <v>311</v>
      </c>
      <c r="H75" s="553">
        <v>157</v>
      </c>
      <c r="I75" s="553">
        <v>56.5</v>
      </c>
      <c r="J75" s="570">
        <v>1.33</v>
      </c>
      <c r="K75" s="569">
        <v>0.77</v>
      </c>
      <c r="L75" s="569">
        <v>0.33700000000000002</v>
      </c>
      <c r="M75" s="569">
        <v>0.219</v>
      </c>
      <c r="N75" s="570">
        <v>6.5699999999999995E-2</v>
      </c>
      <c r="O75" s="569">
        <v>3.31E-3</v>
      </c>
      <c r="P75" s="569">
        <v>0.03</v>
      </c>
      <c r="Q75" s="569">
        <v>3.2399999999999998E-2</v>
      </c>
      <c r="R75" s="570">
        <v>1.26</v>
      </c>
      <c r="S75" s="569">
        <v>0.76700000000000002</v>
      </c>
      <c r="T75" s="569">
        <v>0.307</v>
      </c>
      <c r="U75" s="569">
        <v>0.187</v>
      </c>
      <c r="V75" s="570">
        <v>0.30299999999999999</v>
      </c>
      <c r="W75" s="569">
        <v>0.21</v>
      </c>
      <c r="X75" s="569">
        <v>7.5600000000000001E-2</v>
      </c>
      <c r="Y75" s="569">
        <v>1.7500000000000002E-2</v>
      </c>
      <c r="Z75" s="552" t="s">
        <v>3754</v>
      </c>
      <c r="AA75" s="557" t="s">
        <v>3719</v>
      </c>
      <c r="AB75" s="266"/>
      <c r="AC75" s="571"/>
      <c r="AD75" s="571"/>
    </row>
    <row r="76" spans="1:30" s="208" customFormat="1" ht="27.6" customHeight="1">
      <c r="A76" s="127" t="s">
        <v>3779</v>
      </c>
      <c r="B76" s="235" t="s">
        <v>3780</v>
      </c>
      <c r="C76" s="559" t="s">
        <v>3722</v>
      </c>
      <c r="D76" s="552" t="s">
        <v>3752</v>
      </c>
      <c r="E76" s="371" t="s">
        <v>3753</v>
      </c>
      <c r="F76" s="238">
        <v>402</v>
      </c>
      <c r="G76" s="553">
        <v>125</v>
      </c>
      <c r="H76" s="553">
        <v>223</v>
      </c>
      <c r="I76" s="553">
        <v>54.7</v>
      </c>
      <c r="J76" s="570">
        <v>1.19</v>
      </c>
      <c r="K76" s="569">
        <v>0.52500000000000002</v>
      </c>
      <c r="L76" s="569">
        <v>0.45200000000000001</v>
      </c>
      <c r="M76" s="569">
        <v>0.21299999999999999</v>
      </c>
      <c r="N76" s="570">
        <v>0.17199999999999999</v>
      </c>
      <c r="O76" s="569">
        <v>0.111</v>
      </c>
      <c r="P76" s="569">
        <v>2.9000000000000001E-2</v>
      </c>
      <c r="Q76" s="569">
        <v>3.2199999999999999E-2</v>
      </c>
      <c r="R76" s="570">
        <v>1.02</v>
      </c>
      <c r="S76" s="569">
        <v>0.41399999999999998</v>
      </c>
      <c r="T76" s="569">
        <v>0.42299999999999999</v>
      </c>
      <c r="U76" s="569">
        <v>0.18099999999999999</v>
      </c>
      <c r="V76" s="570">
        <v>0.14499999999999999</v>
      </c>
      <c r="W76" s="569">
        <v>3.1300000000000001E-2</v>
      </c>
      <c r="X76" s="569">
        <v>9.7000000000000003E-2</v>
      </c>
      <c r="Y76" s="569">
        <v>1.67E-2</v>
      </c>
      <c r="Z76" s="552" t="s">
        <v>3754</v>
      </c>
      <c r="AA76" s="565" t="s">
        <v>3723</v>
      </c>
      <c r="AB76" s="266"/>
      <c r="AC76" s="571"/>
      <c r="AD76" s="571"/>
    </row>
    <row r="77" spans="1:30" s="253" customFormat="1" ht="40.15" customHeight="1">
      <c r="A77" s="534">
        <v>64.021000000000001</v>
      </c>
      <c r="B77" s="235" t="s">
        <v>3781</v>
      </c>
      <c r="C77" s="559" t="s">
        <v>3725</v>
      </c>
      <c r="D77" s="566" t="s">
        <v>3752</v>
      </c>
      <c r="E77" s="576" t="s">
        <v>3753</v>
      </c>
      <c r="F77" s="242">
        <v>317</v>
      </c>
      <c r="G77" s="560">
        <v>39.1</v>
      </c>
      <c r="H77" s="560">
        <v>223</v>
      </c>
      <c r="I77" s="560">
        <v>54.7</v>
      </c>
      <c r="J77" s="572">
        <v>0.90200000000000002</v>
      </c>
      <c r="K77" s="573">
        <v>0.23699999999999999</v>
      </c>
      <c r="L77" s="573">
        <v>0.45200000000000001</v>
      </c>
      <c r="M77" s="573">
        <v>0.21299999999999999</v>
      </c>
      <c r="N77" s="572">
        <v>0.29099999999999998</v>
      </c>
      <c r="O77" s="573">
        <v>0.23</v>
      </c>
      <c r="P77" s="573">
        <v>2.9000000000000001E-2</v>
      </c>
      <c r="Q77" s="573">
        <v>3.2199999999999999E-2</v>
      </c>
      <c r="R77" s="572">
        <v>0.61</v>
      </c>
      <c r="S77" s="573">
        <v>6.4700000000000001E-3</v>
      </c>
      <c r="T77" s="573">
        <v>0.42299999999999999</v>
      </c>
      <c r="U77" s="573">
        <v>0.18099999999999999</v>
      </c>
      <c r="V77" s="572">
        <v>0.123</v>
      </c>
      <c r="W77" s="573">
        <v>9.5399999999999999E-3</v>
      </c>
      <c r="X77" s="573">
        <v>9.7000000000000003E-2</v>
      </c>
      <c r="Y77" s="573">
        <v>1.67E-2</v>
      </c>
      <c r="Z77" s="566" t="s">
        <v>3754</v>
      </c>
      <c r="AA77" s="565" t="s">
        <v>3726</v>
      </c>
      <c r="AB77" s="507"/>
      <c r="AC77" s="577"/>
      <c r="AD77" s="577"/>
    </row>
    <row r="78" spans="1:30" s="208" customFormat="1" ht="15" customHeight="1">
      <c r="A78" s="127" t="s">
        <v>3782</v>
      </c>
      <c r="B78" s="235" t="s">
        <v>3783</v>
      </c>
      <c r="C78" s="551" t="s">
        <v>3729</v>
      </c>
      <c r="D78" s="552" t="s">
        <v>3752</v>
      </c>
      <c r="E78" s="371" t="s">
        <v>3753</v>
      </c>
      <c r="F78" s="238">
        <v>419</v>
      </c>
      <c r="G78" s="553">
        <v>294</v>
      </c>
      <c r="H78" s="553">
        <v>69.7</v>
      </c>
      <c r="I78" s="553">
        <v>55.2</v>
      </c>
      <c r="J78" s="570">
        <v>1.43</v>
      </c>
      <c r="K78" s="569">
        <v>1.02</v>
      </c>
      <c r="L78" s="569">
        <v>0.187</v>
      </c>
      <c r="M78" s="569">
        <v>0.217</v>
      </c>
      <c r="N78" s="570">
        <v>5.6800000000000003E-2</v>
      </c>
      <c r="O78" s="569">
        <v>9.9500000000000005E-3</v>
      </c>
      <c r="P78" s="569">
        <v>1.23E-2</v>
      </c>
      <c r="Q78" s="569">
        <v>3.4599999999999999E-2</v>
      </c>
      <c r="R78" s="570">
        <v>1.37</v>
      </c>
      <c r="S78" s="569">
        <v>1.01</v>
      </c>
      <c r="T78" s="569">
        <v>0.17399999999999999</v>
      </c>
      <c r="U78" s="569">
        <v>0.183</v>
      </c>
      <c r="V78" s="570">
        <v>0.26600000000000001</v>
      </c>
      <c r="W78" s="569">
        <v>0.214</v>
      </c>
      <c r="X78" s="569">
        <v>3.6200000000000003E-2</v>
      </c>
      <c r="Y78" s="569">
        <v>1.6199999999999999E-2</v>
      </c>
      <c r="Z78" s="552" t="s">
        <v>3754</v>
      </c>
      <c r="AA78" s="557" t="s">
        <v>3730</v>
      </c>
      <c r="AB78" s="266"/>
      <c r="AC78" s="571"/>
      <c r="AD78" s="571"/>
    </row>
    <row r="79" spans="1:30" s="208" customFormat="1" ht="15" customHeight="1">
      <c r="A79" s="127" t="s">
        <v>3784</v>
      </c>
      <c r="B79" s="235" t="s">
        <v>3785</v>
      </c>
      <c r="C79" s="551" t="s">
        <v>3733</v>
      </c>
      <c r="D79" s="552" t="s">
        <v>3752</v>
      </c>
      <c r="E79" s="371" t="s">
        <v>3753</v>
      </c>
      <c r="F79" s="238">
        <v>2440</v>
      </c>
      <c r="G79" s="553">
        <v>1270</v>
      </c>
      <c r="H79" s="553">
        <v>164</v>
      </c>
      <c r="I79" s="553">
        <v>1010</v>
      </c>
      <c r="J79" s="570">
        <v>13.2</v>
      </c>
      <c r="K79" s="569">
        <v>10.7</v>
      </c>
      <c r="L79" s="569">
        <v>0.39900000000000002</v>
      </c>
      <c r="M79" s="569">
        <v>2.11</v>
      </c>
      <c r="N79" s="570">
        <v>9.3699999999999992</v>
      </c>
      <c r="O79" s="569">
        <v>8.99</v>
      </c>
      <c r="P79" s="569">
        <v>7.6300000000000007E-2</v>
      </c>
      <c r="Q79" s="569">
        <v>0.30199999999999999</v>
      </c>
      <c r="R79" s="570">
        <v>3.8</v>
      </c>
      <c r="S79" s="569">
        <v>1.67</v>
      </c>
      <c r="T79" s="569">
        <v>0.32300000000000001</v>
      </c>
      <c r="U79" s="569">
        <v>1.8</v>
      </c>
      <c r="V79" s="570">
        <v>0.54300000000000004</v>
      </c>
      <c r="W79" s="569">
        <v>9.4E-2</v>
      </c>
      <c r="X79" s="569">
        <v>6.9400000000000003E-2</v>
      </c>
      <c r="Y79" s="569">
        <v>0.38</v>
      </c>
      <c r="Z79" s="552" t="s">
        <v>3754</v>
      </c>
      <c r="AA79" s="557" t="s">
        <v>3734</v>
      </c>
      <c r="AB79" s="266"/>
      <c r="AC79" s="571"/>
      <c r="AD79" s="571"/>
    </row>
    <row r="80" spans="1:30" s="208" customFormat="1" ht="15" customHeight="1">
      <c r="A80" s="127" t="s">
        <v>3786</v>
      </c>
      <c r="B80" s="235" t="s">
        <v>3787</v>
      </c>
      <c r="C80" s="551" t="s">
        <v>3737</v>
      </c>
      <c r="D80" s="552" t="s">
        <v>3752</v>
      </c>
      <c r="E80" s="371" t="s">
        <v>3753</v>
      </c>
      <c r="F80" s="238">
        <v>2230</v>
      </c>
      <c r="G80" s="553">
        <v>1880</v>
      </c>
      <c r="H80" s="553">
        <v>146</v>
      </c>
      <c r="I80" s="553">
        <v>205</v>
      </c>
      <c r="J80" s="570">
        <v>5.37</v>
      </c>
      <c r="K80" s="569">
        <v>4.21</v>
      </c>
      <c r="L80" s="569">
        <v>0.45400000000000001</v>
      </c>
      <c r="M80" s="569">
        <v>0.70699999999999996</v>
      </c>
      <c r="N80" s="570">
        <v>0.127</v>
      </c>
      <c r="O80" s="569">
        <v>1.8100000000000002E-2</v>
      </c>
      <c r="P80" s="569">
        <v>6.3799999999999996E-2</v>
      </c>
      <c r="Q80" s="569">
        <v>4.4699999999999997E-2</v>
      </c>
      <c r="R80" s="570">
        <v>5.24</v>
      </c>
      <c r="S80" s="569">
        <v>4.1900000000000004</v>
      </c>
      <c r="T80" s="569">
        <v>0.39</v>
      </c>
      <c r="U80" s="569">
        <v>0.66200000000000003</v>
      </c>
      <c r="V80" s="570">
        <v>1.28</v>
      </c>
      <c r="W80" s="569">
        <v>1.1299999999999999</v>
      </c>
      <c r="X80" s="569">
        <v>6.5100000000000005E-2</v>
      </c>
      <c r="Y80" s="569">
        <v>8.5699999999999998E-2</v>
      </c>
      <c r="Z80" s="552" t="s">
        <v>3754</v>
      </c>
      <c r="AA80" s="557" t="s">
        <v>3738</v>
      </c>
      <c r="AB80" s="266"/>
      <c r="AC80" s="571"/>
      <c r="AD80" s="571"/>
    </row>
    <row r="81" spans="1:30" s="208" customFormat="1" ht="15" customHeight="1">
      <c r="A81" s="127" t="s">
        <v>3788</v>
      </c>
      <c r="B81" s="235" t="s">
        <v>3789</v>
      </c>
      <c r="C81" s="551" t="s">
        <v>3741</v>
      </c>
      <c r="D81" s="552" t="s">
        <v>3752</v>
      </c>
      <c r="E81" s="371" t="s">
        <v>3753</v>
      </c>
      <c r="F81" s="238">
        <v>281</v>
      </c>
      <c r="G81" s="553">
        <v>257</v>
      </c>
      <c r="H81" s="553">
        <v>22.1</v>
      </c>
      <c r="I81" s="553">
        <v>2.29</v>
      </c>
      <c r="J81" s="570">
        <v>0.47399999999999998</v>
      </c>
      <c r="K81" s="569">
        <v>0.40400000000000003</v>
      </c>
      <c r="L81" s="569">
        <v>6.2799999999999995E-2</v>
      </c>
      <c r="M81" s="569">
        <v>7.5199999999999998E-3</v>
      </c>
      <c r="N81" s="570">
        <v>1.17E-2</v>
      </c>
      <c r="O81" s="569">
        <v>7.6600000000000001E-3</v>
      </c>
      <c r="P81" s="569">
        <v>3.8500000000000001E-3</v>
      </c>
      <c r="Q81" s="569">
        <v>1.9100000000000001E-4</v>
      </c>
      <c r="R81" s="570">
        <v>0.46300000000000002</v>
      </c>
      <c r="S81" s="569">
        <v>0.39600000000000002</v>
      </c>
      <c r="T81" s="569">
        <v>5.8999999999999997E-2</v>
      </c>
      <c r="U81" s="569">
        <v>7.3299999999999997E-3</v>
      </c>
      <c r="V81" s="570">
        <v>0.13900000000000001</v>
      </c>
      <c r="W81" s="569">
        <v>0.125</v>
      </c>
      <c r="X81" s="569">
        <v>1.2500000000000001E-2</v>
      </c>
      <c r="Y81" s="569">
        <v>1.0499999999999999E-3</v>
      </c>
      <c r="Z81" s="552" t="s">
        <v>3754</v>
      </c>
      <c r="AA81" s="557" t="s">
        <v>3742</v>
      </c>
      <c r="AB81" s="266"/>
      <c r="AC81" s="571"/>
      <c r="AD81" s="571"/>
    </row>
    <row r="82" spans="1:30" s="208" customFormat="1" ht="15" customHeight="1">
      <c r="A82" s="127" t="s">
        <v>3790</v>
      </c>
      <c r="B82" s="235" t="s">
        <v>3791</v>
      </c>
      <c r="C82" s="551" t="s">
        <v>3745</v>
      </c>
      <c r="D82" s="552" t="s">
        <v>3752</v>
      </c>
      <c r="E82" s="371" t="s">
        <v>3753</v>
      </c>
      <c r="F82" s="238">
        <v>4130</v>
      </c>
      <c r="G82" s="553">
        <v>2350</v>
      </c>
      <c r="H82" s="553">
        <v>208</v>
      </c>
      <c r="I82" s="553">
        <v>1580</v>
      </c>
      <c r="J82" s="570">
        <v>16.3</v>
      </c>
      <c r="K82" s="569">
        <v>12.1</v>
      </c>
      <c r="L82" s="569">
        <v>0.64800000000000002</v>
      </c>
      <c r="M82" s="569">
        <v>3.52</v>
      </c>
      <c r="N82" s="570">
        <v>3.01</v>
      </c>
      <c r="O82" s="569">
        <v>2.5499999999999998</v>
      </c>
      <c r="P82" s="569">
        <v>8.4500000000000006E-2</v>
      </c>
      <c r="Q82" s="569">
        <v>0.373</v>
      </c>
      <c r="R82" s="570">
        <v>13.3</v>
      </c>
      <c r="S82" s="569">
        <v>9.5399999999999991</v>
      </c>
      <c r="T82" s="569">
        <v>0.56399999999999995</v>
      </c>
      <c r="U82" s="569">
        <v>3.15</v>
      </c>
      <c r="V82" s="570">
        <v>1.44</v>
      </c>
      <c r="W82" s="569">
        <v>0.57599999999999996</v>
      </c>
      <c r="X82" s="569">
        <v>9.2100000000000001E-2</v>
      </c>
      <c r="Y82" s="569">
        <v>0.77400000000000002</v>
      </c>
      <c r="Z82" s="552" t="s">
        <v>3754</v>
      </c>
      <c r="AA82" s="557" t="s">
        <v>3745</v>
      </c>
      <c r="AB82" s="266"/>
      <c r="AC82" s="571"/>
      <c r="AD82" s="571"/>
    </row>
    <row r="83" spans="1:30" s="208" customFormat="1" ht="15" customHeight="1">
      <c r="A83" s="581" t="s">
        <v>3792</v>
      </c>
      <c r="B83" s="861" t="s">
        <v>3793</v>
      </c>
      <c r="C83" s="582" t="s">
        <v>3748</v>
      </c>
      <c r="D83" s="583" t="s">
        <v>3752</v>
      </c>
      <c r="E83" s="584" t="s">
        <v>3753</v>
      </c>
      <c r="F83" s="238">
        <v>2110</v>
      </c>
      <c r="G83" s="553">
        <v>1630</v>
      </c>
      <c r="H83" s="553">
        <v>198</v>
      </c>
      <c r="I83" s="553">
        <v>283</v>
      </c>
      <c r="J83" s="570">
        <v>8.75</v>
      </c>
      <c r="K83" s="569">
        <v>7.25</v>
      </c>
      <c r="L83" s="569">
        <v>0.61599999999999999</v>
      </c>
      <c r="M83" s="569">
        <v>0.88100000000000001</v>
      </c>
      <c r="N83" s="570">
        <v>1.67</v>
      </c>
      <c r="O83" s="569">
        <v>1.53</v>
      </c>
      <c r="P83" s="569">
        <v>8.6599999999999996E-2</v>
      </c>
      <c r="Q83" s="569">
        <v>5.1200000000000002E-2</v>
      </c>
      <c r="R83" s="570">
        <v>7.08</v>
      </c>
      <c r="S83" s="569">
        <v>5.72</v>
      </c>
      <c r="T83" s="569">
        <v>0.52900000000000003</v>
      </c>
      <c r="U83" s="569">
        <v>0.83</v>
      </c>
      <c r="V83" s="570">
        <v>0.56399999999999995</v>
      </c>
      <c r="W83" s="569">
        <v>0.36599999999999999</v>
      </c>
      <c r="X83" s="569">
        <v>8.8400000000000006E-2</v>
      </c>
      <c r="Y83" s="569">
        <v>0.111</v>
      </c>
      <c r="Z83" s="583" t="s">
        <v>3754</v>
      </c>
      <c r="AA83" s="585" t="s">
        <v>3748</v>
      </c>
      <c r="AB83" s="266"/>
      <c r="AC83" s="571"/>
      <c r="AD83" s="571"/>
    </row>
    <row r="84" spans="1:30" s="208" customFormat="1" ht="35.25" customHeight="1">
      <c r="A84" s="1705" t="s">
        <v>3794</v>
      </c>
      <c r="B84" s="1705"/>
      <c r="C84" s="1705"/>
      <c r="D84" s="1705"/>
      <c r="E84" s="1705"/>
      <c r="F84" s="1705"/>
      <c r="G84" s="1705"/>
      <c r="H84" s="1705"/>
      <c r="I84" s="1705"/>
      <c r="J84" s="1705"/>
      <c r="K84" s="1705"/>
      <c r="L84" s="1705"/>
      <c r="M84" s="1705"/>
      <c r="N84" s="1705"/>
      <c r="O84" s="1705"/>
      <c r="P84" s="1705"/>
      <c r="Q84" s="1705"/>
      <c r="R84" s="1705"/>
      <c r="S84" s="1705"/>
      <c r="T84" s="1705"/>
      <c r="U84" s="1705"/>
      <c r="V84" s="1705"/>
      <c r="W84" s="1705"/>
      <c r="X84" s="1705"/>
      <c r="Y84" s="1705"/>
      <c r="Z84" s="1705"/>
      <c r="AA84" s="1705"/>
      <c r="AB84" s="266"/>
      <c r="AC84" s="266"/>
      <c r="AD84" s="266"/>
    </row>
    <row r="85" spans="1:30" s="121" customFormat="1" ht="13.5" customHeight="1">
      <c r="A85" s="208"/>
      <c r="B85" s="208"/>
      <c r="C85" s="915" t="s">
        <v>3137</v>
      </c>
      <c r="D85" s="916"/>
      <c r="E85" s="916" t="s">
        <v>3137</v>
      </c>
      <c r="F85" s="916" t="s">
        <v>3137</v>
      </c>
      <c r="G85" s="916" t="s">
        <v>3137</v>
      </c>
      <c r="H85" s="916" t="s">
        <v>3137</v>
      </c>
      <c r="I85" s="916"/>
      <c r="J85" s="916" t="s">
        <v>3137</v>
      </c>
      <c r="K85" s="916" t="s">
        <v>3137</v>
      </c>
      <c r="L85" s="916" t="s">
        <v>3137</v>
      </c>
      <c r="M85" s="916"/>
      <c r="N85" s="916" t="s">
        <v>3137</v>
      </c>
      <c r="O85" s="916" t="s">
        <v>3137</v>
      </c>
      <c r="P85" s="916" t="s">
        <v>3137</v>
      </c>
      <c r="Q85" s="916"/>
      <c r="R85" s="917" t="s">
        <v>3137</v>
      </c>
      <c r="S85" s="916" t="s">
        <v>3137</v>
      </c>
      <c r="T85" s="916" t="s">
        <v>3137</v>
      </c>
      <c r="U85" s="916"/>
      <c r="V85" s="916" t="s">
        <v>3137</v>
      </c>
      <c r="W85" s="916" t="s">
        <v>3137</v>
      </c>
      <c r="X85" s="916" t="s">
        <v>3137</v>
      </c>
      <c r="Y85" s="916"/>
      <c r="Z85" s="916"/>
      <c r="AA85" s="918" t="s">
        <v>3137</v>
      </c>
      <c r="AB85" s="119"/>
      <c r="AC85" s="119"/>
      <c r="AD85" s="119"/>
    </row>
    <row r="86" spans="1:30" s="121" customFormat="1" ht="13.5" customHeight="1">
      <c r="A86" s="208"/>
      <c r="B86" s="208"/>
      <c r="C86" s="915" t="s">
        <v>3137</v>
      </c>
      <c r="D86" s="916"/>
      <c r="E86" s="916" t="s">
        <v>3137</v>
      </c>
      <c r="F86" s="916" t="s">
        <v>3137</v>
      </c>
      <c r="G86" s="916" t="s">
        <v>3137</v>
      </c>
      <c r="H86" s="916" t="s">
        <v>3137</v>
      </c>
      <c r="I86" s="916"/>
      <c r="J86" s="916" t="s">
        <v>3137</v>
      </c>
      <c r="K86" s="916" t="s">
        <v>3137</v>
      </c>
      <c r="L86" s="916" t="s">
        <v>3137</v>
      </c>
      <c r="M86" s="916"/>
      <c r="N86" s="916" t="s">
        <v>3137</v>
      </c>
      <c r="O86" s="916" t="s">
        <v>3137</v>
      </c>
      <c r="P86" s="916" t="s">
        <v>3137</v>
      </c>
      <c r="Q86" s="916"/>
      <c r="R86" s="917" t="s">
        <v>3137</v>
      </c>
      <c r="S86" s="916" t="s">
        <v>3137</v>
      </c>
      <c r="T86" s="916" t="s">
        <v>3137</v>
      </c>
      <c r="U86" s="916"/>
      <c r="V86" s="916" t="s">
        <v>3137</v>
      </c>
      <c r="W86" s="916" t="s">
        <v>3137</v>
      </c>
      <c r="X86" s="916" t="s">
        <v>3137</v>
      </c>
      <c r="Y86" s="916"/>
      <c r="Z86" s="916"/>
      <c r="AA86" s="918" t="s">
        <v>3137</v>
      </c>
      <c r="AB86" s="119"/>
      <c r="AC86" s="119"/>
      <c r="AD86" s="119"/>
    </row>
    <row r="87" spans="1:30" s="121" customFormat="1" ht="13.5" customHeight="1">
      <c r="A87" s="208"/>
      <c r="B87" s="208"/>
      <c r="C87" s="915" t="s">
        <v>3137</v>
      </c>
      <c r="D87" s="916"/>
      <c r="E87" s="916" t="s">
        <v>3137</v>
      </c>
      <c r="F87" s="916" t="s">
        <v>3137</v>
      </c>
      <c r="G87" s="916" t="s">
        <v>3137</v>
      </c>
      <c r="H87" s="916" t="s">
        <v>3137</v>
      </c>
      <c r="I87" s="916"/>
      <c r="J87" s="916" t="s">
        <v>3137</v>
      </c>
      <c r="K87" s="916" t="s">
        <v>3137</v>
      </c>
      <c r="L87" s="916" t="s">
        <v>3137</v>
      </c>
      <c r="M87" s="916"/>
      <c r="N87" s="916" t="s">
        <v>3137</v>
      </c>
      <c r="O87" s="916" t="s">
        <v>3137</v>
      </c>
      <c r="P87" s="916" t="s">
        <v>3137</v>
      </c>
      <c r="Q87" s="916"/>
      <c r="R87" s="917" t="s">
        <v>3137</v>
      </c>
      <c r="S87" s="916" t="s">
        <v>3137</v>
      </c>
      <c r="T87" s="916" t="s">
        <v>3137</v>
      </c>
      <c r="U87" s="916"/>
      <c r="V87" s="916" t="s">
        <v>3137</v>
      </c>
      <c r="W87" s="916" t="s">
        <v>3137</v>
      </c>
      <c r="X87" s="916" t="s">
        <v>3137</v>
      </c>
      <c r="Y87" s="916"/>
      <c r="Z87" s="916"/>
      <c r="AA87" s="918" t="s">
        <v>3137</v>
      </c>
      <c r="AB87" s="119"/>
      <c r="AC87" s="119"/>
      <c r="AD87" s="119"/>
    </row>
    <row r="88" spans="1:30" s="121" customFormat="1" ht="13.5" customHeight="1">
      <c r="A88" s="266"/>
      <c r="B88" s="266"/>
      <c r="C88" s="267"/>
      <c r="D88" s="268"/>
      <c r="E88" s="266"/>
      <c r="F88" s="266"/>
      <c r="G88" s="266"/>
      <c r="H88" s="266"/>
      <c r="I88" s="266"/>
      <c r="J88" s="266"/>
      <c r="K88" s="266"/>
      <c r="L88" s="266"/>
      <c r="M88" s="266"/>
      <c r="N88" s="266"/>
      <c r="O88" s="266"/>
      <c r="P88" s="266"/>
      <c r="Q88" s="266"/>
      <c r="R88" s="266"/>
      <c r="S88" s="266"/>
      <c r="T88" s="266"/>
      <c r="U88" s="266"/>
      <c r="V88" s="266"/>
      <c r="W88" s="266"/>
      <c r="X88" s="266"/>
      <c r="Y88" s="266"/>
      <c r="Z88" s="268"/>
      <c r="AA88" s="865"/>
      <c r="AB88" s="119"/>
      <c r="AC88" s="119"/>
      <c r="AD88" s="119"/>
    </row>
    <row r="89" spans="1:30" s="121" customFormat="1" ht="13.5" customHeight="1">
      <c r="A89" s="208"/>
      <c r="B89" s="208"/>
      <c r="C89" s="915" t="s">
        <v>3137</v>
      </c>
      <c r="D89" s="916"/>
      <c r="E89" s="916" t="s">
        <v>3137</v>
      </c>
      <c r="F89" s="916" t="s">
        <v>3137</v>
      </c>
      <c r="G89" s="916" t="s">
        <v>3137</v>
      </c>
      <c r="H89" s="916" t="s">
        <v>3137</v>
      </c>
      <c r="I89" s="916"/>
      <c r="J89" s="916" t="s">
        <v>3137</v>
      </c>
      <c r="K89" s="916" t="s">
        <v>3137</v>
      </c>
      <c r="L89" s="916" t="s">
        <v>3137</v>
      </c>
      <c r="M89" s="916"/>
      <c r="N89" s="916" t="s">
        <v>3137</v>
      </c>
      <c r="O89" s="916" t="s">
        <v>3137</v>
      </c>
      <c r="P89" s="916" t="s">
        <v>3137</v>
      </c>
      <c r="Q89" s="916"/>
      <c r="R89" s="917" t="s">
        <v>3137</v>
      </c>
      <c r="S89" s="916" t="s">
        <v>3137</v>
      </c>
      <c r="T89" s="916" t="s">
        <v>3137</v>
      </c>
      <c r="U89" s="916"/>
      <c r="V89" s="916" t="s">
        <v>3137</v>
      </c>
      <c r="W89" s="916" t="s">
        <v>3137</v>
      </c>
      <c r="X89" s="916" t="s">
        <v>3137</v>
      </c>
      <c r="Y89" s="916"/>
      <c r="Z89" s="916"/>
      <c r="AA89" s="918" t="s">
        <v>3137</v>
      </c>
      <c r="AB89" s="119"/>
      <c r="AC89" s="119"/>
      <c r="AD89" s="119"/>
    </row>
    <row r="90" spans="1:30" s="121" customFormat="1" ht="13.5" customHeight="1">
      <c r="A90" s="208"/>
      <c r="B90" s="208"/>
      <c r="C90" s="915" t="s">
        <v>3137</v>
      </c>
      <c r="D90" s="916"/>
      <c r="E90" s="916" t="s">
        <v>3137</v>
      </c>
      <c r="F90" s="916" t="s">
        <v>3137</v>
      </c>
      <c r="G90" s="916" t="s">
        <v>3137</v>
      </c>
      <c r="H90" s="916" t="s">
        <v>3137</v>
      </c>
      <c r="I90" s="916"/>
      <c r="J90" s="916" t="s">
        <v>3137</v>
      </c>
      <c r="K90" s="916" t="s">
        <v>3137</v>
      </c>
      <c r="L90" s="916" t="s">
        <v>3137</v>
      </c>
      <c r="M90" s="916"/>
      <c r="N90" s="916" t="s">
        <v>3137</v>
      </c>
      <c r="O90" s="916" t="s">
        <v>3137</v>
      </c>
      <c r="P90" s="916" t="s">
        <v>3137</v>
      </c>
      <c r="Q90" s="916"/>
      <c r="R90" s="917" t="s">
        <v>3137</v>
      </c>
      <c r="S90" s="916" t="s">
        <v>3137</v>
      </c>
      <c r="T90" s="916" t="s">
        <v>3137</v>
      </c>
      <c r="U90" s="916"/>
      <c r="V90" s="916" t="s">
        <v>3137</v>
      </c>
      <c r="W90" s="916" t="s">
        <v>3137</v>
      </c>
      <c r="X90" s="916" t="s">
        <v>3137</v>
      </c>
      <c r="Y90" s="916"/>
      <c r="Z90" s="916"/>
      <c r="AA90" s="918" t="s">
        <v>3137</v>
      </c>
      <c r="AB90" s="119"/>
      <c r="AC90" s="119"/>
      <c r="AD90" s="119"/>
    </row>
    <row r="91" spans="1:30" s="121" customFormat="1" ht="13.5" customHeight="1">
      <c r="A91" s="208"/>
      <c r="B91" s="208"/>
      <c r="C91" s="915" t="s">
        <v>3137</v>
      </c>
      <c r="D91" s="916"/>
      <c r="E91" s="916" t="s">
        <v>3137</v>
      </c>
      <c r="F91" s="916" t="s">
        <v>3137</v>
      </c>
      <c r="G91" s="916" t="s">
        <v>3137</v>
      </c>
      <c r="H91" s="916" t="s">
        <v>3137</v>
      </c>
      <c r="I91" s="916"/>
      <c r="J91" s="916" t="s">
        <v>3137</v>
      </c>
      <c r="K91" s="916" t="s">
        <v>3137</v>
      </c>
      <c r="L91" s="916" t="s">
        <v>3137</v>
      </c>
      <c r="M91" s="916"/>
      <c r="N91" s="916" t="s">
        <v>3137</v>
      </c>
      <c r="O91" s="916" t="s">
        <v>3137</v>
      </c>
      <c r="P91" s="916" t="s">
        <v>3137</v>
      </c>
      <c r="Q91" s="916"/>
      <c r="R91" s="917" t="s">
        <v>3137</v>
      </c>
      <c r="S91" s="916" t="s">
        <v>3137</v>
      </c>
      <c r="T91" s="916" t="s">
        <v>3137</v>
      </c>
      <c r="U91" s="916"/>
      <c r="V91" s="916" t="s">
        <v>3137</v>
      </c>
      <c r="W91" s="916" t="s">
        <v>3137</v>
      </c>
      <c r="X91" s="916" t="s">
        <v>3137</v>
      </c>
      <c r="Y91" s="916"/>
      <c r="Z91" s="916"/>
      <c r="AA91" s="918" t="s">
        <v>3137</v>
      </c>
      <c r="AB91" s="119"/>
      <c r="AC91" s="119"/>
      <c r="AD91" s="119"/>
    </row>
    <row r="92" spans="1:30" s="121" customFormat="1" ht="13.5" customHeight="1">
      <c r="A92" s="208"/>
      <c r="B92" s="208"/>
      <c r="C92" s="915" t="s">
        <v>3137</v>
      </c>
      <c r="D92" s="916"/>
      <c r="E92" s="916" t="s">
        <v>3137</v>
      </c>
      <c r="F92" s="916" t="s">
        <v>3137</v>
      </c>
      <c r="G92" s="916" t="s">
        <v>3137</v>
      </c>
      <c r="H92" s="916" t="s">
        <v>3137</v>
      </c>
      <c r="I92" s="916"/>
      <c r="J92" s="916" t="s">
        <v>3137</v>
      </c>
      <c r="K92" s="916" t="s">
        <v>3137</v>
      </c>
      <c r="L92" s="916" t="s">
        <v>3137</v>
      </c>
      <c r="M92" s="916"/>
      <c r="N92" s="916" t="s">
        <v>3137</v>
      </c>
      <c r="O92" s="916" t="s">
        <v>3137</v>
      </c>
      <c r="P92" s="916" t="s">
        <v>3137</v>
      </c>
      <c r="Q92" s="916"/>
      <c r="R92" s="917" t="s">
        <v>3137</v>
      </c>
      <c r="S92" s="916" t="s">
        <v>3137</v>
      </c>
      <c r="T92" s="916" t="s">
        <v>3137</v>
      </c>
      <c r="U92" s="916"/>
      <c r="V92" s="916" t="s">
        <v>3137</v>
      </c>
      <c r="W92" s="916" t="s">
        <v>3137</v>
      </c>
      <c r="X92" s="916" t="s">
        <v>3137</v>
      </c>
      <c r="Y92" s="916"/>
      <c r="Z92" s="916"/>
      <c r="AA92" s="918" t="s">
        <v>3137</v>
      </c>
      <c r="AB92" s="119"/>
      <c r="AC92" s="119"/>
      <c r="AD92" s="119"/>
    </row>
    <row r="93" spans="1:30" s="121" customFormat="1" ht="13.5" customHeight="1">
      <c r="A93" s="208"/>
      <c r="B93" s="208"/>
      <c r="C93" s="915" t="s">
        <v>3137</v>
      </c>
      <c r="D93" s="916"/>
      <c r="E93" s="916" t="s">
        <v>3137</v>
      </c>
      <c r="F93" s="916" t="s">
        <v>3137</v>
      </c>
      <c r="G93" s="916" t="s">
        <v>3137</v>
      </c>
      <c r="H93" s="916" t="s">
        <v>3137</v>
      </c>
      <c r="I93" s="916"/>
      <c r="J93" s="916" t="s">
        <v>3137</v>
      </c>
      <c r="K93" s="916" t="s">
        <v>3137</v>
      </c>
      <c r="L93" s="916" t="s">
        <v>3137</v>
      </c>
      <c r="M93" s="916"/>
      <c r="N93" s="916" t="s">
        <v>3137</v>
      </c>
      <c r="O93" s="916" t="s">
        <v>3137</v>
      </c>
      <c r="P93" s="916" t="s">
        <v>3137</v>
      </c>
      <c r="Q93" s="916"/>
      <c r="R93" s="917" t="s">
        <v>3137</v>
      </c>
      <c r="S93" s="916" t="s">
        <v>3137</v>
      </c>
      <c r="T93" s="916" t="s">
        <v>3137</v>
      </c>
      <c r="U93" s="916"/>
      <c r="V93" s="916" t="s">
        <v>3137</v>
      </c>
      <c r="W93" s="916" t="s">
        <v>3137</v>
      </c>
      <c r="X93" s="916" t="s">
        <v>3137</v>
      </c>
      <c r="Y93" s="916"/>
      <c r="Z93" s="916"/>
      <c r="AA93" s="918" t="s">
        <v>3137</v>
      </c>
      <c r="AB93" s="119"/>
      <c r="AC93" s="119"/>
      <c r="AD93" s="119"/>
    </row>
    <row r="94" spans="1:30" s="121" customFormat="1" ht="13.5" customHeight="1">
      <c r="A94" s="208"/>
      <c r="B94" s="208"/>
      <c r="C94" s="915" t="s">
        <v>3137</v>
      </c>
      <c r="D94" s="916"/>
      <c r="E94" s="916" t="s">
        <v>3137</v>
      </c>
      <c r="F94" s="916" t="s">
        <v>3137</v>
      </c>
      <c r="G94" s="916" t="s">
        <v>3137</v>
      </c>
      <c r="H94" s="916" t="s">
        <v>3137</v>
      </c>
      <c r="I94" s="916"/>
      <c r="J94" s="916" t="s">
        <v>3137</v>
      </c>
      <c r="K94" s="916" t="s">
        <v>3137</v>
      </c>
      <c r="L94" s="916" t="s">
        <v>3137</v>
      </c>
      <c r="M94" s="916"/>
      <c r="N94" s="916" t="s">
        <v>3137</v>
      </c>
      <c r="O94" s="916" t="s">
        <v>3137</v>
      </c>
      <c r="P94" s="916" t="s">
        <v>3137</v>
      </c>
      <c r="Q94" s="916"/>
      <c r="R94" s="917" t="s">
        <v>3137</v>
      </c>
      <c r="S94" s="916" t="s">
        <v>3137</v>
      </c>
      <c r="T94" s="916" t="s">
        <v>3137</v>
      </c>
      <c r="U94" s="916"/>
      <c r="V94" s="916" t="s">
        <v>3137</v>
      </c>
      <c r="W94" s="916" t="s">
        <v>3137</v>
      </c>
      <c r="X94" s="916" t="s">
        <v>3137</v>
      </c>
      <c r="Y94" s="916"/>
      <c r="Z94" s="916"/>
      <c r="AA94" s="918" t="s">
        <v>3137</v>
      </c>
      <c r="AB94" s="119"/>
      <c r="AC94" s="119"/>
      <c r="AD94" s="119"/>
    </row>
    <row r="95" spans="1:30">
      <c r="A95" s="208"/>
      <c r="B95" s="208"/>
      <c r="C95" s="915" t="s">
        <v>3137</v>
      </c>
      <c r="D95" s="916"/>
      <c r="E95" s="916" t="s">
        <v>3137</v>
      </c>
      <c r="F95" s="916" t="s">
        <v>3137</v>
      </c>
      <c r="G95" s="916" t="s">
        <v>3137</v>
      </c>
      <c r="H95" s="916" t="s">
        <v>3137</v>
      </c>
      <c r="I95" s="916"/>
      <c r="J95" s="916" t="s">
        <v>3137</v>
      </c>
      <c r="K95" s="916" t="s">
        <v>3137</v>
      </c>
      <c r="L95" s="916" t="s">
        <v>3137</v>
      </c>
      <c r="M95" s="916"/>
      <c r="N95" s="916" t="s">
        <v>3137</v>
      </c>
      <c r="O95" s="916" t="s">
        <v>3137</v>
      </c>
      <c r="P95" s="916" t="s">
        <v>3137</v>
      </c>
      <c r="Q95" s="916"/>
      <c r="R95" s="917" t="s">
        <v>3137</v>
      </c>
      <c r="S95" s="916" t="s">
        <v>3137</v>
      </c>
      <c r="T95" s="916" t="s">
        <v>3137</v>
      </c>
      <c r="U95" s="916"/>
      <c r="V95" s="916" t="s">
        <v>3137</v>
      </c>
      <c r="W95" s="916" t="s">
        <v>3137</v>
      </c>
      <c r="X95" s="916" t="s">
        <v>3137</v>
      </c>
      <c r="Y95" s="916"/>
      <c r="Z95" s="916"/>
      <c r="AA95" s="918" t="s">
        <v>3137</v>
      </c>
    </row>
    <row r="96" spans="1:30">
      <c r="A96" s="208"/>
      <c r="B96" s="208"/>
      <c r="C96" s="915" t="s">
        <v>3137</v>
      </c>
      <c r="D96" s="916"/>
      <c r="E96" s="916" t="s">
        <v>3137</v>
      </c>
      <c r="F96" s="916" t="s">
        <v>3137</v>
      </c>
      <c r="G96" s="916" t="s">
        <v>3137</v>
      </c>
      <c r="H96" s="916" t="s">
        <v>3137</v>
      </c>
      <c r="I96" s="916"/>
      <c r="J96" s="916" t="s">
        <v>3137</v>
      </c>
      <c r="K96" s="916" t="s">
        <v>3137</v>
      </c>
      <c r="L96" s="916" t="s">
        <v>3137</v>
      </c>
      <c r="M96" s="916"/>
      <c r="N96" s="916" t="s">
        <v>3137</v>
      </c>
      <c r="O96" s="916" t="s">
        <v>3137</v>
      </c>
      <c r="P96" s="916" t="s">
        <v>3137</v>
      </c>
      <c r="Q96" s="916"/>
      <c r="R96" s="917" t="s">
        <v>3137</v>
      </c>
      <c r="S96" s="916" t="s">
        <v>3137</v>
      </c>
      <c r="T96" s="916" t="s">
        <v>3137</v>
      </c>
      <c r="U96" s="916"/>
      <c r="V96" s="916" t="s">
        <v>3137</v>
      </c>
      <c r="W96" s="916" t="s">
        <v>3137</v>
      </c>
      <c r="X96" s="916" t="s">
        <v>3137</v>
      </c>
      <c r="Y96" s="916"/>
      <c r="Z96" s="916"/>
      <c r="AA96" s="918" t="s">
        <v>3137</v>
      </c>
    </row>
    <row r="97" spans="1:27">
      <c r="A97" s="208"/>
      <c r="B97" s="208"/>
      <c r="C97" s="915" t="s">
        <v>3137</v>
      </c>
      <c r="D97" s="916"/>
      <c r="E97" s="916" t="s">
        <v>3137</v>
      </c>
      <c r="F97" s="916" t="s">
        <v>3137</v>
      </c>
      <c r="G97" s="916" t="s">
        <v>3137</v>
      </c>
      <c r="H97" s="916" t="s">
        <v>3137</v>
      </c>
      <c r="I97" s="916"/>
      <c r="J97" s="916" t="s">
        <v>3137</v>
      </c>
      <c r="K97" s="916" t="s">
        <v>3137</v>
      </c>
      <c r="L97" s="916" t="s">
        <v>3137</v>
      </c>
      <c r="M97" s="916"/>
      <c r="N97" s="916" t="s">
        <v>3137</v>
      </c>
      <c r="O97" s="916" t="s">
        <v>3137</v>
      </c>
      <c r="P97" s="916" t="s">
        <v>3137</v>
      </c>
      <c r="Q97" s="916"/>
      <c r="R97" s="917" t="s">
        <v>3137</v>
      </c>
      <c r="S97" s="916" t="s">
        <v>3137</v>
      </c>
      <c r="T97" s="916" t="s">
        <v>3137</v>
      </c>
      <c r="U97" s="916"/>
      <c r="V97" s="916" t="s">
        <v>3137</v>
      </c>
      <c r="W97" s="916" t="s">
        <v>3137</v>
      </c>
      <c r="X97" s="916" t="s">
        <v>3137</v>
      </c>
      <c r="Y97" s="916"/>
      <c r="Z97" s="916"/>
      <c r="AA97" s="918" t="s">
        <v>3137</v>
      </c>
    </row>
    <row r="98" spans="1:27">
      <c r="A98" s="208"/>
      <c r="B98" s="208"/>
      <c r="C98" s="915" t="s">
        <v>3137</v>
      </c>
      <c r="D98" s="916"/>
      <c r="E98" s="916" t="s">
        <v>3137</v>
      </c>
      <c r="F98" s="916" t="s">
        <v>3137</v>
      </c>
      <c r="G98" s="916" t="s">
        <v>3137</v>
      </c>
      <c r="H98" s="916" t="s">
        <v>3137</v>
      </c>
      <c r="I98" s="916"/>
      <c r="J98" s="916" t="s">
        <v>3137</v>
      </c>
      <c r="K98" s="916" t="s">
        <v>3137</v>
      </c>
      <c r="L98" s="916" t="s">
        <v>3137</v>
      </c>
      <c r="M98" s="916"/>
      <c r="N98" s="916" t="s">
        <v>3137</v>
      </c>
      <c r="O98" s="916" t="s">
        <v>3137</v>
      </c>
      <c r="P98" s="916" t="s">
        <v>3137</v>
      </c>
      <c r="Q98" s="916"/>
      <c r="R98" s="917" t="s">
        <v>3137</v>
      </c>
      <c r="S98" s="916" t="s">
        <v>3137</v>
      </c>
      <c r="T98" s="916" t="s">
        <v>3137</v>
      </c>
      <c r="U98" s="916"/>
      <c r="V98" s="916" t="s">
        <v>3137</v>
      </c>
      <c r="W98" s="916" t="s">
        <v>3137</v>
      </c>
      <c r="X98" s="916" t="s">
        <v>3137</v>
      </c>
      <c r="Y98" s="916"/>
      <c r="Z98" s="916"/>
      <c r="AA98" s="918" t="s">
        <v>3137</v>
      </c>
    </row>
  </sheetData>
  <customSheetViews>
    <customSheetView guid="{B32447E2-AB5B-4CBB-881B-FF11349CA4D6}" fitToPage="1" hiddenRows="1" topLeftCell="H1">
      <selection activeCell="C75" sqref="C75"/>
      <rowBreaks count="1" manualBreakCount="1">
        <brk id="39" max="21" man="1"/>
      </rowBreaks>
      <pageMargins left="0" right="0" top="0" bottom="0" header="0" footer="0"/>
      <pageSetup paperSize="9" scale="34" fitToHeight="0" orientation="landscape" copies="8" r:id="rId1"/>
      <headerFooter scaleWithDoc="0" alignWithMargins="0">
        <oddFooter>&amp;C&amp;8&amp;P</oddFooter>
      </headerFooter>
    </customSheetView>
    <customSheetView guid="{9FA74287-E657-475B-BF4B-3C8C757714AE}" fitToPage="1" hiddenRows="1" topLeftCell="H1">
      <selection activeCell="C75" sqref="C75"/>
      <rowBreaks count="1" manualBreakCount="1">
        <brk id="39" max="21" man="1"/>
      </rowBreaks>
      <pageMargins left="0" right="0" top="0" bottom="0" header="0" footer="0"/>
      <pageSetup paperSize="9" scale="34" fitToHeight="0" orientation="landscape" copies="8" r:id="rId2"/>
      <headerFooter scaleWithDoc="0" alignWithMargins="0">
        <oddFooter>&amp;C&amp;8&amp;P</oddFooter>
      </headerFooter>
    </customSheetView>
    <customSheetView guid="{54A7C567-FA7D-467E-B353-ECB5E61AE756}" fitToPage="1" hiddenRows="1">
      <selection activeCell="I30" sqref="I30"/>
      <rowBreaks count="1" manualBreakCount="1">
        <brk id="39" max="21" man="1"/>
      </rowBreaks>
      <pageMargins left="0" right="0" top="0" bottom="0" header="0" footer="0"/>
      <pageSetup paperSize="9" scale="34" fitToHeight="0" orientation="landscape" copies="8" r:id="rId3"/>
      <headerFooter scaleWithDoc="0" alignWithMargins="0">
        <oddFooter>&amp;C&amp;8&amp;P</oddFooter>
      </headerFooter>
    </customSheetView>
  </customSheetViews>
  <mergeCells count="15">
    <mergeCell ref="V5:Y6"/>
    <mergeCell ref="A84:AA84"/>
    <mergeCell ref="V4:Y4"/>
    <mergeCell ref="AA4:AA6"/>
    <mergeCell ref="J6:M6"/>
    <mergeCell ref="N6:Q6"/>
    <mergeCell ref="R6:U6"/>
    <mergeCell ref="A5:A6"/>
    <mergeCell ref="F5:I6"/>
    <mergeCell ref="J5:M5"/>
    <mergeCell ref="N5:Q5"/>
    <mergeCell ref="R5:U5"/>
    <mergeCell ref="C4:C6"/>
    <mergeCell ref="F4:I4"/>
    <mergeCell ref="J4:U4"/>
  </mergeCells>
  <conditionalFormatting sqref="F11:G20">
    <cfRule type="cellIs" dxfId="53" priority="43" operator="equal">
      <formula>0</formula>
    </cfRule>
    <cfRule type="cellIs" dxfId="52" priority="44" operator="between">
      <formula>10</formula>
      <formula>100</formula>
    </cfRule>
    <cfRule type="cellIs" dxfId="51" priority="45" operator="between">
      <formula>1</formula>
      <formula>10</formula>
    </cfRule>
    <cfRule type="cellIs" dxfId="50" priority="46" operator="lessThan">
      <formula>1</formula>
    </cfRule>
  </conditionalFormatting>
  <conditionalFormatting sqref="F22:H24 F25:I30 F31:H31 F32:I39">
    <cfRule type="cellIs" dxfId="49" priority="34" operator="equal">
      <formula>0</formula>
    </cfRule>
    <cfRule type="cellIs" dxfId="48" priority="35" operator="between">
      <formula>10</formula>
      <formula>100</formula>
    </cfRule>
    <cfRule type="cellIs" dxfId="47" priority="36" operator="between">
      <formula>1</formula>
      <formula>10</formula>
    </cfRule>
    <cfRule type="cellIs" dxfId="46" priority="37" operator="lessThan">
      <formula>1</formula>
    </cfRule>
  </conditionalFormatting>
  <conditionalFormatting sqref="F41:I47 F48:H49 F50:I61">
    <cfRule type="cellIs" dxfId="45" priority="22" operator="equal">
      <formula>0</formula>
    </cfRule>
    <cfRule type="cellIs" dxfId="44" priority="23" operator="between">
      <formula>10</formula>
      <formula>100</formula>
    </cfRule>
    <cfRule type="cellIs" dxfId="43" priority="24" operator="between">
      <formula>1</formula>
      <formula>10</formula>
    </cfRule>
    <cfRule type="cellIs" dxfId="42" priority="25" operator="lessThan">
      <formula>1</formula>
    </cfRule>
  </conditionalFormatting>
  <conditionalFormatting sqref="F63:I69 F70:H71 F72:I83">
    <cfRule type="cellIs" dxfId="41" priority="10" operator="equal">
      <formula>0</formula>
    </cfRule>
    <cfRule type="cellIs" dxfId="40" priority="11" operator="between">
      <formula>10</formula>
      <formula>100</formula>
    </cfRule>
    <cfRule type="cellIs" dxfId="39" priority="12" operator="between">
      <formula>1</formula>
      <formula>10</formula>
    </cfRule>
    <cfRule type="cellIs" dxfId="38" priority="13" operator="lessThan">
      <formula>1</formula>
    </cfRule>
  </conditionalFormatting>
  <conditionalFormatting sqref="F11:Y20">
    <cfRule type="cellIs" dxfId="37" priority="39" operator="greaterThan">
      <formula>100</formula>
    </cfRule>
  </conditionalFormatting>
  <conditionalFormatting sqref="F22:Y83">
    <cfRule type="cellIs" dxfId="36" priority="2" operator="greaterThan">
      <formula>100</formula>
    </cfRule>
  </conditionalFormatting>
  <conditionalFormatting sqref="F40:Y40">
    <cfRule type="cellIs" dxfId="35" priority="51" operator="equal">
      <formula>0</formula>
    </cfRule>
    <cfRule type="cellIs" dxfId="34" priority="52" operator="between">
      <formula>10</formula>
      <formula>100</formula>
    </cfRule>
    <cfRule type="cellIs" dxfId="33" priority="53" operator="between">
      <formula>1</formula>
      <formula>10</formula>
    </cfRule>
    <cfRule type="cellIs" dxfId="32" priority="54" operator="lessThan">
      <formula>1</formula>
    </cfRule>
  </conditionalFormatting>
  <conditionalFormatting sqref="F62:Y62">
    <cfRule type="cellIs" dxfId="31" priority="47" operator="equal">
      <formula>0</formula>
    </cfRule>
    <cfRule type="cellIs" dxfId="30" priority="48" operator="between">
      <formula>10</formula>
      <formula>100</formula>
    </cfRule>
    <cfRule type="cellIs" dxfId="29" priority="49" operator="between">
      <formula>1</formula>
      <formula>10</formula>
    </cfRule>
    <cfRule type="cellIs" dxfId="28" priority="50" operator="lessThan">
      <formula>1</formula>
    </cfRule>
  </conditionalFormatting>
  <conditionalFormatting sqref="H11:Y20">
    <cfRule type="cellIs" dxfId="27" priority="38" operator="equal">
      <formula>0</formula>
    </cfRule>
    <cfRule type="cellIs" dxfId="26" priority="40" operator="between">
      <formula>10</formula>
      <formula>100</formula>
    </cfRule>
    <cfRule type="cellIs" dxfId="25" priority="41" operator="between">
      <formula>1</formula>
      <formula>10</formula>
    </cfRule>
    <cfRule type="cellIs" dxfId="24" priority="42" operator="lessThan">
      <formula>1</formula>
    </cfRule>
  </conditionalFormatting>
  <conditionalFormatting sqref="I22:I24 J22:Y39">
    <cfRule type="cellIs" dxfId="23" priority="30" operator="equal">
      <formula>0</formula>
    </cfRule>
    <cfRule type="cellIs" dxfId="22" priority="31" operator="between">
      <formula>10</formula>
      <formula>100</formula>
    </cfRule>
    <cfRule type="cellIs" dxfId="21" priority="32" operator="between">
      <formula>1</formula>
      <formula>10</formula>
    </cfRule>
    <cfRule type="cellIs" dxfId="20" priority="33" operator="lessThan">
      <formula>1</formula>
    </cfRule>
  </conditionalFormatting>
  <conditionalFormatting sqref="I31">
    <cfRule type="cellIs" dxfId="19" priority="26" operator="equal">
      <formula>0</formula>
    </cfRule>
    <cfRule type="cellIs" dxfId="18" priority="27" operator="between">
      <formula>10</formula>
      <formula>100</formula>
    </cfRule>
    <cfRule type="cellIs" dxfId="17" priority="28" operator="between">
      <formula>1</formula>
      <formula>10</formula>
    </cfRule>
    <cfRule type="cellIs" dxfId="16" priority="29" operator="lessThan">
      <formula>1</formula>
    </cfRule>
  </conditionalFormatting>
  <conditionalFormatting sqref="I48:I49">
    <cfRule type="cellIs" dxfId="15" priority="14" operator="equal">
      <formula>0</formula>
    </cfRule>
    <cfRule type="cellIs" dxfId="14" priority="15" operator="between">
      <formula>10</formula>
      <formula>100</formula>
    </cfRule>
    <cfRule type="cellIs" dxfId="13" priority="16" operator="between">
      <formula>1</formula>
      <formula>10</formula>
    </cfRule>
    <cfRule type="cellIs" dxfId="12" priority="17" operator="lessThan">
      <formula>1</formula>
    </cfRule>
  </conditionalFormatting>
  <conditionalFormatting sqref="I70:I71">
    <cfRule type="cellIs" dxfId="11" priority="1" operator="equal">
      <formula>0</formula>
    </cfRule>
    <cfRule type="cellIs" dxfId="10" priority="3" operator="between">
      <formula>10</formula>
      <formula>100</formula>
    </cfRule>
    <cfRule type="cellIs" dxfId="9" priority="4" operator="between">
      <formula>1</formula>
      <formula>10</formula>
    </cfRule>
    <cfRule type="cellIs" dxfId="8" priority="5" operator="lessThan">
      <formula>1</formula>
    </cfRule>
  </conditionalFormatting>
  <conditionalFormatting sqref="J41:Y61">
    <cfRule type="cellIs" dxfId="7" priority="18" operator="equal">
      <formula>0</formula>
    </cfRule>
    <cfRule type="cellIs" dxfId="6" priority="19" operator="between">
      <formula>10</formula>
      <formula>100</formula>
    </cfRule>
    <cfRule type="cellIs" dxfId="5" priority="20" operator="between">
      <formula>1</formula>
      <formula>10</formula>
    </cfRule>
    <cfRule type="cellIs" dxfId="4" priority="21" operator="lessThan">
      <formula>1</formula>
    </cfRule>
  </conditionalFormatting>
  <conditionalFormatting sqref="J63:Y83">
    <cfRule type="cellIs" dxfId="3" priority="6" operator="equal">
      <formula>0</formula>
    </cfRule>
    <cfRule type="cellIs" dxfId="2" priority="7" operator="between">
      <formula>10</formula>
      <formula>100</formula>
    </cfRule>
    <cfRule type="cellIs" dxfId="1" priority="8" operator="between">
      <formula>1</formula>
      <formula>10</formula>
    </cfRule>
    <cfRule type="cellIs" dxfId="0" priority="9" operator="lessThan">
      <formula>1</formula>
    </cfRule>
  </conditionalFormatting>
  <pageMargins left="0" right="0" top="0" bottom="0" header="0" footer="0"/>
  <pageSetup paperSize="9" scale="34" fitToHeight="0" orientation="landscape" copies="8" r:id="rId4"/>
  <headerFooter scaleWithDoc="0" alignWithMargins="0">
    <oddFooter>&amp;C&amp;8&amp;P</oddFooter>
  </headerFooter>
  <rowBreaks count="1" manualBreakCount="1">
    <brk id="39" max="2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6A8BA-91EA-42AF-929A-6EF5549355FB}">
  <sheetPr codeName="Feuil3">
    <tabColor theme="5"/>
    <pageSetUpPr autoPageBreaks="0" fitToPage="1"/>
  </sheetPr>
  <dimension ref="A1:AA190"/>
  <sheetViews>
    <sheetView topLeftCell="A12" zoomScale="85" zoomScaleNormal="85" workbookViewId="0">
      <selection activeCell="P97" sqref="P97"/>
    </sheetView>
  </sheetViews>
  <sheetFormatPr baseColWidth="10" defaultColWidth="11.25" defaultRowHeight="15.75" outlineLevelCol="1"/>
  <cols>
    <col min="1" max="1" width="13.125" style="163" customWidth="1"/>
    <col min="2" max="2" width="30.5" style="163" customWidth="1"/>
    <col min="3" max="3" width="0.125" style="163" customWidth="1"/>
    <col min="4" max="4" width="25.25" style="163" customWidth="1"/>
    <col min="5" max="5" width="5.875" style="163" customWidth="1"/>
    <col min="6" max="6" width="22.75" style="163" hidden="1" customWidth="1" outlineLevel="1"/>
    <col min="7" max="7" width="11.75" style="163" customWidth="1" collapsed="1"/>
    <col min="8" max="8" width="11.75" style="163" customWidth="1"/>
    <col min="9" max="9" width="34" style="163" customWidth="1"/>
    <col min="10" max="10" width="0.5" style="163" customWidth="1"/>
    <col min="11" max="11" width="27.5" style="163" customWidth="1"/>
    <col min="12" max="12" width="18.375" style="163" customWidth="1"/>
    <col min="13" max="13" width="24.625" style="163" hidden="1" customWidth="1" outlineLevel="1"/>
    <col min="14" max="14" width="14.875" style="163" customWidth="1" collapsed="1"/>
    <col min="15" max="16" width="11.25" style="163"/>
    <col min="17" max="17" width="3.5" style="163" customWidth="1"/>
    <col min="18" max="18" width="8.5" style="163" customWidth="1"/>
    <col min="19" max="16384" width="11.25" style="163"/>
  </cols>
  <sheetData>
    <row r="1" spans="1:14" s="697" customFormat="1" ht="36.75" customHeight="1">
      <c r="A1" s="1509" t="s">
        <v>0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</row>
    <row r="2" spans="1:14" s="697" customFormat="1" ht="36.75" customHeight="1">
      <c r="A2" s="1509"/>
      <c r="B2" s="1509"/>
      <c r="C2" s="1509"/>
      <c r="D2" s="1509"/>
      <c r="E2" s="1509"/>
      <c r="F2" s="1509"/>
      <c r="G2" s="1509"/>
      <c r="H2" s="1509"/>
      <c r="I2" s="1509"/>
      <c r="J2" s="1509"/>
      <c r="K2" s="1509"/>
      <c r="L2" s="1509"/>
      <c r="M2" s="1509"/>
      <c r="N2" s="1509"/>
    </row>
    <row r="3" spans="1:14" s="697" customFormat="1" ht="9.75" customHeight="1">
      <c r="A3" s="279"/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</row>
    <row r="4" spans="1:14" s="697" customFormat="1" ht="36.75" customHeight="1">
      <c r="A4" s="279"/>
      <c r="B4" s="1058" t="s">
        <v>81</v>
      </c>
      <c r="C4" s="1091"/>
      <c r="D4" s="1058" t="s">
        <v>82</v>
      </c>
      <c r="E4" s="279"/>
      <c r="F4" s="1091"/>
      <c r="G4" s="1091"/>
      <c r="H4" s="1091"/>
      <c r="I4" s="1091"/>
      <c r="J4" s="1091"/>
      <c r="K4" s="1058" t="s">
        <v>83</v>
      </c>
      <c r="L4" s="1091"/>
      <c r="M4" s="279"/>
      <c r="N4" s="1313">
        <f ca="1">TODAY()</f>
        <v>45385</v>
      </c>
    </row>
    <row r="5" spans="1:14" s="1060" customFormat="1" ht="36.75" customHeight="1" thickBot="1">
      <c r="A5" s="954"/>
      <c r="B5" s="1059"/>
      <c r="C5" s="1059"/>
      <c r="D5" s="954"/>
      <c r="E5" s="1059"/>
      <c r="F5" s="1059"/>
      <c r="G5" s="1059"/>
      <c r="H5" s="1059"/>
      <c r="I5" s="1059"/>
      <c r="J5" s="1059"/>
      <c r="K5" s="1059"/>
      <c r="L5" s="1059"/>
      <c r="M5" s="1059"/>
      <c r="N5" s="1059"/>
    </row>
    <row r="6" spans="1:14" s="1063" customFormat="1" ht="43.5" customHeight="1" thickTop="1" thickBot="1">
      <c r="A6" s="1080" t="s">
        <v>84</v>
      </c>
      <c r="B6" s="1061"/>
      <c r="C6" s="1061"/>
      <c r="D6" s="1062"/>
      <c r="E6" s="1062"/>
      <c r="F6" s="1062"/>
      <c r="G6" s="1062"/>
      <c r="H6" s="1062"/>
      <c r="I6" s="1062"/>
      <c r="J6" s="1062"/>
      <c r="K6" s="1062"/>
      <c r="L6" s="1062"/>
      <c r="M6" s="1062"/>
      <c r="N6" s="1062"/>
    </row>
    <row r="7" spans="1:14">
      <c r="A7" s="279"/>
      <c r="B7" s="1502" t="s">
        <v>85</v>
      </c>
      <c r="C7" s="1510"/>
      <c r="D7" s="1510"/>
      <c r="E7" s="1511"/>
      <c r="F7" s="1506" t="s">
        <v>86</v>
      </c>
      <c r="G7" s="279"/>
      <c r="H7" s="279"/>
      <c r="I7" s="1502" t="s">
        <v>87</v>
      </c>
      <c r="J7" s="1510"/>
      <c r="K7" s="1510"/>
      <c r="L7" s="164"/>
      <c r="M7" s="1506" t="s">
        <v>86</v>
      </c>
      <c r="N7" s="279"/>
    </row>
    <row r="8" spans="1:14" ht="26.25" customHeight="1" thickBot="1">
      <c r="A8" s="279"/>
      <c r="B8" s="1503"/>
      <c r="C8" s="1512"/>
      <c r="D8" s="1512"/>
      <c r="E8" s="1513"/>
      <c r="F8" s="1508"/>
      <c r="G8" s="279"/>
      <c r="H8" s="279"/>
      <c r="I8" s="1503"/>
      <c r="J8" s="1512"/>
      <c r="K8" s="1512"/>
      <c r="L8" s="166"/>
      <c r="M8" s="1507"/>
      <c r="N8" s="279"/>
    </row>
    <row r="9" spans="1:14">
      <c r="A9" s="279"/>
      <c r="B9" s="948" t="s">
        <v>88</v>
      </c>
      <c r="C9" s="1081"/>
      <c r="D9" s="1108" t="s">
        <v>209</v>
      </c>
      <c r="E9" s="957"/>
      <c r="F9" s="952"/>
      <c r="G9" s="279"/>
      <c r="H9" s="279"/>
      <c r="I9" s="950" t="s">
        <v>90</v>
      </c>
      <c r="J9" s="1414"/>
      <c r="K9" s="1415" t="s">
        <v>91</v>
      </c>
      <c r="L9" s="958"/>
      <c r="M9" s="1176">
        <f>IF(K17=Liste!E3, 0, IF('Outil simplifié'!K17=Liste!E8, SUM(Exploitation!C15:C21)/Exploitation!L12, Exploitation!N49*'Outil simplifié'!D12))</f>
        <v>9.65</v>
      </c>
      <c r="N9" s="279"/>
    </row>
    <row r="10" spans="1:14">
      <c r="A10" s="279"/>
      <c r="B10" s="185" t="s">
        <v>92</v>
      </c>
      <c r="C10" s="1082"/>
      <c r="D10" s="1109" t="s">
        <v>93</v>
      </c>
      <c r="E10" s="958"/>
      <c r="F10" s="1107"/>
      <c r="G10" s="279"/>
      <c r="H10" s="279"/>
      <c r="I10" s="165" t="str">
        <f>IF(K9=Liste!C3,"Sondes géothermiques","")</f>
        <v>Sondes géothermiques</v>
      </c>
      <c r="J10" s="1167"/>
      <c r="K10" s="1172">
        <v>300</v>
      </c>
      <c r="L10" s="166" t="str">
        <f>IF(K9=Liste!C3,"m","")</f>
        <v>m</v>
      </c>
      <c r="M10" s="1177">
        <f>IF(K9=Liste!C3,0.5*D12," ")</f>
        <v>482.5</v>
      </c>
      <c r="N10" s="279"/>
    </row>
    <row r="11" spans="1:14">
      <c r="A11" s="279"/>
      <c r="B11" s="186" t="s">
        <v>94</v>
      </c>
      <c r="C11" s="1106"/>
      <c r="D11" s="1110">
        <v>2030</v>
      </c>
      <c r="E11" s="956"/>
      <c r="F11" s="1484"/>
      <c r="G11" s="279"/>
      <c r="H11" s="279"/>
      <c r="I11" s="165" t="str">
        <f>IF(K9=Liste!C6,"Combustible"," ")</f>
        <v xml:space="preserve"> </v>
      </c>
      <c r="K11" s="1172" t="s">
        <v>95</v>
      </c>
      <c r="L11" s="166"/>
      <c r="M11" s="1178"/>
      <c r="N11" s="279"/>
    </row>
    <row r="12" spans="1:14">
      <c r="A12" s="279"/>
      <c r="B12" s="186" t="s">
        <v>96</v>
      </c>
      <c r="C12" s="1083"/>
      <c r="D12" s="1111">
        <v>965</v>
      </c>
      <c r="E12" s="956" t="s">
        <v>97</v>
      </c>
      <c r="F12" s="1114">
        <f>F13/D13</f>
        <v>3.1412760416666665</v>
      </c>
      <c r="G12" s="279"/>
      <c r="H12" s="279"/>
      <c r="I12" s="165" t="str">
        <f>IF(K9=Liste!C5,"Emissions kgCO2/kWh du CAD"," ")</f>
        <v xml:space="preserve"> </v>
      </c>
      <c r="J12" s="1221" t="str">
        <f>TEXT('Energie Energie'!K37,"0.000")</f>
        <v>0.067</v>
      </c>
      <c r="K12" s="1225"/>
      <c r="L12" s="166"/>
      <c r="M12" s="1177" t="s">
        <v>98</v>
      </c>
      <c r="N12" s="279"/>
    </row>
    <row r="13" spans="1:14">
      <c r="A13" s="279"/>
      <c r="B13" s="185" t="s">
        <v>99</v>
      </c>
      <c r="C13" s="1082"/>
      <c r="D13" s="1404">
        <v>3</v>
      </c>
      <c r="E13" s="958"/>
      <c r="F13" s="1483">
        <f>D12/102.4</f>
        <v>9.423828125</v>
      </c>
      <c r="G13" s="279"/>
      <c r="H13" s="279"/>
      <c r="I13" s="950" t="s">
        <v>100</v>
      </c>
      <c r="J13" s="1416"/>
      <c r="K13" s="1161">
        <v>200</v>
      </c>
      <c r="L13" s="958" t="s">
        <v>97</v>
      </c>
      <c r="M13" s="1116">
        <f>'Outil détaillé'!K28*0.8-K16</f>
        <v>287.14293854292737</v>
      </c>
      <c r="N13" s="279"/>
    </row>
    <row r="14" spans="1:14">
      <c r="A14" s="279"/>
      <c r="B14" s="185" t="s">
        <v>101</v>
      </c>
      <c r="C14" s="1082"/>
      <c r="D14" s="1275">
        <v>1.7</v>
      </c>
      <c r="E14" s="1482" t="s">
        <v>102</v>
      </c>
      <c r="F14" s="1115">
        <f>((SQRT(Hypothèses!D25)*4*'Outil simplifié'!D13*Hypothèses!D4)+(Hypothèses!D25*2))/'Outil simplifié'!D12</f>
        <v>1.3357469262636625</v>
      </c>
      <c r="G14" s="279"/>
      <c r="H14" s="279"/>
      <c r="I14" s="1170" t="s">
        <v>103</v>
      </c>
      <c r="J14" s="1166"/>
      <c r="K14" s="697">
        <f>K13*0.14</f>
        <v>28.000000000000004</v>
      </c>
      <c r="L14" s="959" t="s">
        <v>104</v>
      </c>
      <c r="M14" s="1176"/>
      <c r="N14" s="279"/>
    </row>
    <row r="15" spans="1:14">
      <c r="A15" s="279"/>
      <c r="B15" s="186" t="s">
        <v>105</v>
      </c>
      <c r="C15" s="1083"/>
      <c r="D15" s="963">
        <v>0.17</v>
      </c>
      <c r="E15" s="956"/>
      <c r="F15" s="953"/>
      <c r="G15" s="279"/>
      <c r="H15" s="279"/>
      <c r="I15" s="1171" t="s">
        <v>106</v>
      </c>
      <c r="J15" s="1166" t="str">
        <f>TEXT(Exploitation!L14,"0 %")</f>
        <v>56 %</v>
      </c>
      <c r="K15" s="1089"/>
      <c r="L15" s="166"/>
      <c r="M15" s="1176"/>
      <c r="N15" s="279"/>
    </row>
    <row r="16" spans="1:14">
      <c r="A16" s="290"/>
      <c r="B16" s="185" t="s">
        <v>107</v>
      </c>
      <c r="C16" s="1082"/>
      <c r="D16" s="1417">
        <v>0</v>
      </c>
      <c r="E16" s="958" t="s">
        <v>97</v>
      </c>
      <c r="F16" s="1116">
        <f>Hypothèses!D25</f>
        <v>321.66666666666669</v>
      </c>
      <c r="G16" s="279"/>
      <c r="H16" s="279"/>
      <c r="I16" s="948" t="s">
        <v>108</v>
      </c>
      <c r="J16" s="1081"/>
      <c r="K16" s="949">
        <v>10</v>
      </c>
      <c r="L16" s="957" t="s">
        <v>97</v>
      </c>
      <c r="M16" s="1223">
        <f>(Exploitation!C84*60%*'Outil simplifié'!D12)/Exploitation!L3</f>
        <v>25.476000000000003</v>
      </c>
      <c r="N16" s="279"/>
    </row>
    <row r="17" spans="1:27" ht="16.5" thickBot="1">
      <c r="A17" s="279"/>
      <c r="B17" s="184" t="s">
        <v>109</v>
      </c>
      <c r="C17" s="1084"/>
      <c r="D17" s="331">
        <v>0</v>
      </c>
      <c r="E17" s="168"/>
      <c r="F17" s="1117">
        <f>(D16/28)/F13</f>
        <v>0</v>
      </c>
      <c r="G17" s="279"/>
      <c r="H17" s="279"/>
      <c r="I17" s="184" t="s">
        <v>110</v>
      </c>
      <c r="J17" s="1084"/>
      <c r="K17" s="187" t="s">
        <v>220</v>
      </c>
      <c r="L17" s="964"/>
      <c r="M17" s="1224"/>
      <c r="N17" s="279"/>
    </row>
    <row r="18" spans="1:27">
      <c r="A18" s="279"/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</row>
    <row r="19" spans="1:27" ht="16.5" thickBot="1">
      <c r="A19" s="279"/>
      <c r="B19" s="279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</row>
    <row r="20" spans="1:27" ht="21">
      <c r="A20" s="279"/>
      <c r="B20" s="1502" t="s">
        <v>112</v>
      </c>
      <c r="C20" s="1119"/>
      <c r="D20" s="1188"/>
      <c r="E20" s="1061"/>
      <c r="F20" s="279"/>
      <c r="G20" s="279"/>
      <c r="H20" s="279"/>
      <c r="I20" s="1502" t="s">
        <v>113</v>
      </c>
      <c r="J20" s="1197"/>
      <c r="K20" s="1504"/>
      <c r="L20" s="1075"/>
      <c r="M20" s="279"/>
      <c r="N20" s="279"/>
    </row>
    <row r="21" spans="1:27" ht="21">
      <c r="A21" s="279"/>
      <c r="B21" s="1503"/>
      <c r="C21" s="1120"/>
      <c r="D21" s="1189"/>
      <c r="E21" s="1061"/>
      <c r="F21" s="279"/>
      <c r="G21" s="279"/>
      <c r="H21" s="279"/>
      <c r="I21" s="1503"/>
      <c r="J21" s="1106"/>
      <c r="K21" s="1505"/>
      <c r="L21" s="956"/>
      <c r="M21" s="279"/>
      <c r="N21" s="279"/>
    </row>
    <row r="22" spans="1:27" ht="18.75">
      <c r="A22" s="279"/>
      <c r="B22" s="183" t="s">
        <v>114</v>
      </c>
      <c r="C22" s="1186"/>
      <c r="D22" s="958"/>
      <c r="E22" s="279"/>
      <c r="F22" s="279"/>
      <c r="G22" s="279"/>
      <c r="H22" s="279"/>
      <c r="I22" s="165" t="str" cm="1">
        <f t="array" ref="I22">_xlfn.SWITCH(K17,Liste!E3,Liste!F3,Liste!E4,Liste!F4,Liste!E5,Liste!F4,Liste!E6,Liste!F4)</f>
        <v>Valeur indicative construction - Minergie</v>
      </c>
      <c r="K22" s="1183" cm="1">
        <f t="array" ref="K22">_xlfn.SWITCH(I22,Liste!F3,Cibles!B3,Liste!F4,Cibles!B10)</f>
        <v>12.810362694300517</v>
      </c>
      <c r="L22" s="959" t="s">
        <v>115</v>
      </c>
      <c r="M22" s="279"/>
      <c r="N22" s="279"/>
    </row>
    <row r="23" spans="1:27">
      <c r="A23" s="279"/>
      <c r="B23" s="170" t="s">
        <v>116</v>
      </c>
      <c r="C23" s="1187"/>
      <c r="D23" s="988" t="s">
        <v>117</v>
      </c>
      <c r="E23" s="279"/>
      <c r="F23" s="279"/>
      <c r="G23" s="279"/>
      <c r="H23" s="279"/>
      <c r="I23" s="1168" t="str" cm="1">
        <f t="array" ref="I23">_xlfn.SWITCH(K17,Liste!E3,Liste!G3,Liste!E4,Liste!G4,Liste!E5,Liste!G4,Liste!E6,Liste!G4)</f>
        <v xml:space="preserve"> </v>
      </c>
      <c r="J23" s="1106"/>
      <c r="K23" s="1106" t="str" cm="1">
        <f t="array" ref="K23">_xlfn.SWITCH(I22,Liste!F3,Cibles!B4,Liste!F4," ")</f>
        <v xml:space="preserve"> </v>
      </c>
      <c r="L23" s="1096" t="str" cm="1">
        <f t="array" ref="L23">_xlfn.SWITCH(I22,Liste!F3,"kgCO2éq/m2.an",Cibles!B4,Liste!F4," ")</f>
        <v xml:space="preserve"> </v>
      </c>
      <c r="M23" s="279"/>
      <c r="N23" s="279"/>
    </row>
    <row r="24" spans="1:27" ht="16.5" thickBot="1">
      <c r="A24" s="279"/>
      <c r="B24" s="170" t="s">
        <v>118</v>
      </c>
      <c r="C24" s="1187"/>
      <c r="D24" s="1190" t="s">
        <v>119</v>
      </c>
      <c r="E24" s="279"/>
      <c r="F24" s="279"/>
      <c r="G24" s="279"/>
      <c r="H24" s="279"/>
      <c r="I24" s="1411" t="s">
        <v>120</v>
      </c>
      <c r="J24" s="1169"/>
      <c r="K24" s="1169">
        <f>Cibles!B3+Cibles!B4</f>
        <v>11</v>
      </c>
      <c r="L24" s="964" t="s">
        <v>115</v>
      </c>
      <c r="M24" s="279"/>
      <c r="N24" s="279"/>
    </row>
    <row r="25" spans="1:27" ht="16.5" thickBot="1">
      <c r="A25" s="279"/>
      <c r="B25" s="170" t="s">
        <v>114</v>
      </c>
      <c r="C25" s="1187"/>
      <c r="D25" s="988" t="s">
        <v>121</v>
      </c>
      <c r="E25" s="279"/>
      <c r="F25" s="279"/>
      <c r="G25" s="279"/>
      <c r="H25" s="279"/>
      <c r="I25" s="279"/>
      <c r="J25" s="279"/>
      <c r="K25" s="279"/>
      <c r="L25" s="279"/>
      <c r="M25" s="279"/>
      <c r="N25" s="279"/>
    </row>
    <row r="26" spans="1:27" ht="15.95" customHeight="1">
      <c r="A26" s="279"/>
      <c r="B26" s="1090" t="s">
        <v>122</v>
      </c>
      <c r="C26" s="1418"/>
      <c r="D26" s="958"/>
      <c r="E26" s="279"/>
      <c r="F26" s="279"/>
      <c r="G26" s="279"/>
      <c r="H26" s="279"/>
      <c r="I26" s="1500" t="s">
        <v>123</v>
      </c>
      <c r="J26" s="1094"/>
      <c r="K26" s="1094"/>
      <c r="L26" s="1095"/>
      <c r="M26" s="1173"/>
      <c r="N26" s="279"/>
      <c r="U26" s="1093"/>
      <c r="V26" s="1093"/>
      <c r="W26" s="1093"/>
      <c r="X26" s="1093"/>
      <c r="Y26" s="1093"/>
      <c r="Z26" s="1093"/>
      <c r="AA26" s="1093"/>
    </row>
    <row r="27" spans="1:27" ht="18.399999999999999" customHeight="1" thickBot="1">
      <c r="A27" s="279"/>
      <c r="B27" s="170" t="s">
        <v>124</v>
      </c>
      <c r="C27" s="1187" t="s">
        <v>125</v>
      </c>
      <c r="D27" s="988" t="s">
        <v>126</v>
      </c>
      <c r="E27" s="279"/>
      <c r="F27" s="279"/>
      <c r="G27" s="279"/>
      <c r="H27" s="279"/>
      <c r="I27" s="1501"/>
      <c r="J27" s="1210"/>
      <c r="K27" s="1210"/>
      <c r="L27" s="1211"/>
      <c r="M27" s="1174"/>
      <c r="N27" s="279"/>
      <c r="Q27" s="1093"/>
    </row>
    <row r="28" spans="1:27" ht="15.75" customHeight="1">
      <c r="A28" s="279"/>
      <c r="B28" s="170" t="s">
        <v>127</v>
      </c>
      <c r="C28" s="1093" t="str" cm="1">
        <f t="array" ref="C28">_xlfn.SWITCH($D$27,Liste!$A16,Liste!B16,Liste!$A17,Liste!B17)</f>
        <v>Paroi en bois</v>
      </c>
      <c r="D28" s="1191"/>
      <c r="E28" s="279"/>
      <c r="F28" s="279"/>
      <c r="G28" s="279"/>
      <c r="H28" s="279"/>
      <c r="I28" s="1071" t="s">
        <v>128</v>
      </c>
      <c r="J28" s="1087"/>
      <c r="K28" s="1112">
        <v>500.09781828949548</v>
      </c>
      <c r="L28" s="959" t="s">
        <v>129</v>
      </c>
      <c r="M28" s="1497" t="s">
        <v>130</v>
      </c>
      <c r="N28" s="279"/>
    </row>
    <row r="29" spans="1:27" ht="15.75" customHeight="1">
      <c r="A29" s="279"/>
      <c r="B29" s="170" t="s">
        <v>131</v>
      </c>
      <c r="C29" s="1093" t="str" cm="1">
        <f t="array" ref="C29">_xlfn.SWITCH($D$27,Liste!$A16,Liste!C16,Liste!$A17,Liste!C17)</f>
        <v>Revêtement bois ventilé</v>
      </c>
      <c r="D29" s="1191"/>
      <c r="E29" s="279"/>
      <c r="F29" s="279"/>
      <c r="G29" s="279"/>
      <c r="H29" s="279"/>
      <c r="I29" s="1071" t="s">
        <v>132</v>
      </c>
      <c r="J29" s="1087"/>
      <c r="K29" s="1112">
        <v>17.571004426387681</v>
      </c>
      <c r="L29" s="959" t="s">
        <v>129</v>
      </c>
      <c r="M29" s="1498"/>
      <c r="N29" s="279"/>
    </row>
    <row r="30" spans="1:27">
      <c r="A30" s="279"/>
      <c r="B30" s="170" t="s">
        <v>133</v>
      </c>
      <c r="C30" s="1093" t="str" cm="1">
        <f t="array" ref="C30">_xlfn.SWITCH($D$27,Liste!$A16,Liste!J16,Liste!$A17,Liste!J17)</f>
        <v>Laine de roche</v>
      </c>
      <c r="D30" s="1194"/>
      <c r="E30" s="279"/>
      <c r="F30" s="279"/>
      <c r="G30" s="279"/>
      <c r="H30" s="279"/>
      <c r="I30" s="1071" t="s">
        <v>134</v>
      </c>
      <c r="J30" s="1087"/>
      <c r="K30" s="1112">
        <v>122.99703098471375</v>
      </c>
      <c r="L30" s="959" t="s">
        <v>129</v>
      </c>
      <c r="M30" s="1498"/>
      <c r="N30" s="279"/>
    </row>
    <row r="31" spans="1:27">
      <c r="A31" s="279"/>
      <c r="B31" s="170" t="s">
        <v>135</v>
      </c>
      <c r="C31" s="1093" t="str" cm="1">
        <f t="array" ref="C31">_xlfn.SWITCH($D$27,Liste!$A16,Liste!H16,Liste!$A17,Liste!H17)</f>
        <v>Plafond en bois massif</v>
      </c>
      <c r="D31" s="1191"/>
      <c r="E31" s="279"/>
      <c r="F31" s="279"/>
      <c r="G31" s="279"/>
      <c r="H31" s="279"/>
      <c r="I31" s="1071" t="s">
        <v>136</v>
      </c>
      <c r="J31" s="1087"/>
      <c r="K31" s="1112">
        <v>35.142008852775362</v>
      </c>
      <c r="L31" s="959" t="s">
        <v>129</v>
      </c>
      <c r="M31" s="1498"/>
      <c r="N31" s="279"/>
    </row>
    <row r="32" spans="1:27">
      <c r="A32" s="279"/>
      <c r="B32" s="170" t="s">
        <v>137</v>
      </c>
      <c r="C32" s="1093" t="str" cm="1">
        <f t="array" ref="C32">_xlfn.SWITCH($D$27,Liste!$A16,Liste!G16,Liste!$A17,Liste!G17)</f>
        <v>Toiture inclinée</v>
      </c>
      <c r="D32" s="1191"/>
      <c r="E32" s="279"/>
      <c r="F32" s="279"/>
      <c r="G32" s="279"/>
      <c r="H32" s="279"/>
      <c r="I32" s="1071" t="s">
        <v>138</v>
      </c>
      <c r="J32" s="1087"/>
      <c r="K32" s="1215">
        <v>84.47764187324826</v>
      </c>
      <c r="L32" s="959" t="s">
        <v>129</v>
      </c>
      <c r="M32" s="1498"/>
      <c r="N32" s="279"/>
    </row>
    <row r="33" spans="1:14">
      <c r="A33" s="279"/>
      <c r="B33" s="186" t="s">
        <v>139</v>
      </c>
      <c r="C33" s="1093" t="str" cm="1">
        <f t="array" ref="C33">_xlfn.SWITCH($D$27,Liste!$A16,Liste!K16,Liste!$A17,Liste!K17)</f>
        <v>Laine de roche</v>
      </c>
      <c r="D33" s="1195"/>
      <c r="E33" s="279"/>
      <c r="F33" s="279"/>
      <c r="G33" s="279"/>
      <c r="H33" s="279"/>
      <c r="I33" s="1216" t="s">
        <v>140</v>
      </c>
      <c r="J33" s="1419"/>
      <c r="K33" s="1420">
        <v>760.28550442662049</v>
      </c>
      <c r="L33" s="1217" t="s">
        <v>129</v>
      </c>
      <c r="M33" s="1498"/>
      <c r="N33" s="279"/>
    </row>
    <row r="34" spans="1:14" ht="18.75">
      <c r="A34" s="279"/>
      <c r="B34" s="1090" t="s">
        <v>141</v>
      </c>
      <c r="C34" s="1414"/>
      <c r="D34" s="958"/>
      <c r="E34" s="279"/>
      <c r="F34" s="279"/>
      <c r="G34" s="279"/>
      <c r="H34" s="279"/>
      <c r="I34" s="1212" t="s">
        <v>142</v>
      </c>
      <c r="J34" s="1213"/>
      <c r="K34" s="1214">
        <v>12.671425073777009</v>
      </c>
      <c r="L34" s="1096" t="s">
        <v>115</v>
      </c>
      <c r="M34" s="1498"/>
      <c r="N34" s="279"/>
    </row>
    <row r="35" spans="1:14" ht="16.5" thickBot="1">
      <c r="A35" s="279"/>
      <c r="B35" s="170" t="s">
        <v>143</v>
      </c>
      <c r="C35" s="1093" t="str" cm="1">
        <f t="array" ref="C35">_xlfn.SWITCH($D$27,Liste!$A16,Liste!D16,Liste!$A17,Liste!D17)</f>
        <v>Paroi CLT</v>
      </c>
      <c r="D35" s="1191"/>
      <c r="E35" s="279"/>
      <c r="F35" s="279"/>
      <c r="G35" s="279"/>
      <c r="H35" s="279"/>
      <c r="I35" s="1072" t="s">
        <v>144</v>
      </c>
      <c r="J35" s="1088"/>
      <c r="K35" s="1113">
        <f>K33*D12</f>
        <v>733675.51177168882</v>
      </c>
      <c r="L35" s="964" t="s">
        <v>145</v>
      </c>
      <c r="M35" s="1498"/>
      <c r="N35" s="279"/>
    </row>
    <row r="36" spans="1:14" ht="16.5" thickBot="1">
      <c r="A36" s="279"/>
      <c r="B36" s="184" t="s">
        <v>146</v>
      </c>
      <c r="C36" s="1192" t="str" cm="1">
        <f t="array" ref="C36">_xlfn.SWITCH($D$27,Liste!$A16,Liste!F16,Liste!$A17,Liste!F17)</f>
        <v>Système mixte bois-béton</v>
      </c>
      <c r="D36" s="1193"/>
      <c r="E36" s="279"/>
      <c r="F36" s="279"/>
      <c r="G36" s="279"/>
      <c r="H36" s="279"/>
      <c r="I36" s="279"/>
      <c r="J36" s="279"/>
      <c r="K36" s="279"/>
      <c r="L36" s="279"/>
      <c r="M36" s="1498"/>
      <c r="N36" s="279"/>
    </row>
    <row r="37" spans="1:14">
      <c r="A37" s="279"/>
      <c r="B37" s="279"/>
      <c r="C37" s="279"/>
      <c r="D37" s="279"/>
      <c r="E37" s="279"/>
      <c r="F37" s="279"/>
      <c r="G37" s="279"/>
      <c r="H37" s="279"/>
      <c r="I37" s="1070" t="s">
        <v>147</v>
      </c>
      <c r="J37" s="1086"/>
      <c r="K37" s="1074"/>
      <c r="L37" s="1075"/>
      <c r="M37" s="1498"/>
      <c r="N37" s="279"/>
    </row>
    <row r="38" spans="1:14">
      <c r="A38" s="279"/>
      <c r="B38" s="279"/>
      <c r="C38" s="279"/>
      <c r="D38" s="279"/>
      <c r="E38" s="279"/>
      <c r="F38" s="279"/>
      <c r="G38" s="279"/>
      <c r="H38" s="279"/>
      <c r="I38" s="1216" t="s">
        <v>148</v>
      </c>
      <c r="J38" s="1419"/>
      <c r="K38" s="1420">
        <v>2.9662592771834229</v>
      </c>
      <c r="L38" s="1217" t="s">
        <v>115</v>
      </c>
      <c r="M38" s="1498"/>
      <c r="N38" s="279"/>
    </row>
    <row r="39" spans="1:14">
      <c r="A39" s="279"/>
      <c r="B39" s="279"/>
      <c r="C39" s="279"/>
      <c r="D39" s="279"/>
      <c r="E39" s="279"/>
      <c r="F39" s="279"/>
      <c r="G39" s="279"/>
      <c r="H39" s="279"/>
      <c r="I39" s="1071" t="s">
        <v>149</v>
      </c>
      <c r="J39" s="697"/>
      <c r="K39" s="1112">
        <v>0.5502247414815159</v>
      </c>
      <c r="L39" s="959" t="s">
        <v>115</v>
      </c>
      <c r="M39" s="1498"/>
      <c r="N39" s="279"/>
    </row>
    <row r="40" spans="1:14" ht="16.5" thickBot="1">
      <c r="A40" s="279"/>
      <c r="B40" s="279"/>
      <c r="C40" s="279"/>
      <c r="D40" s="279"/>
      <c r="E40" s="279"/>
      <c r="F40" s="279"/>
      <c r="G40" s="1092"/>
      <c r="H40" s="1092"/>
      <c r="I40" s="1072" t="s">
        <v>150</v>
      </c>
      <c r="J40" s="1073"/>
      <c r="K40" s="1113">
        <v>1.1721613395549795</v>
      </c>
      <c r="L40" s="964" t="s">
        <v>115</v>
      </c>
      <c r="M40" s="1499"/>
      <c r="N40" s="279"/>
    </row>
    <row r="41" spans="1:14">
      <c r="A41" s="279"/>
      <c r="B41" s="279"/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/>
      <c r="N41" s="279"/>
    </row>
    <row r="42" spans="1:14">
      <c r="A42" s="279"/>
      <c r="B42" s="279"/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1092"/>
      <c r="N42" s="279"/>
    </row>
    <row r="43" spans="1:14" s="947" customFormat="1" ht="16.5" thickBot="1">
      <c r="A43" s="954"/>
      <c r="B43" s="954"/>
      <c r="C43" s="954"/>
      <c r="D43" s="954"/>
      <c r="E43" s="954"/>
      <c r="F43" s="954"/>
      <c r="G43" s="954"/>
      <c r="H43" s="954"/>
      <c r="I43" s="954"/>
      <c r="J43" s="954"/>
      <c r="K43" s="954"/>
      <c r="L43" s="954"/>
      <c r="M43" s="954"/>
      <c r="N43" s="954"/>
    </row>
    <row r="44" spans="1:14" ht="39" customHeight="1" thickTop="1" thickBot="1">
      <c r="A44" s="1080" t="s">
        <v>151</v>
      </c>
      <c r="B44" s="955"/>
      <c r="C44" s="955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</row>
    <row r="45" spans="1:14" s="697" customFormat="1" ht="21">
      <c r="A45" s="279"/>
      <c r="B45" s="1200" t="s">
        <v>152</v>
      </c>
      <c r="C45" s="1201"/>
      <c r="D45" s="1202"/>
      <c r="E45" s="1204"/>
      <c r="F45" s="1204"/>
      <c r="G45" s="1078"/>
      <c r="H45" s="279"/>
      <c r="I45" s="279"/>
      <c r="J45" s="279"/>
      <c r="K45" s="279"/>
      <c r="L45" s="279"/>
      <c r="M45" s="279"/>
      <c r="N45" s="279"/>
    </row>
    <row r="46" spans="1:14">
      <c r="A46" s="279"/>
      <c r="B46" s="1057" t="s">
        <v>153</v>
      </c>
      <c r="C46" s="279"/>
      <c r="D46" s="1198">
        <f ca="1">Décomposition!S277/Hypothèses!D12</f>
        <v>9.3391124249772357</v>
      </c>
      <c r="E46" s="988" t="s">
        <v>115</v>
      </c>
      <c r="F46" s="279"/>
      <c r="G46" s="988"/>
      <c r="H46" s="279"/>
      <c r="I46" s="279"/>
      <c r="J46" s="279"/>
      <c r="K46" s="279"/>
      <c r="L46" s="279"/>
      <c r="M46" s="279"/>
      <c r="N46" s="279"/>
    </row>
    <row r="47" spans="1:14">
      <c r="A47" s="279"/>
      <c r="B47" s="1205" t="s">
        <v>154</v>
      </c>
      <c r="C47" s="1203"/>
      <c r="D47" s="1206">
        <f>SUM(Graphes_Background!F23:F31)</f>
        <v>1.1661663754914491</v>
      </c>
      <c r="E47" s="990" t="s">
        <v>115</v>
      </c>
      <c r="F47" s="1203"/>
      <c r="G47" s="990"/>
      <c r="H47" s="279"/>
      <c r="I47" s="279"/>
      <c r="J47" s="279"/>
      <c r="K47" s="279"/>
      <c r="L47" s="279"/>
      <c r="M47" s="279"/>
      <c r="N47" s="279"/>
    </row>
    <row r="48" spans="1:14" ht="16.5" thickBot="1">
      <c r="A48" s="279"/>
      <c r="B48" s="1069" t="s">
        <v>155</v>
      </c>
      <c r="C48" s="1076"/>
      <c r="D48" s="1105">
        <f ca="1">D46+D47</f>
        <v>10.505278800468684</v>
      </c>
      <c r="E48" s="943" t="s">
        <v>115</v>
      </c>
      <c r="F48" s="1076"/>
      <c r="G48" s="943"/>
      <c r="H48" s="279"/>
      <c r="I48" s="279"/>
      <c r="J48" s="279"/>
      <c r="K48" s="279"/>
      <c r="L48" s="279"/>
      <c r="M48" s="279"/>
      <c r="N48" s="279"/>
    </row>
    <row r="49" spans="1:14" ht="15.6" customHeight="1">
      <c r="A49" s="279"/>
      <c r="B49" s="279"/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</row>
    <row r="50" spans="1:14" ht="16.5" thickBot="1">
      <c r="A50" s="279"/>
      <c r="B50" s="279"/>
      <c r="C50" s="279"/>
      <c r="D50" s="279"/>
      <c r="E50" s="279"/>
      <c r="F50" s="279"/>
      <c r="G50" s="279"/>
      <c r="H50" s="279"/>
      <c r="I50" s="279"/>
      <c r="J50" s="279"/>
      <c r="K50" s="279"/>
      <c r="L50" s="279"/>
      <c r="M50" s="279"/>
      <c r="N50" s="279"/>
    </row>
    <row r="51" spans="1:14" ht="21.75" thickBot="1">
      <c r="A51" s="279"/>
      <c r="B51" s="1208" t="s">
        <v>156</v>
      </c>
      <c r="C51" s="1209"/>
      <c r="D51" s="1209"/>
      <c r="E51" s="1209"/>
      <c r="F51" s="1199"/>
      <c r="G51" s="987"/>
      <c r="H51" s="279"/>
      <c r="I51" s="279"/>
      <c r="J51" s="279"/>
      <c r="K51" s="279"/>
      <c r="L51" s="279"/>
      <c r="M51" s="279"/>
      <c r="N51" s="279"/>
    </row>
    <row r="52" spans="1:14">
      <c r="A52" s="279"/>
      <c r="B52" s="1218" t="s">
        <v>157</v>
      </c>
      <c r="C52" s="1219"/>
      <c r="D52" s="1220">
        <f ca="1">Décomposition!N277</f>
        <v>306.20714320674057</v>
      </c>
      <c r="E52" s="1199" t="s">
        <v>129</v>
      </c>
      <c r="F52" s="1199"/>
      <c r="G52" s="987"/>
      <c r="H52" s="279"/>
      <c r="I52" s="279"/>
      <c r="J52" s="279"/>
      <c r="K52" s="279"/>
      <c r="L52" s="279"/>
      <c r="M52" s="279"/>
      <c r="N52" s="279"/>
    </row>
    <row r="53" spans="1:14">
      <c r="A53" s="279"/>
      <c r="B53" s="980" t="s">
        <v>158</v>
      </c>
      <c r="C53" s="1207"/>
      <c r="D53" s="985">
        <f ca="1">Décomposition!O277</f>
        <v>2.5787999999999998</v>
      </c>
      <c r="E53" s="279" t="s">
        <v>129</v>
      </c>
      <c r="F53" s="279"/>
      <c r="G53" s="988"/>
      <c r="H53" s="279"/>
      <c r="I53" s="279"/>
      <c r="J53" s="279"/>
      <c r="K53" s="279"/>
      <c r="L53" s="279"/>
      <c r="M53" s="279"/>
      <c r="N53" s="279"/>
    </row>
    <row r="54" spans="1:14">
      <c r="A54" s="279"/>
      <c r="B54" s="980" t="s">
        <v>159</v>
      </c>
      <c r="C54" s="1207"/>
      <c r="D54" s="985">
        <f ca="1">Décomposition!P277</f>
        <v>170.87518719615613</v>
      </c>
      <c r="E54" s="279" t="s">
        <v>129</v>
      </c>
      <c r="F54" s="279"/>
      <c r="G54" s="988"/>
      <c r="H54" s="279"/>
      <c r="I54" s="279"/>
      <c r="J54" s="279"/>
      <c r="K54" s="279"/>
      <c r="L54" s="279"/>
      <c r="M54" s="279"/>
      <c r="N54" s="279"/>
    </row>
    <row r="55" spans="1:14">
      <c r="A55" s="279"/>
      <c r="B55" s="980" t="s">
        <v>160</v>
      </c>
      <c r="C55" s="1207"/>
      <c r="D55" s="985">
        <f ca="1">Décomposition!Q277</f>
        <v>46.660331429002397</v>
      </c>
      <c r="E55" s="279" t="s">
        <v>129</v>
      </c>
      <c r="F55" s="279"/>
      <c r="G55" s="988"/>
      <c r="H55" s="279"/>
      <c r="I55" s="279"/>
      <c r="J55" s="279"/>
      <c r="K55" s="279"/>
      <c r="L55" s="279"/>
      <c r="M55" s="279"/>
      <c r="N55" s="279"/>
    </row>
    <row r="56" spans="1:14">
      <c r="A56" s="279"/>
      <c r="B56" s="980" t="s">
        <v>161</v>
      </c>
      <c r="C56" s="1207"/>
      <c r="D56" s="985">
        <f ca="1">Décomposition!R277</f>
        <v>34.025283666735142</v>
      </c>
      <c r="E56" s="279" t="s">
        <v>129</v>
      </c>
      <c r="F56" s="279"/>
      <c r="G56" s="988"/>
      <c r="H56" s="279"/>
      <c r="I56" s="279"/>
      <c r="J56" s="279"/>
      <c r="K56" s="279"/>
      <c r="L56" s="279"/>
      <c r="M56" s="279"/>
      <c r="N56" s="279"/>
    </row>
    <row r="57" spans="1:14">
      <c r="A57" s="279"/>
      <c r="B57" s="982" t="s">
        <v>140</v>
      </c>
      <c r="C57" s="1421"/>
      <c r="D57" s="1422">
        <f ca="1">Décomposition!S277</f>
        <v>560.34674549863416</v>
      </c>
      <c r="E57" s="1415" t="s">
        <v>129</v>
      </c>
      <c r="F57" s="1415"/>
      <c r="G57" s="989"/>
      <c r="H57" s="279"/>
      <c r="I57" s="279"/>
      <c r="J57" s="279"/>
      <c r="K57" s="279"/>
      <c r="L57" s="279"/>
      <c r="M57" s="279"/>
      <c r="N57" s="279"/>
    </row>
    <row r="58" spans="1:14">
      <c r="A58" s="279"/>
      <c r="B58" s="983" t="s">
        <v>142</v>
      </c>
      <c r="C58" s="1085"/>
      <c r="D58" s="986">
        <f ca="1">D57/60</f>
        <v>9.3391124249772357</v>
      </c>
      <c r="E58" s="1203" t="s">
        <v>115</v>
      </c>
      <c r="F58" s="1203"/>
      <c r="G58" s="990"/>
      <c r="H58" s="279"/>
      <c r="I58" s="279"/>
      <c r="J58" s="279"/>
      <c r="K58" s="279"/>
      <c r="L58" s="279"/>
      <c r="M58" s="279"/>
      <c r="N58" s="279"/>
    </row>
    <row r="59" spans="1:14" ht="16.5" thickBot="1">
      <c r="A59" s="279"/>
      <c r="B59" s="981" t="s">
        <v>162</v>
      </c>
      <c r="C59" s="1077"/>
      <c r="D59" s="984">
        <f ca="1">D57*D12</f>
        <v>540734.60940618196</v>
      </c>
      <c r="E59" s="1076" t="s">
        <v>145</v>
      </c>
      <c r="F59" s="1076"/>
      <c r="G59" s="943"/>
      <c r="H59" s="279"/>
      <c r="I59" s="279"/>
      <c r="J59" s="279"/>
      <c r="K59" s="279"/>
      <c r="L59" s="279"/>
      <c r="M59" s="279"/>
      <c r="N59" s="279"/>
    </row>
    <row r="60" spans="1:14" ht="16.5" thickBot="1">
      <c r="A60" s="279"/>
      <c r="B60" s="1207"/>
      <c r="C60" s="1207"/>
      <c r="D60" s="985"/>
      <c r="E60" s="279"/>
      <c r="F60" s="279"/>
      <c r="G60" s="279"/>
      <c r="H60" s="279"/>
      <c r="I60" s="279"/>
      <c r="J60" s="279"/>
      <c r="K60" s="279"/>
      <c r="L60" s="279"/>
      <c r="M60" s="279"/>
      <c r="N60" s="279"/>
    </row>
    <row r="61" spans="1:14">
      <c r="A61" s="279"/>
      <c r="B61" s="1218" t="s">
        <v>163</v>
      </c>
      <c r="C61" s="1219"/>
      <c r="D61" s="1219"/>
      <c r="E61" s="1199"/>
      <c r="F61" s="1199"/>
      <c r="G61" s="987"/>
      <c r="H61" s="279"/>
      <c r="I61" s="279"/>
      <c r="J61" s="279"/>
      <c r="K61" s="279"/>
      <c r="L61" s="279"/>
      <c r="M61" s="279"/>
      <c r="N61" s="279"/>
    </row>
    <row r="62" spans="1:14" ht="16.5" thickBot="1">
      <c r="A62" s="279"/>
      <c r="B62" s="1238" t="s">
        <v>148</v>
      </c>
      <c r="C62" s="1239"/>
      <c r="D62" s="1240">
        <f>D47</f>
        <v>1.1661663754914491</v>
      </c>
      <c r="E62" s="1241" t="s">
        <v>115</v>
      </c>
      <c r="F62" s="1241"/>
      <c r="G62" s="1242"/>
      <c r="H62" s="279"/>
      <c r="I62" s="279"/>
      <c r="J62" s="279"/>
      <c r="K62" s="279"/>
      <c r="L62" s="279"/>
      <c r="M62" s="279"/>
      <c r="N62" s="279"/>
    </row>
    <row r="63" spans="1:14">
      <c r="A63" s="279"/>
      <c r="B63" s="1207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</row>
    <row r="64" spans="1:14">
      <c r="A64" s="279"/>
      <c r="B64" s="1207"/>
      <c r="C64" s="279"/>
      <c r="D64" s="315"/>
      <c r="E64" s="279"/>
      <c r="F64" s="279"/>
      <c r="G64" s="279"/>
      <c r="H64" s="279"/>
      <c r="I64" s="279"/>
      <c r="J64" s="279"/>
      <c r="K64" s="279"/>
      <c r="L64" s="279"/>
      <c r="M64" s="279"/>
      <c r="N64" s="279"/>
    </row>
    <row r="65" spans="1:14">
      <c r="A65" s="279"/>
      <c r="B65" s="279"/>
      <c r="C65" s="279"/>
      <c r="D65" s="315"/>
      <c r="E65" s="279"/>
      <c r="F65" s="279"/>
      <c r="G65" s="279"/>
      <c r="H65" s="279"/>
      <c r="I65" s="279"/>
      <c r="J65" s="279"/>
      <c r="K65" s="279"/>
      <c r="L65" s="279"/>
      <c r="M65" s="279"/>
      <c r="N65" s="279"/>
    </row>
    <row r="66" spans="1:14">
      <c r="A66" s="279"/>
      <c r="B66" s="279"/>
      <c r="C66" s="279"/>
      <c r="D66" s="315"/>
      <c r="E66" s="279"/>
      <c r="F66" s="279"/>
      <c r="G66" s="279"/>
      <c r="H66" s="279"/>
      <c r="I66" s="279"/>
      <c r="J66" s="279"/>
      <c r="K66" s="279"/>
      <c r="L66" s="279"/>
      <c r="M66" s="279"/>
      <c r="N66" s="279"/>
    </row>
    <row r="67" spans="1:14">
      <c r="A67" s="279"/>
      <c r="B67" s="279"/>
      <c r="C67" s="279"/>
      <c r="D67" s="315"/>
      <c r="E67" s="279"/>
      <c r="F67" s="279"/>
      <c r="G67" s="279"/>
      <c r="H67" s="279"/>
      <c r="I67" s="279"/>
      <c r="J67" s="279"/>
      <c r="K67" s="279"/>
      <c r="L67" s="279"/>
      <c r="M67" s="279"/>
      <c r="N67" s="279"/>
    </row>
    <row r="68" spans="1:14">
      <c r="A68" s="279"/>
      <c r="B68" s="279"/>
      <c r="C68" s="279"/>
      <c r="D68" s="315"/>
      <c r="E68" s="279"/>
      <c r="F68" s="279"/>
      <c r="G68" s="279"/>
      <c r="H68" s="279"/>
      <c r="I68" s="279"/>
      <c r="J68" s="279"/>
      <c r="K68" s="279"/>
      <c r="L68" s="279"/>
      <c r="M68" s="279"/>
      <c r="N68" s="279"/>
    </row>
    <row r="69" spans="1:14">
      <c r="A69" s="279"/>
      <c r="B69" s="279"/>
      <c r="C69" s="279"/>
      <c r="D69" s="315"/>
      <c r="E69" s="279"/>
      <c r="F69" s="279"/>
      <c r="G69" s="279"/>
      <c r="H69" s="279"/>
      <c r="I69" s="279"/>
      <c r="J69" s="279"/>
      <c r="K69" s="279"/>
      <c r="L69" s="279"/>
      <c r="M69" s="279"/>
      <c r="N69" s="279"/>
    </row>
    <row r="70" spans="1:14">
      <c r="A70" s="279"/>
      <c r="B70" s="279"/>
      <c r="C70" s="279"/>
      <c r="D70" s="315"/>
      <c r="E70" s="279"/>
      <c r="F70" s="279"/>
      <c r="G70" s="279"/>
      <c r="H70" s="279"/>
      <c r="I70" s="279"/>
      <c r="J70" s="279"/>
      <c r="K70" s="279"/>
      <c r="L70" s="279"/>
      <c r="M70" s="279"/>
      <c r="N70" s="279"/>
    </row>
    <row r="71" spans="1:14">
      <c r="A71" s="279"/>
      <c r="B71" s="279"/>
      <c r="C71" s="279"/>
      <c r="D71" s="279"/>
      <c r="E71" s="279"/>
      <c r="F71" s="279"/>
      <c r="G71" s="279"/>
      <c r="H71" s="279"/>
      <c r="I71" s="279"/>
      <c r="J71" s="279"/>
      <c r="K71" s="279"/>
      <c r="L71" s="279"/>
      <c r="M71" s="1001"/>
      <c r="N71" s="279"/>
    </row>
    <row r="72" spans="1:14">
      <c r="A72" s="279"/>
      <c r="B72" s="279"/>
      <c r="C72" s="279"/>
      <c r="D72" s="279"/>
      <c r="E72" s="279"/>
      <c r="F72" s="279"/>
      <c r="G72" s="279"/>
      <c r="H72" s="279"/>
      <c r="I72" s="279"/>
      <c r="J72" s="279"/>
      <c r="K72" s="279"/>
      <c r="L72" s="279"/>
      <c r="M72" s="279"/>
      <c r="N72" s="279"/>
    </row>
    <row r="73" spans="1:14">
      <c r="A73" s="279"/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279"/>
      <c r="M73" s="279"/>
      <c r="N73" s="279"/>
    </row>
    <row r="74" spans="1:14">
      <c r="A74" s="279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</row>
    <row r="75" spans="1:14">
      <c r="A75" s="279"/>
      <c r="B75" s="279"/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</row>
    <row r="76" spans="1:14">
      <c r="A76" s="279"/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279"/>
      <c r="M76" s="279"/>
      <c r="N76" s="279"/>
    </row>
    <row r="77" spans="1:14">
      <c r="A77" s="279"/>
      <c r="B77" s="279"/>
      <c r="C77" s="279"/>
      <c r="D77" s="279"/>
      <c r="E77" s="279"/>
      <c r="F77" s="279"/>
      <c r="G77" s="279"/>
      <c r="H77" s="279"/>
      <c r="I77" s="279"/>
      <c r="J77" s="279"/>
      <c r="K77" s="279"/>
      <c r="L77" s="279"/>
      <c r="M77" s="279"/>
      <c r="N77" s="279"/>
    </row>
    <row r="78" spans="1:14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</row>
    <row r="79" spans="1:14">
      <c r="A79" s="279"/>
      <c r="B79" s="279"/>
      <c r="C79" s="279"/>
      <c r="D79" s="279"/>
      <c r="E79" s="279"/>
      <c r="F79" s="279"/>
      <c r="G79" s="279"/>
      <c r="H79" s="279"/>
      <c r="I79" s="279"/>
      <c r="J79" s="279"/>
      <c r="K79" s="279"/>
      <c r="L79" s="279"/>
      <c r="M79" s="279"/>
      <c r="N79" s="279"/>
    </row>
    <row r="80" spans="1:14">
      <c r="A80" s="279"/>
      <c r="B80" s="279"/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79"/>
      <c r="N80" s="279"/>
    </row>
    <row r="81" spans="1:14">
      <c r="A81" s="279"/>
      <c r="B81" s="279"/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79"/>
      <c r="N81" s="279"/>
    </row>
    <row r="82" spans="1:14">
      <c r="A82" s="279"/>
      <c r="B82" s="279"/>
      <c r="C82" s="279"/>
      <c r="D82" s="279"/>
      <c r="E82" s="279"/>
      <c r="F82" s="279"/>
      <c r="G82" s="279"/>
      <c r="H82" s="279"/>
      <c r="I82" s="279"/>
      <c r="J82" s="279"/>
      <c r="K82" s="279"/>
      <c r="L82" s="279"/>
      <c r="M82" s="279"/>
      <c r="N82" s="279"/>
    </row>
    <row r="83" spans="1:14">
      <c r="A83" s="279"/>
      <c r="B83" s="279"/>
      <c r="C83" s="279"/>
      <c r="D83" s="279"/>
      <c r="E83" s="279"/>
      <c r="F83" s="279"/>
      <c r="G83" s="279"/>
      <c r="H83" s="279"/>
      <c r="I83" s="279"/>
      <c r="J83" s="279"/>
      <c r="K83" s="279"/>
      <c r="L83" s="279"/>
      <c r="M83" s="279"/>
      <c r="N83" s="279"/>
    </row>
    <row r="84" spans="1:14">
      <c r="A84" s="279"/>
      <c r="B84" s="279"/>
      <c r="C84" s="279"/>
      <c r="D84" s="279"/>
      <c r="E84" s="279"/>
      <c r="F84" s="279"/>
      <c r="G84" s="279"/>
      <c r="H84" s="279"/>
      <c r="I84" s="279"/>
      <c r="J84" s="279"/>
      <c r="K84" s="279"/>
      <c r="L84" s="279"/>
      <c r="M84" s="279"/>
      <c r="N84" s="279"/>
    </row>
    <row r="85" spans="1:14">
      <c r="A85" s="279"/>
      <c r="B85" s="279"/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279"/>
      <c r="N85" s="279"/>
    </row>
    <row r="86" spans="1:14">
      <c r="A86" s="279"/>
      <c r="B86" s="279"/>
      <c r="C86" s="279"/>
      <c r="D86" s="279"/>
      <c r="E86" s="279"/>
      <c r="F86" s="279"/>
      <c r="G86" s="279"/>
      <c r="H86" s="279"/>
      <c r="I86" s="279"/>
      <c r="J86" s="279"/>
      <c r="K86" s="279"/>
      <c r="L86" s="279"/>
      <c r="M86" s="279"/>
      <c r="N86" s="279"/>
    </row>
    <row r="87" spans="1:14">
      <c r="A87" s="279"/>
      <c r="B87" s="279"/>
      <c r="C87" s="279"/>
      <c r="D87" s="279"/>
      <c r="E87" s="279"/>
      <c r="F87" s="279"/>
      <c r="G87" s="279"/>
      <c r="H87" s="279"/>
      <c r="I87" s="279"/>
      <c r="J87" s="279"/>
      <c r="K87" s="279"/>
      <c r="L87" s="279"/>
      <c r="M87" s="279"/>
      <c r="N87" s="279"/>
    </row>
    <row r="88" spans="1:14">
      <c r="A88" s="279"/>
      <c r="B88" s="279"/>
      <c r="C88" s="279"/>
      <c r="D88" s="279"/>
      <c r="E88" s="279"/>
      <c r="F88" s="279"/>
      <c r="G88" s="279"/>
      <c r="H88" s="279"/>
      <c r="I88" s="279"/>
      <c r="J88" s="279"/>
      <c r="K88" s="279"/>
      <c r="L88" s="279"/>
      <c r="M88" s="279"/>
      <c r="N88" s="279"/>
    </row>
    <row r="89" spans="1:14">
      <c r="A89" s="279"/>
      <c r="B89" s="279"/>
      <c r="C89" s="279"/>
      <c r="D89" s="279"/>
      <c r="E89" s="279"/>
      <c r="F89" s="279"/>
      <c r="G89" s="279"/>
      <c r="H89" s="279"/>
      <c r="I89" s="279"/>
      <c r="J89" s="279"/>
      <c r="K89" s="279"/>
      <c r="L89" s="279"/>
      <c r="M89" s="279"/>
      <c r="N89" s="279"/>
    </row>
    <row r="90" spans="1:14">
      <c r="A90" s="279"/>
      <c r="B90" s="279"/>
      <c r="C90" s="279"/>
      <c r="D90" s="279"/>
      <c r="E90" s="279"/>
      <c r="F90" s="279"/>
      <c r="G90" s="279"/>
      <c r="H90" s="279"/>
      <c r="I90" s="279"/>
      <c r="J90" s="279"/>
      <c r="K90" s="279"/>
      <c r="L90" s="279"/>
      <c r="M90" s="279"/>
      <c r="N90" s="279"/>
    </row>
    <row r="91" spans="1:14">
      <c r="A91" s="279"/>
      <c r="B91" s="279"/>
      <c r="C91" s="279"/>
      <c r="D91" s="279"/>
      <c r="E91" s="279"/>
      <c r="F91" s="279"/>
      <c r="G91" s="279"/>
      <c r="H91" s="279"/>
      <c r="I91" s="279"/>
      <c r="J91" s="279"/>
      <c r="K91" s="279"/>
      <c r="L91" s="279"/>
      <c r="M91" s="279"/>
      <c r="N91" s="279"/>
    </row>
    <row r="92" spans="1:14">
      <c r="A92" s="279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</row>
    <row r="93" spans="1:14">
      <c r="A93" s="279"/>
      <c r="B93" s="279"/>
      <c r="C93" s="279"/>
      <c r="D93" s="279"/>
      <c r="E93" s="279"/>
      <c r="F93" s="279"/>
      <c r="G93" s="279"/>
      <c r="H93" s="279"/>
      <c r="I93" s="279"/>
      <c r="J93" s="279"/>
      <c r="K93" s="279"/>
      <c r="L93" s="279"/>
      <c r="M93" s="279"/>
      <c r="N93" s="279"/>
    </row>
    <row r="94" spans="1:14">
      <c r="A94" s="279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79"/>
      <c r="N94" s="279"/>
    </row>
    <row r="95" spans="1:14">
      <c r="A95" s="279"/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</row>
    <row r="96" spans="1:14">
      <c r="A96" s="279"/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</row>
    <row r="97" spans="1:14">
      <c r="A97" s="279"/>
      <c r="B97" s="279"/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</row>
    <row r="98" spans="1:14">
      <c r="A98" s="279"/>
      <c r="B98" s="279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</row>
    <row r="99" spans="1:14">
      <c r="A99" s="279"/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</row>
    <row r="100" spans="1:14">
      <c r="A100" s="279"/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</row>
    <row r="101" spans="1:14">
      <c r="A101" s="279"/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</row>
    <row r="102" spans="1:14">
      <c r="A102" s="279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</row>
    <row r="103" spans="1:14" ht="21">
      <c r="A103" s="279"/>
      <c r="B103" s="955" t="s">
        <v>164</v>
      </c>
      <c r="C103" s="955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</row>
    <row r="104" spans="1:14">
      <c r="A104" s="279"/>
      <c r="B104" s="279"/>
      <c r="C104" s="279"/>
      <c r="D104" s="315">
        <f ca="1">MAX('List of materials'!C3:C49)</f>
        <v>68.196127652042179</v>
      </c>
      <c r="E104" s="279" t="s">
        <v>165</v>
      </c>
      <c r="F104" s="279"/>
      <c r="G104" s="279" t="s">
        <v>166</v>
      </c>
      <c r="H104" s="279"/>
      <c r="I104" s="279" t="str">
        <f ca="1">_xlfn.XLOOKUP(D104,'List of materials'!C:C,'List of materials'!B:B)</f>
        <v>Laine de roche</v>
      </c>
      <c r="J104" s="279"/>
      <c r="K104" s="279"/>
      <c r="L104" s="279"/>
      <c r="M104" s="279"/>
      <c r="N104" s="279"/>
    </row>
    <row r="105" spans="1:14">
      <c r="A105" s="279"/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</row>
    <row r="106" spans="1:14">
      <c r="A106" s="279"/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</row>
    <row r="107" spans="1:14">
      <c r="A107" s="279"/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</row>
    <row r="108" spans="1:14">
      <c r="A108" s="279"/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</row>
    <row r="109" spans="1:14">
      <c r="A109" s="279"/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</row>
    <row r="110" spans="1:14">
      <c r="A110" s="279"/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</row>
    <row r="111" spans="1:14">
      <c r="A111" s="279"/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</row>
    <row r="112" spans="1:14">
      <c r="A112" s="279"/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</row>
    <row r="113" spans="1:14">
      <c r="A113" s="279"/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</row>
    <row r="114" spans="1:14">
      <c r="A114" s="279"/>
      <c r="B114" s="279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</row>
    <row r="115" spans="1:14">
      <c r="A115" s="279"/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</row>
    <row r="116" spans="1:14">
      <c r="A116" s="279"/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</row>
    <row r="117" spans="1:14">
      <c r="A117" s="279"/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</row>
    <row r="118" spans="1:14">
      <c r="A118" s="279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</row>
    <row r="119" spans="1:14">
      <c r="A119" s="279"/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</row>
    <row r="120" spans="1:14">
      <c r="A120" s="279"/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</row>
    <row r="121" spans="1:14">
      <c r="A121" s="279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</row>
    <row r="122" spans="1:14">
      <c r="A122" s="279"/>
      <c r="B122" s="279"/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79"/>
      <c r="N122" s="279"/>
    </row>
    <row r="123" spans="1:14">
      <c r="A123" s="279"/>
      <c r="B123" s="279"/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79"/>
      <c r="N123" s="279"/>
    </row>
    <row r="124" spans="1:14">
      <c r="A124" s="279"/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</row>
    <row r="125" spans="1:14">
      <c r="A125" s="279"/>
      <c r="B125" s="279"/>
      <c r="C125" s="279"/>
      <c r="D125" s="279"/>
      <c r="E125" s="279"/>
      <c r="F125" s="279"/>
      <c r="G125" s="279"/>
      <c r="H125" s="279"/>
      <c r="I125" s="279"/>
      <c r="J125" s="279"/>
      <c r="K125" s="279"/>
      <c r="L125" s="279"/>
      <c r="M125" s="279"/>
      <c r="N125" s="279"/>
    </row>
    <row r="126" spans="1:14">
      <c r="A126" s="279"/>
      <c r="B126" s="279"/>
      <c r="C126" s="279"/>
      <c r="D126" s="279"/>
      <c r="E126" s="279"/>
      <c r="F126" s="279"/>
      <c r="G126" s="279"/>
      <c r="H126" s="279"/>
      <c r="I126" s="279"/>
      <c r="J126" s="279"/>
      <c r="K126" s="279"/>
      <c r="L126" s="279"/>
      <c r="M126" s="279"/>
      <c r="N126" s="279"/>
    </row>
    <row r="127" spans="1:14">
      <c r="A127" s="279"/>
      <c r="B127" s="279"/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79"/>
      <c r="N127" s="279"/>
    </row>
    <row r="128" spans="1:14">
      <c r="A128" s="279"/>
      <c r="B128" s="279"/>
      <c r="C128" s="279"/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</row>
    <row r="129" spans="1:14">
      <c r="A129" s="279"/>
      <c r="B129" s="279"/>
      <c r="C129" s="279"/>
      <c r="D129" s="279"/>
      <c r="E129" s="279"/>
      <c r="F129" s="279"/>
      <c r="G129" s="279"/>
      <c r="H129" s="279"/>
      <c r="I129" s="279"/>
      <c r="J129" s="279"/>
      <c r="K129" s="279"/>
      <c r="L129" s="279"/>
      <c r="M129" s="279"/>
      <c r="N129" s="279"/>
    </row>
    <row r="130" spans="1:14">
      <c r="A130" s="279"/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</row>
    <row r="131" spans="1:14">
      <c r="A131" s="279"/>
      <c r="B131" s="279"/>
      <c r="C131" s="279"/>
      <c r="D131" s="279"/>
      <c r="E131" s="279"/>
      <c r="F131" s="279"/>
      <c r="G131" s="279"/>
      <c r="H131" s="279"/>
      <c r="I131" s="279"/>
      <c r="J131" s="279"/>
      <c r="K131" s="279"/>
      <c r="L131" s="279"/>
      <c r="M131" s="279"/>
      <c r="N131" s="279"/>
    </row>
    <row r="132" spans="1:14">
      <c r="A132" s="279"/>
      <c r="B132" s="279"/>
      <c r="C132" s="279"/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</row>
    <row r="133" spans="1:14">
      <c r="A133" s="279"/>
      <c r="B133" s="279"/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</row>
    <row r="134" spans="1:14">
      <c r="A134" s="279"/>
      <c r="B134" s="279"/>
      <c r="C134" s="279"/>
      <c r="D134" s="279"/>
      <c r="E134" s="279"/>
      <c r="F134" s="279"/>
      <c r="G134" s="279"/>
      <c r="H134" s="279"/>
      <c r="I134" s="279"/>
      <c r="J134" s="279"/>
      <c r="K134" s="279"/>
      <c r="L134" s="279"/>
      <c r="M134" s="279"/>
      <c r="N134" s="279"/>
    </row>
    <row r="135" spans="1:14">
      <c r="A135" s="279"/>
      <c r="B135" s="279"/>
      <c r="C135" s="279"/>
      <c r="D135" s="279"/>
      <c r="E135" s="279"/>
      <c r="F135" s="279"/>
      <c r="G135" s="279"/>
      <c r="H135" s="279"/>
      <c r="I135" s="279"/>
      <c r="J135" s="279"/>
      <c r="K135" s="279"/>
      <c r="L135" s="279"/>
      <c r="M135" s="279"/>
      <c r="N135" s="279"/>
    </row>
    <row r="152" spans="1:14">
      <c r="B152" s="279"/>
      <c r="C152" s="279"/>
      <c r="D152" s="279"/>
      <c r="E152" s="279"/>
      <c r="F152" s="279"/>
      <c r="G152" s="279"/>
      <c r="H152" s="279"/>
      <c r="I152" s="279"/>
      <c r="J152" s="279"/>
      <c r="K152" s="279"/>
      <c r="L152" s="279"/>
      <c r="M152" s="279"/>
    </row>
    <row r="153" spans="1:14">
      <c r="A153" s="279"/>
      <c r="B153" s="279"/>
      <c r="C153" s="279"/>
      <c r="D153" s="279"/>
      <c r="E153" s="279"/>
      <c r="F153" s="279"/>
      <c r="G153" s="279"/>
      <c r="H153" s="279"/>
      <c r="I153" s="279"/>
      <c r="J153" s="279"/>
      <c r="K153" s="279"/>
      <c r="L153" s="279"/>
      <c r="M153" s="279"/>
      <c r="N153" s="279"/>
    </row>
    <row r="154" spans="1:14">
      <c r="A154" s="279"/>
      <c r="B154" s="279"/>
      <c r="C154" s="279"/>
      <c r="D154" s="279"/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</row>
    <row r="155" spans="1:14">
      <c r="A155" s="279"/>
      <c r="B155" s="279"/>
      <c r="C155" s="279"/>
      <c r="D155" s="279"/>
      <c r="E155" s="279"/>
      <c r="F155" s="279"/>
      <c r="G155" s="279"/>
      <c r="H155" s="279"/>
      <c r="I155" s="279"/>
      <c r="J155" s="279"/>
      <c r="K155" s="279"/>
      <c r="L155" s="279"/>
      <c r="M155" s="279"/>
      <c r="N155" s="279"/>
    </row>
    <row r="156" spans="1:14">
      <c r="A156" s="279"/>
      <c r="B156" s="279"/>
      <c r="C156" s="279"/>
      <c r="D156" s="279"/>
      <c r="E156" s="279"/>
      <c r="F156" s="279"/>
      <c r="G156" s="279"/>
      <c r="H156" s="279"/>
      <c r="I156" s="279"/>
      <c r="J156" s="279"/>
      <c r="K156" s="279"/>
      <c r="L156" s="279"/>
      <c r="M156" s="279"/>
      <c r="N156" s="279"/>
    </row>
    <row r="157" spans="1:14">
      <c r="A157" s="279"/>
      <c r="B157" s="279"/>
      <c r="C157" s="279"/>
      <c r="D157" s="279"/>
      <c r="E157" s="279"/>
      <c r="F157" s="279"/>
      <c r="G157" s="279"/>
      <c r="H157" s="279"/>
      <c r="I157" s="279"/>
      <c r="J157" s="279"/>
      <c r="K157" s="279"/>
      <c r="L157" s="279"/>
      <c r="M157" s="279"/>
      <c r="N157" s="279"/>
    </row>
    <row r="158" spans="1:14">
      <c r="A158" s="279"/>
      <c r="B158" s="279"/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</row>
    <row r="159" spans="1:14">
      <c r="A159" s="279"/>
      <c r="B159" s="279"/>
      <c r="C159" s="279"/>
      <c r="D159" s="279"/>
      <c r="E159" s="279"/>
      <c r="F159" s="279"/>
      <c r="G159" s="279"/>
      <c r="H159" s="279"/>
      <c r="I159" s="279"/>
      <c r="J159" s="279"/>
      <c r="K159" s="279"/>
      <c r="L159" s="279"/>
      <c r="M159" s="279"/>
      <c r="N159" s="279"/>
    </row>
    <row r="160" spans="1:14">
      <c r="A160" s="279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279"/>
      <c r="M160" s="279"/>
      <c r="N160" s="279"/>
    </row>
    <row r="161" spans="1:14">
      <c r="A161" s="279"/>
      <c r="B161" s="279"/>
      <c r="C161" s="279"/>
      <c r="D161" s="279"/>
      <c r="E161" s="279"/>
      <c r="F161" s="279"/>
      <c r="G161" s="279"/>
      <c r="H161" s="279"/>
      <c r="I161" s="279"/>
      <c r="J161" s="279"/>
      <c r="K161" s="279"/>
      <c r="L161" s="279"/>
      <c r="M161" s="279"/>
      <c r="N161" s="279"/>
    </row>
    <row r="162" spans="1:14">
      <c r="A162" s="279"/>
      <c r="B162" s="279"/>
      <c r="C162" s="279"/>
      <c r="D162" s="279"/>
      <c r="E162" s="279"/>
      <c r="F162" s="279"/>
      <c r="G162" s="279"/>
      <c r="H162" s="279"/>
      <c r="I162" s="279"/>
      <c r="J162" s="279"/>
      <c r="K162" s="279"/>
      <c r="L162" s="279"/>
      <c r="M162" s="279"/>
      <c r="N162" s="279"/>
    </row>
    <row r="163" spans="1:14">
      <c r="A163" s="279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279"/>
      <c r="M163" s="279"/>
      <c r="N163" s="279"/>
    </row>
    <row r="164" spans="1:14">
      <c r="A164" s="279"/>
      <c r="B164" s="279"/>
      <c r="C164" s="279"/>
      <c r="D164" s="279"/>
      <c r="E164" s="279"/>
      <c r="F164" s="279"/>
      <c r="G164" s="279"/>
      <c r="H164" s="279"/>
      <c r="I164" s="279"/>
      <c r="J164" s="279"/>
      <c r="K164" s="279"/>
      <c r="L164" s="279"/>
      <c r="M164" s="279"/>
      <c r="N164" s="279"/>
    </row>
    <row r="165" spans="1:14">
      <c r="A165" s="279"/>
      <c r="B165" s="279"/>
      <c r="C165" s="279"/>
      <c r="D165" s="279"/>
      <c r="E165" s="279"/>
      <c r="F165" s="279"/>
      <c r="G165" s="279"/>
      <c r="H165" s="279"/>
      <c r="I165" s="279"/>
      <c r="J165" s="279"/>
      <c r="K165" s="279"/>
      <c r="L165" s="279"/>
      <c r="M165" s="279"/>
      <c r="N165" s="279"/>
    </row>
    <row r="166" spans="1:14">
      <c r="A166" s="279"/>
      <c r="B166" s="279"/>
      <c r="C166" s="279"/>
      <c r="D166" s="279"/>
      <c r="E166" s="279"/>
      <c r="F166" s="279"/>
      <c r="G166" s="279"/>
      <c r="H166" s="279"/>
      <c r="I166" s="279"/>
      <c r="J166" s="279"/>
      <c r="K166" s="279"/>
      <c r="L166" s="279"/>
      <c r="M166" s="279"/>
      <c r="N166" s="279"/>
    </row>
    <row r="167" spans="1:14">
      <c r="A167" s="279"/>
      <c r="B167" s="279"/>
      <c r="C167" s="279"/>
      <c r="D167" s="279"/>
      <c r="E167" s="279"/>
      <c r="F167" s="279"/>
      <c r="G167" s="279"/>
      <c r="H167" s="279"/>
      <c r="I167" s="279"/>
      <c r="J167" s="279"/>
      <c r="K167" s="279"/>
      <c r="L167" s="279"/>
      <c r="M167" s="279"/>
      <c r="N167" s="279"/>
    </row>
    <row r="168" spans="1:14">
      <c r="A168" s="279"/>
      <c r="B168" s="279"/>
      <c r="C168" s="279"/>
      <c r="D168" s="279"/>
      <c r="E168" s="279"/>
      <c r="F168" s="279"/>
      <c r="G168" s="279"/>
      <c r="H168" s="279"/>
      <c r="I168" s="279"/>
      <c r="J168" s="279"/>
      <c r="K168" s="279"/>
      <c r="L168" s="279"/>
      <c r="M168" s="279"/>
      <c r="N168" s="279"/>
    </row>
    <row r="169" spans="1:14">
      <c r="A169" s="279"/>
      <c r="B169" s="279"/>
      <c r="C169" s="279"/>
      <c r="D169" s="279"/>
      <c r="E169" s="279"/>
      <c r="F169" s="279"/>
      <c r="G169" s="279"/>
      <c r="H169" s="279"/>
      <c r="I169" s="279"/>
      <c r="J169" s="279"/>
      <c r="K169" s="279"/>
      <c r="L169" s="279"/>
      <c r="M169" s="279"/>
      <c r="N169" s="279"/>
    </row>
    <row r="170" spans="1:14">
      <c r="A170" s="279"/>
      <c r="B170" s="279"/>
      <c r="C170" s="279"/>
      <c r="D170" s="279"/>
      <c r="E170" s="279"/>
      <c r="F170" s="279"/>
      <c r="G170" s="279"/>
      <c r="H170" s="279"/>
      <c r="I170" s="279"/>
      <c r="J170" s="279"/>
      <c r="K170" s="279"/>
      <c r="L170" s="279"/>
      <c r="M170" s="279"/>
      <c r="N170" s="279"/>
    </row>
    <row r="171" spans="1:14">
      <c r="A171" s="279"/>
      <c r="B171" s="279"/>
      <c r="C171" s="279"/>
      <c r="D171" s="279"/>
      <c r="E171" s="279"/>
      <c r="F171" s="279"/>
      <c r="G171" s="279"/>
      <c r="H171" s="279"/>
      <c r="I171" s="279"/>
      <c r="J171" s="279"/>
      <c r="K171" s="279"/>
      <c r="L171" s="279"/>
      <c r="M171" s="279"/>
      <c r="N171" s="279"/>
    </row>
    <row r="172" spans="1:14">
      <c r="A172" s="279"/>
      <c r="B172" s="279"/>
      <c r="C172" s="279"/>
      <c r="D172" s="279"/>
      <c r="E172" s="279"/>
      <c r="F172" s="279"/>
      <c r="G172" s="279"/>
      <c r="H172" s="279"/>
      <c r="I172" s="279"/>
      <c r="J172" s="279"/>
      <c r="K172" s="279"/>
      <c r="L172" s="279"/>
      <c r="M172" s="279"/>
      <c r="N172" s="279"/>
    </row>
    <row r="173" spans="1:14">
      <c r="A173" s="279"/>
      <c r="B173" s="279"/>
      <c r="C173" s="279"/>
      <c r="D173" s="279"/>
      <c r="E173" s="279"/>
      <c r="F173" s="279"/>
      <c r="G173" s="279"/>
      <c r="H173" s="279"/>
      <c r="I173" s="279"/>
      <c r="J173" s="279"/>
      <c r="K173" s="279"/>
      <c r="L173" s="279"/>
      <c r="M173" s="279"/>
      <c r="N173" s="279"/>
    </row>
    <row r="174" spans="1:14">
      <c r="A174" s="279"/>
      <c r="B174" s="279"/>
      <c r="C174" s="279"/>
      <c r="D174" s="279"/>
      <c r="E174" s="279"/>
      <c r="F174" s="279"/>
      <c r="G174" s="279"/>
      <c r="H174" s="279"/>
      <c r="I174" s="279"/>
      <c r="J174" s="279"/>
      <c r="K174" s="279"/>
      <c r="L174" s="279"/>
      <c r="M174" s="279"/>
      <c r="N174" s="279"/>
    </row>
    <row r="175" spans="1:14">
      <c r="A175" s="279"/>
      <c r="B175" s="279"/>
      <c r="C175" s="279"/>
      <c r="D175" s="279"/>
      <c r="E175" s="279"/>
      <c r="F175" s="279"/>
      <c r="G175" s="279"/>
      <c r="H175" s="279"/>
      <c r="I175" s="279"/>
      <c r="J175" s="279"/>
      <c r="K175" s="279"/>
      <c r="L175" s="279"/>
      <c r="M175" s="279"/>
      <c r="N175" s="279"/>
    </row>
    <row r="176" spans="1:14">
      <c r="A176" s="279"/>
      <c r="B176" s="279"/>
      <c r="C176" s="279"/>
      <c r="D176" s="279"/>
      <c r="E176" s="279"/>
      <c r="F176" s="279"/>
      <c r="G176" s="279"/>
      <c r="H176" s="279"/>
      <c r="I176" s="279"/>
      <c r="J176" s="279"/>
      <c r="K176" s="279"/>
      <c r="L176" s="279"/>
      <c r="M176" s="279"/>
      <c r="N176" s="279"/>
    </row>
    <row r="177" spans="1:14">
      <c r="A177" s="279"/>
      <c r="B177" s="279"/>
      <c r="C177" s="279"/>
      <c r="D177" s="279"/>
      <c r="E177" s="279"/>
      <c r="F177" s="279"/>
      <c r="G177" s="279"/>
      <c r="H177" s="279"/>
      <c r="I177" s="279"/>
      <c r="J177" s="279"/>
      <c r="K177" s="279"/>
      <c r="L177" s="279"/>
      <c r="M177" s="279"/>
      <c r="N177" s="279"/>
    </row>
    <row r="178" spans="1:14">
      <c r="A178" s="279"/>
      <c r="B178" s="279"/>
      <c r="C178" s="279"/>
      <c r="D178" s="279"/>
      <c r="E178" s="279"/>
      <c r="F178" s="279"/>
      <c r="G178" s="279"/>
      <c r="H178" s="279"/>
      <c r="I178" s="279"/>
      <c r="J178" s="279"/>
      <c r="K178" s="279"/>
      <c r="L178" s="279"/>
      <c r="M178" s="279"/>
      <c r="N178" s="279"/>
    </row>
    <row r="179" spans="1:14">
      <c r="A179" s="279"/>
      <c r="B179" s="279"/>
      <c r="C179" s="279"/>
      <c r="D179" s="279"/>
      <c r="E179" s="279"/>
      <c r="F179" s="279"/>
      <c r="G179" s="279"/>
      <c r="H179" s="279"/>
      <c r="I179" s="279"/>
      <c r="J179" s="279"/>
      <c r="K179" s="279"/>
      <c r="L179" s="279"/>
      <c r="M179" s="279"/>
      <c r="N179" s="279"/>
    </row>
    <row r="180" spans="1:14">
      <c r="A180" s="279"/>
      <c r="B180" s="279"/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</row>
    <row r="181" spans="1:14">
      <c r="A181" s="279"/>
      <c r="B181" s="279"/>
      <c r="C181" s="279"/>
      <c r="D181" s="279"/>
      <c r="E181" s="279"/>
      <c r="F181" s="279"/>
      <c r="G181" s="279"/>
      <c r="H181" s="279"/>
      <c r="I181" s="279"/>
      <c r="J181" s="279"/>
      <c r="K181" s="279"/>
      <c r="L181" s="279"/>
      <c r="M181" s="279"/>
      <c r="N181" s="279"/>
    </row>
    <row r="182" spans="1:14">
      <c r="A182" s="279"/>
      <c r="B182" s="279"/>
      <c r="C182" s="279"/>
      <c r="D182" s="279"/>
      <c r="E182" s="279"/>
      <c r="F182" s="279"/>
      <c r="G182" s="279"/>
      <c r="H182" s="279"/>
      <c r="I182" s="279"/>
      <c r="J182" s="279"/>
      <c r="K182" s="279"/>
      <c r="L182" s="279"/>
      <c r="M182" s="279"/>
      <c r="N182" s="279"/>
    </row>
    <row r="183" spans="1:14">
      <c r="A183" s="279"/>
      <c r="B183" s="279"/>
      <c r="C183" s="279"/>
      <c r="D183" s="279"/>
      <c r="E183" s="279"/>
      <c r="F183" s="279"/>
      <c r="G183" s="279"/>
      <c r="H183" s="279"/>
      <c r="I183" s="279"/>
      <c r="J183" s="279"/>
      <c r="K183" s="279"/>
      <c r="L183" s="279"/>
      <c r="M183" s="279"/>
      <c r="N183" s="279"/>
    </row>
    <row r="184" spans="1:14">
      <c r="A184" s="279"/>
      <c r="B184" s="279"/>
      <c r="C184" s="279"/>
      <c r="D184" s="279"/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</row>
    <row r="185" spans="1:14">
      <c r="A185" s="279"/>
      <c r="B185" s="279"/>
      <c r="C185" s="279"/>
      <c r="D185" s="279"/>
      <c r="E185" s="279"/>
      <c r="F185" s="279"/>
      <c r="G185" s="279"/>
      <c r="H185" s="279"/>
      <c r="I185" s="279"/>
      <c r="J185" s="279"/>
      <c r="K185" s="279"/>
      <c r="L185" s="279"/>
      <c r="M185" s="279"/>
      <c r="N185" s="279"/>
    </row>
    <row r="186" spans="1:14">
      <c r="A186" s="279"/>
      <c r="B186" s="279"/>
      <c r="C186" s="279"/>
      <c r="D186" s="279"/>
      <c r="E186" s="279"/>
      <c r="F186" s="279"/>
      <c r="G186" s="279"/>
      <c r="H186" s="279"/>
      <c r="I186" s="279"/>
      <c r="J186" s="279"/>
      <c r="K186" s="279"/>
      <c r="L186" s="279"/>
      <c r="M186" s="279"/>
      <c r="N186" s="279"/>
    </row>
    <row r="187" spans="1:14">
      <c r="A187" s="279"/>
      <c r="B187" s="279"/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</row>
    <row r="188" spans="1:14">
      <c r="A188" s="279"/>
      <c r="B188" s="279"/>
      <c r="C188" s="279"/>
      <c r="D188" s="279"/>
      <c r="E188" s="279"/>
      <c r="F188" s="279"/>
      <c r="G188" s="279"/>
      <c r="H188" s="279"/>
      <c r="I188" s="279"/>
      <c r="J188" s="279"/>
      <c r="K188" s="279"/>
      <c r="L188" s="279"/>
      <c r="M188" s="279"/>
      <c r="N188" s="279"/>
    </row>
    <row r="189" spans="1:14">
      <c r="A189" s="279"/>
      <c r="B189" s="279"/>
      <c r="C189" s="279"/>
      <c r="D189" s="279"/>
      <c r="E189" s="279"/>
      <c r="F189" s="279"/>
      <c r="G189" s="279"/>
      <c r="H189" s="279"/>
      <c r="I189" s="279"/>
      <c r="J189" s="279"/>
      <c r="K189" s="279"/>
      <c r="L189" s="279"/>
      <c r="M189" s="279"/>
      <c r="N189" s="279"/>
    </row>
    <row r="190" spans="1:14">
      <c r="A190" s="279"/>
      <c r="N190" s="279"/>
    </row>
  </sheetData>
  <customSheetViews>
    <customSheetView guid="{B32447E2-AB5B-4CBB-881B-FF11349CA4D6}" scale="85" hiddenRows="1">
      <selection activeCell="O48" sqref="O48"/>
      <pageMargins left="0" right="0" top="0" bottom="0" header="0" footer="0"/>
      <pageSetup paperSize="9" orientation="portrait" r:id="rId1"/>
    </customSheetView>
    <customSheetView guid="{9FA74287-E657-475B-BF4B-3C8C757714AE}" scale="85" hiddenRows="1">
      <selection activeCell="O48" sqref="O48"/>
      <pageMargins left="0" right="0" top="0" bottom="0" header="0" footer="0"/>
      <pageSetup paperSize="9" orientation="portrait" r:id="rId2"/>
    </customSheetView>
    <customSheetView guid="{54A7C567-FA7D-467E-B353-ECB5E61AE756}" scale="30" fitToPage="1" printArea="1" view="pageLayout">
      <selection activeCell="Q21" sqref="Q21"/>
      <rowBreaks count="1" manualBreakCount="1">
        <brk id="21" max="16383" man="1"/>
      </rowBreaks>
      <pageMargins left="0" right="0" top="0" bottom="0" header="0" footer="0"/>
      <pageSetup paperSize="9" scale="36" fitToWidth="0" orientation="landscape" r:id="rId3"/>
    </customSheetView>
  </customSheetViews>
  <mergeCells count="10">
    <mergeCell ref="M7:M8"/>
    <mergeCell ref="F7:F8"/>
    <mergeCell ref="A1:N2"/>
    <mergeCell ref="B7:E8"/>
    <mergeCell ref="I7:K8"/>
    <mergeCell ref="M28:M40"/>
    <mergeCell ref="I26:I27"/>
    <mergeCell ref="I20:I21"/>
    <mergeCell ref="K20:K21"/>
    <mergeCell ref="B20:B21"/>
  </mergeCells>
  <phoneticPr fontId="69" type="noConversion"/>
  <conditionalFormatting sqref="D14">
    <cfRule type="cellIs" dxfId="550" priority="33" operator="lessThan">
      <formula>$F$14</formula>
    </cfRule>
  </conditionalFormatting>
  <conditionalFormatting sqref="K16">
    <cfRule type="cellIs" dxfId="549" priority="970" operator="greaterThan">
      <formula>$M$16</formula>
    </cfRule>
  </conditionalFormatting>
  <conditionalFormatting sqref="D53">
    <cfRule type="cellIs" dxfId="548" priority="10" operator="greaterThan">
      <formula>$K$29</formula>
    </cfRule>
  </conditionalFormatting>
  <conditionalFormatting sqref="D54">
    <cfRule type="cellIs" dxfId="547" priority="9" operator="greaterThan">
      <formula>$K$30</formula>
    </cfRule>
  </conditionalFormatting>
  <conditionalFormatting sqref="D55">
    <cfRule type="cellIs" dxfId="546" priority="8" operator="greaterThan">
      <formula>$K$31</formula>
    </cfRule>
  </conditionalFormatting>
  <conditionalFormatting sqref="D56">
    <cfRule type="cellIs" dxfId="545" priority="7" operator="greaterThan">
      <formula>$K$32</formula>
    </cfRule>
  </conditionalFormatting>
  <conditionalFormatting sqref="D57">
    <cfRule type="cellIs" dxfId="544" priority="6" operator="greaterThan">
      <formula>$K$33</formula>
    </cfRule>
  </conditionalFormatting>
  <conditionalFormatting sqref="D58">
    <cfRule type="cellIs" dxfId="543" priority="5" operator="greaterThan">
      <formula>$K$34</formula>
    </cfRule>
  </conditionalFormatting>
  <conditionalFormatting sqref="D59">
    <cfRule type="cellIs" dxfId="542" priority="4" operator="greaterThan">
      <formula>$K$35</formula>
    </cfRule>
  </conditionalFormatting>
  <conditionalFormatting sqref="D48">
    <cfRule type="cellIs" dxfId="541" priority="974" operator="greaterThan">
      <formula>$K$24</formula>
    </cfRule>
  </conditionalFormatting>
  <conditionalFormatting sqref="D52">
    <cfRule type="cellIs" dxfId="540" priority="977" operator="greaterThan">
      <formula>$K$28</formula>
    </cfRule>
  </conditionalFormatting>
  <conditionalFormatting sqref="D62">
    <cfRule type="cellIs" dxfId="539" priority="985" operator="greaterThan">
      <formula>$K$38</formula>
    </cfRule>
  </conditionalFormatting>
  <conditionalFormatting sqref="D46">
    <cfRule type="cellIs" dxfId="538" priority="986" operator="greaterThan">
      <formula>$K$22</formula>
    </cfRule>
  </conditionalFormatting>
  <pageMargins left="0.25" right="0.25" top="0.75" bottom="0.75" header="0.3" footer="0.3"/>
  <pageSetup paperSize="9" scale="47" fitToHeight="0" orientation="portrait" r:id="rId4"/>
  <rowBreaks count="1" manualBreakCount="1">
    <brk id="43" max="16383" man="1"/>
  </rowBreaks>
  <drawing r:id="rId5"/>
  <legacyDrawing r:id="rId6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93E83815-2257-4D9B-84F8-BA1323C8C04D}">
            <xm:f>IF(K9=Liste!C3,"VRAI",)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K10</xm:sqref>
        </x14:conditionalFormatting>
        <x14:conditionalFormatting xmlns:xm="http://schemas.microsoft.com/office/excel/2006/main">
          <x14:cfRule type="expression" priority="14" id="{D4CAC74B-569F-40A9-B7BF-DF8EB69FEC79}">
            <xm:f>IF(K9=Liste!C6,"VRAI",)</xm:f>
            <x14:dxf>
              <font>
                <color theme="1"/>
              </font>
              <fill>
                <patternFill>
                  <fgColor auto="1"/>
                  <bgColor theme="0"/>
                </patternFill>
              </fill>
            </x14:dxf>
          </x14:cfRule>
          <xm:sqref>K11</xm:sqref>
        </x14:conditionalFormatting>
        <x14:conditionalFormatting xmlns:xm="http://schemas.microsoft.com/office/excel/2006/main">
          <x14:cfRule type="expression" priority="13" id="{7BCC6215-D3DC-4D7A-A85B-B1CDCF419B33}">
            <xm:f>IF(K9=Liste!$C$5,"VRAI",)</xm:f>
            <x14:dxf>
              <font>
                <color theme="1" tint="0.499984740745262"/>
              </font>
            </x14:dxf>
          </x14:cfRule>
          <xm:sqref>J12</xm:sqref>
        </x14:conditionalFormatting>
        <x14:conditionalFormatting xmlns:xm="http://schemas.microsoft.com/office/excel/2006/main">
          <x14:cfRule type="expression" priority="11" id="{4DAC8A2E-96FB-486B-98DA-3B940964789D}">
            <xm:f>IF(K9=Liste!$C$5,"VRAI",)</xm:f>
            <x14:dxf>
              <font>
                <color theme="1"/>
              </font>
              <fill>
                <patternFill>
                  <bgColor theme="9" tint="0.59996337778862885"/>
                </patternFill>
              </fill>
            </x14:dxf>
          </x14:cfRule>
          <xm:sqref>K12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7">
        <x14:dataValidation type="list" allowBlank="1" showInputMessage="1" showErrorMessage="1" xr:uid="{359B726E-A9EE-4D32-8B4D-078F9F1CBACB}">
          <x14:formula1>
            <xm:f>_xlfn.ANCHORARRAY(Liste!$B$45)</xm:f>
          </x14:formula1>
          <xm:sqref>D29</xm:sqref>
        </x14:dataValidation>
        <x14:dataValidation type="list" allowBlank="1" showInputMessage="1" showErrorMessage="1" xr:uid="{4F9C3F15-D7FF-4768-A484-87D413E1172B}">
          <x14:formula1>
            <xm:f>Liste!$E$3:$E$6</xm:f>
          </x14:formula1>
          <xm:sqref>K17</xm:sqref>
        </x14:dataValidation>
        <x14:dataValidation type="list" allowBlank="1" showInputMessage="1" showErrorMessage="1" xr:uid="{8FD21D03-6352-4D81-941B-AE5870402692}">
          <x14:formula1>
            <xm:f>Liste!$A$3:$A$4</xm:f>
          </x14:formula1>
          <xm:sqref>D9</xm:sqref>
        </x14:dataValidation>
        <x14:dataValidation type="list" allowBlank="1" showInputMessage="1" showErrorMessage="1" xr:uid="{258ECD15-158B-4FCC-AED2-C51DE2E0E981}">
          <x14:formula1>
            <xm:f>Liste!$B$3:$B$4</xm:f>
          </x14:formula1>
          <xm:sqref>D10</xm:sqref>
        </x14:dataValidation>
        <x14:dataValidation type="list" allowBlank="1" showInputMessage="1" showErrorMessage="1" xr:uid="{5549B6BE-719C-4043-8274-3C330B33D960}">
          <x14:formula1>
            <xm:f>Liste!$A$9:$A$11</xm:f>
          </x14:formula1>
          <xm:sqref>D25</xm:sqref>
        </x14:dataValidation>
        <x14:dataValidation type="list" allowBlank="1" showInputMessage="1" showErrorMessage="1" xr:uid="{FB7B1A16-2645-41B0-9D71-A620E84157A3}">
          <x14:formula1>
            <xm:f>Liste!$B$9:$B$10</xm:f>
          </x14:formula1>
          <xm:sqref>D23</xm:sqref>
        </x14:dataValidation>
        <x14:dataValidation type="list" allowBlank="1" showInputMessage="1" showErrorMessage="1" xr:uid="{B73A2DDB-7EAA-4C87-9109-C6D4C4864363}">
          <x14:formula1>
            <xm:f>Liste!$C$9:$C$10</xm:f>
          </x14:formula1>
          <xm:sqref>D24</xm:sqref>
        </x14:dataValidation>
        <x14:dataValidation type="list" allowBlank="1" showInputMessage="1" showErrorMessage="1" xr:uid="{8AD5C11E-7D4F-4ADF-960E-ACA06D575ABC}">
          <x14:formula1>
            <xm:f>Liste!$A$16:$A$17</xm:f>
          </x14:formula1>
          <xm:sqref>D27</xm:sqref>
        </x14:dataValidation>
        <x14:dataValidation type="list" allowBlank="1" showInputMessage="1" showErrorMessage="1" xr:uid="{B89F07E9-25D4-4682-9B62-43339F56FBBC}">
          <x14:formula1>
            <xm:f>Liste!$G$16:$G$17</xm:f>
          </x14:formula1>
          <xm:sqref>D32</xm:sqref>
        </x14:dataValidation>
        <x14:dataValidation type="list" allowBlank="1" showInputMessage="1" showErrorMessage="1" xr:uid="{75F81316-280B-4BBB-B5EB-F5FB7ED42365}">
          <x14:formula1>
            <xm:f>_xlfn.ANCHORARRAY(Liste!$C$63)</xm:f>
          </x14:formula1>
          <xm:sqref>D36</xm:sqref>
        </x14:dataValidation>
        <x14:dataValidation type="list" allowBlank="1" showInputMessage="1" showErrorMessage="1" xr:uid="{B9227941-EE3F-4673-9F6F-180C9F4BE4F4}">
          <x14:formula1>
            <xm:f>Liste!$C$3:$C$6</xm:f>
          </x14:formula1>
          <xm:sqref>K9</xm:sqref>
        </x14:dataValidation>
        <x14:dataValidation type="list" allowBlank="1" showInputMessage="1" showErrorMessage="1" xr:uid="{443F9F1D-0189-4935-B561-F0D89951D238}">
          <x14:formula1>
            <xm:f>Liste!$D$3:$D$6</xm:f>
          </x14:formula1>
          <xm:sqref>K11</xm:sqref>
        </x14:dataValidation>
        <x14:dataValidation type="list" allowBlank="1" showInputMessage="1" showErrorMessage="1" xr:uid="{BC325E4B-DD02-434E-A46A-902E470D63C4}">
          <x14:formula1>
            <xm:f>_xlfn.ANCHORARRAY(Liste!$I$45)</xm:f>
          </x14:formula1>
          <xm:sqref>D30</xm:sqref>
        </x14:dataValidation>
        <x14:dataValidation type="list" allowBlank="1" showInputMessage="1" showErrorMessage="1" xr:uid="{C85D8D90-82F7-4466-A972-1F68BC51B04F}">
          <x14:formula1>
            <xm:f>_xlfn.ANCHORARRAY(Liste!$A$45)</xm:f>
          </x14:formula1>
          <xm:sqref>D28</xm:sqref>
        </x14:dataValidation>
        <x14:dataValidation type="list" allowBlank="1" showInputMessage="1" showErrorMessage="1" xr:uid="{798C369D-4729-4ED0-A76F-C256C0F6F263}">
          <x14:formula1>
            <xm:f>_xlfn.ANCHORARRAY(Liste!$A$63)</xm:f>
          </x14:formula1>
          <xm:sqref>D35:D36</xm:sqref>
        </x14:dataValidation>
        <x14:dataValidation type="list" allowBlank="1" showInputMessage="1" showErrorMessage="1" xr:uid="{3F36146A-51DD-483F-88C9-E761701FD9BA}">
          <x14:formula1>
            <xm:f>_xlfn.ANCHORARRAY(Liste!$E$45)</xm:f>
          </x14:formula1>
          <xm:sqref>D31</xm:sqref>
        </x14:dataValidation>
        <x14:dataValidation type="list" allowBlank="1" showInputMessage="1" showErrorMessage="1" xr:uid="{13885146-8AD6-48D1-AB39-E6A2A4D1554E}">
          <x14:formula1>
            <xm:f>_xlfn.ANCHORARRAY(Liste!$G$45)</xm:f>
          </x14:formula1>
          <xm:sqref>D33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73075-22DF-4F8D-AF24-1A192DFDC348}">
  <sheetPr codeName="Feuil4">
    <tabColor theme="7"/>
  </sheetPr>
  <dimension ref="B2:J45"/>
  <sheetViews>
    <sheetView topLeftCell="A13" workbookViewId="0">
      <selection activeCell="D27" sqref="D27"/>
    </sheetView>
  </sheetViews>
  <sheetFormatPr baseColWidth="10" defaultColWidth="11" defaultRowHeight="15.75" outlineLevelRow="1"/>
  <cols>
    <col min="1" max="1" width="2.625" customWidth="1"/>
    <col min="2" max="2" width="31.25" bestFit="1" customWidth="1"/>
    <col min="3" max="3" width="30" customWidth="1"/>
    <col min="4" max="4" width="33.125" bestFit="1" customWidth="1"/>
    <col min="5" max="5" width="14" customWidth="1"/>
    <col min="6" max="6" width="14.125" customWidth="1"/>
    <col min="7" max="8" width="5.25" customWidth="1"/>
    <col min="10" max="10" width="8.75" customWidth="1"/>
  </cols>
  <sheetData>
    <row r="2" spans="2:10" ht="21">
      <c r="B2" s="189" t="s">
        <v>167</v>
      </c>
    </row>
    <row r="3" spans="2:10" ht="16.5" thickBot="1"/>
    <row r="4" spans="2:10">
      <c r="C4" s="272" t="s">
        <v>168</v>
      </c>
      <c r="D4" s="1423">
        <v>3</v>
      </c>
    </row>
    <row r="5" spans="2:10">
      <c r="C5" s="273"/>
      <c r="D5" s="192"/>
    </row>
    <row r="6" spans="2:10">
      <c r="C6" s="273" t="s">
        <v>169</v>
      </c>
      <c r="D6" s="1424">
        <v>0.4</v>
      </c>
      <c r="E6" t="s">
        <v>170</v>
      </c>
      <c r="J6" s="271"/>
    </row>
    <row r="7" spans="2:10">
      <c r="C7" s="273" t="s">
        <v>171</v>
      </c>
      <c r="D7" s="1424">
        <v>0.4</v>
      </c>
      <c r="E7" t="s">
        <v>170</v>
      </c>
    </row>
    <row r="8" spans="2:10" ht="16.5" thickBot="1">
      <c r="C8" s="274" t="s">
        <v>172</v>
      </c>
      <c r="D8" s="1425">
        <v>0.2</v>
      </c>
      <c r="H8" s="271"/>
    </row>
    <row r="10" spans="2:10" ht="21">
      <c r="B10" s="189" t="s">
        <v>173</v>
      </c>
    </row>
    <row r="11" spans="2:10" ht="16.5" thickBot="1"/>
    <row r="12" spans="2:10">
      <c r="C12" s="272" t="s">
        <v>174</v>
      </c>
      <c r="D12" s="191">
        <v>60</v>
      </c>
    </row>
    <row r="13" spans="2:10" ht="16.5" thickBot="1">
      <c r="C13" s="274" t="s">
        <v>175</v>
      </c>
      <c r="D13" s="188">
        <v>2022</v>
      </c>
    </row>
    <row r="17" spans="2:6" ht="16.5" thickBot="1"/>
    <row r="18" spans="2:6">
      <c r="C18" s="272" t="s">
        <v>176</v>
      </c>
      <c r="D18" s="191"/>
    </row>
    <row r="19" spans="2:6" ht="16.5" thickBot="1">
      <c r="C19" s="274" t="s">
        <v>177</v>
      </c>
      <c r="D19" s="188">
        <v>2022</v>
      </c>
    </row>
    <row r="22" spans="2:6" s="739" customFormat="1" ht="16.5" thickBot="1"/>
    <row r="23" spans="2:6" ht="16.5" outlineLevel="1" thickTop="1"/>
    <row r="24" spans="2:6" outlineLevel="1">
      <c r="B24" t="s">
        <v>178</v>
      </c>
      <c r="D24">
        <f>Hypothèses!D4</f>
        <v>3</v>
      </c>
    </row>
    <row r="25" spans="2:6" outlineLevel="1">
      <c r="B25" t="s">
        <v>179</v>
      </c>
      <c r="C25" s="1162" t="s">
        <v>180</v>
      </c>
      <c r="D25" s="1163">
        <f>'Outil simplifié'!D12/'Outil simplifié'!D13</f>
        <v>321.66666666666669</v>
      </c>
    </row>
    <row r="26" spans="2:6" outlineLevel="1">
      <c r="C26" s="163" t="s">
        <v>181</v>
      </c>
      <c r="D26" s="163">
        <f>D29*'Outil simplifié'!D15</f>
        <v>169.51833333333335</v>
      </c>
      <c r="E26" s="271">
        <f>SQRT(D27)</f>
        <v>0</v>
      </c>
      <c r="F26" s="271">
        <f>E26+1.6</f>
        <v>1.6</v>
      </c>
    </row>
    <row r="27" spans="2:6" outlineLevel="1">
      <c r="B27" t="s">
        <v>182</v>
      </c>
      <c r="C27" s="163" t="s">
        <v>183</v>
      </c>
      <c r="D27" s="163">
        <f>IF('Outil simplifié'!D17=0, 0, 'Outil simplifié'!D16/'Outil simplifié'!D17)</f>
        <v>0</v>
      </c>
      <c r="F27">
        <f>F26*F26</f>
        <v>2.5600000000000005</v>
      </c>
    </row>
    <row r="28" spans="2:6" outlineLevel="1">
      <c r="B28" t="s">
        <v>184</v>
      </c>
      <c r="D28" s="275">
        <f>MAX(D25,D27)</f>
        <v>321.66666666666669</v>
      </c>
    </row>
    <row r="29" spans="2:6" outlineLevel="1">
      <c r="C29" s="167" t="s">
        <v>185</v>
      </c>
      <c r="D29" s="1164">
        <f>('Outil simplifié'!D14*'Outil simplifié'!D12)-2*(D25)</f>
        <v>997.16666666666663</v>
      </c>
    </row>
    <row r="30" spans="2:6" outlineLevel="1">
      <c r="B30" t="s">
        <v>186</v>
      </c>
      <c r="C30" t="s">
        <v>187</v>
      </c>
      <c r="D30">
        <f>'Outil simplifié'!D14*'Outil simplifié'!D12</f>
        <v>1640.5</v>
      </c>
      <c r="E30" t="s">
        <v>188</v>
      </c>
      <c r="F30">
        <f>(D32/2)^2-4*D25</f>
        <v>1782.2881515775032</v>
      </c>
    </row>
    <row r="31" spans="2:6" outlineLevel="1">
      <c r="B31" t="s">
        <v>189</v>
      </c>
      <c r="C31" t="s">
        <v>190</v>
      </c>
      <c r="D31">
        <f>D30-D25*2</f>
        <v>997.16666666666663</v>
      </c>
    </row>
    <row r="32" spans="2:6" outlineLevel="1">
      <c r="C32" t="s">
        <v>191</v>
      </c>
      <c r="D32">
        <f>D31/3/'Outil simplifié'!D13</f>
        <v>110.79629629629629</v>
      </c>
    </row>
    <row r="33" spans="2:7" outlineLevel="1"/>
    <row r="34" spans="2:7" outlineLevel="1">
      <c r="B34" t="s">
        <v>192</v>
      </c>
      <c r="C34" t="s">
        <v>193</v>
      </c>
      <c r="D34">
        <f>(D32/2+SQRT(F30))/2</f>
        <v>48.807651427708677</v>
      </c>
    </row>
    <row r="35" spans="2:7" outlineLevel="1">
      <c r="C35" t="s">
        <v>194</v>
      </c>
      <c r="D35">
        <f>(D32/2-SQRT(F30))/2</f>
        <v>6.5904967204394644</v>
      </c>
    </row>
    <row r="36" spans="2:7" outlineLevel="1">
      <c r="B36" t="s">
        <v>195</v>
      </c>
      <c r="D36">
        <f>(D35+0.8*2)*(D34+0.8*2)</f>
        <v>412.86370370370361</v>
      </c>
    </row>
    <row r="37" spans="2:7" outlineLevel="1">
      <c r="B37" t="s">
        <v>196</v>
      </c>
      <c r="C37" t="s">
        <v>197</v>
      </c>
      <c r="D37">
        <f>D39*(D34+D39+0.8)*D39/3+D39*(D35+D39+0.8)*D39/3</f>
        <v>0</v>
      </c>
      <c r="G37">
        <f>0.8/3</f>
        <v>0.26666666666666666</v>
      </c>
    </row>
    <row r="38" spans="2:7" outlineLevel="1">
      <c r="B38" t="s">
        <v>117</v>
      </c>
      <c r="C38" t="s">
        <v>197</v>
      </c>
      <c r="D38">
        <f>D39*(D34+D39+0.8)*D39+D39*(D35+D39+0.8)*D39</f>
        <v>0</v>
      </c>
    </row>
    <row r="39" spans="2:7" ht="15" customHeight="1" outlineLevel="1">
      <c r="B39" t="s">
        <v>198</v>
      </c>
      <c r="D39">
        <f>D24*'Outil simplifié'!D17</f>
        <v>0</v>
      </c>
    </row>
    <row r="40" spans="2:7" s="1486" customFormat="1" outlineLevel="1">
      <c r="B40" s="1486" t="s">
        <v>199</v>
      </c>
      <c r="D40" s="1486">
        <v>60</v>
      </c>
    </row>
    <row r="42" spans="2:7" s="1486" customFormat="1" outlineLevel="1">
      <c r="B42" s="1486" t="s">
        <v>3819</v>
      </c>
      <c r="D42" s="1486">
        <f>IF(Hypothèses!D25&gt;900,2.5*4.8*D24*'Outil simplifié'!D13*2,2.5*4.8*D24*'Outil simplifié'!D13)</f>
        <v>108</v>
      </c>
    </row>
    <row r="43" spans="2:7" s="1486" customFormat="1" outlineLevel="1">
      <c r="B43" s="1487"/>
    </row>
    <row r="44" spans="2:7" s="1486" customFormat="1" outlineLevel="1"/>
    <row r="45" spans="2:7" s="1486" customFormat="1" outlineLevel="1"/>
  </sheetData>
  <customSheetViews>
    <customSheetView guid="{B32447E2-AB5B-4CBB-881B-FF11349CA4D6}" showPageBreaks="1" printArea="1" view="pageLayout">
      <selection activeCell="F14" sqref="F14"/>
      <pageMargins left="0" right="0" top="0" bottom="0" header="0" footer="0"/>
      <pageSetup paperSize="9" orientation="landscape" r:id="rId1"/>
    </customSheetView>
    <customSheetView guid="{9FA74287-E657-475B-BF4B-3C8C757714AE}" showPageBreaks="1" printArea="1">
      <selection sqref="A1:L31"/>
      <pageMargins left="0" right="0" top="0" bottom="0" header="0" footer="0"/>
      <pageSetup paperSize="9" orientation="landscape" r:id="rId2"/>
    </customSheetView>
    <customSheetView guid="{54A7C567-FA7D-467E-B353-ECB5E61AE756}">
      <selection activeCell="F6" sqref="F6:L8"/>
      <pageMargins left="0" right="0" top="0" bottom="0" header="0" footer="0"/>
      <pageSetup paperSize="9" orientation="landscape" r:id="rId3"/>
    </customSheetView>
  </customSheetViews>
  <pageMargins left="0" right="0" top="0" bottom="0" header="0" footer="0"/>
  <pageSetup paperSize="9" orientation="landscape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995AF-98F4-4CAC-97D9-E8307E20BD08}">
  <sheetPr codeName="Feuil6"/>
  <dimension ref="A1:F11"/>
  <sheetViews>
    <sheetView workbookViewId="0"/>
  </sheetViews>
  <sheetFormatPr baseColWidth="10" defaultColWidth="11" defaultRowHeight="15.75"/>
  <cols>
    <col min="5" max="5" width="11.25" bestFit="1" customWidth="1"/>
  </cols>
  <sheetData>
    <row r="1" spans="1:6">
      <c r="A1" t="s">
        <v>202</v>
      </c>
      <c r="B1" t="s">
        <v>203</v>
      </c>
      <c r="D1" t="s">
        <v>202</v>
      </c>
    </row>
    <row r="2" spans="1:6">
      <c r="A2">
        <v>2155</v>
      </c>
      <c r="B2">
        <v>80.7</v>
      </c>
      <c r="C2">
        <v>1739</v>
      </c>
      <c r="D2">
        <v>4745</v>
      </c>
      <c r="E2" s="171">
        <f>A2/D2*100</f>
        <v>45.416227608008427</v>
      </c>
      <c r="F2" s="171">
        <v>80.7</v>
      </c>
    </row>
    <row r="3" spans="1:6">
      <c r="A3">
        <v>4310</v>
      </c>
      <c r="B3">
        <v>58.9</v>
      </c>
      <c r="C3">
        <v>2538</v>
      </c>
      <c r="D3">
        <v>4745</v>
      </c>
      <c r="E3" s="171">
        <f t="shared" ref="E3:E11" si="0">A3/D3*100</f>
        <v>90.832455216016854</v>
      </c>
      <c r="F3" s="171">
        <v>58.9</v>
      </c>
    </row>
    <row r="4" spans="1:6">
      <c r="A4">
        <v>5388</v>
      </c>
      <c r="B4">
        <v>51.8</v>
      </c>
      <c r="C4">
        <v>2789</v>
      </c>
      <c r="D4">
        <v>4745</v>
      </c>
      <c r="E4" s="171">
        <f t="shared" si="0"/>
        <v>113.55110642781877</v>
      </c>
      <c r="F4" s="171">
        <v>51.8</v>
      </c>
    </row>
    <row r="5" spans="1:6">
      <c r="A5">
        <v>6466</v>
      </c>
      <c r="B5">
        <v>46.2</v>
      </c>
      <c r="C5">
        <v>2989</v>
      </c>
      <c r="D5">
        <v>4745</v>
      </c>
      <c r="E5" s="171">
        <f t="shared" si="0"/>
        <v>136.26975763962065</v>
      </c>
      <c r="F5" s="171">
        <v>46.2</v>
      </c>
    </row>
    <row r="6" spans="1:6">
      <c r="A6">
        <v>10776</v>
      </c>
      <c r="B6">
        <v>32.6</v>
      </c>
      <c r="C6">
        <v>3511</v>
      </c>
      <c r="D6">
        <v>4745</v>
      </c>
      <c r="E6" s="171">
        <f t="shared" si="0"/>
        <v>227.10221285563753</v>
      </c>
      <c r="F6" s="171">
        <v>32.6</v>
      </c>
    </row>
    <row r="7" spans="1:6">
      <c r="A7">
        <v>21552</v>
      </c>
      <c r="B7">
        <v>19.2</v>
      </c>
      <c r="C7">
        <v>4145</v>
      </c>
      <c r="D7">
        <v>4745</v>
      </c>
      <c r="E7" s="171">
        <f t="shared" si="0"/>
        <v>454.20442571127506</v>
      </c>
      <c r="F7" s="171">
        <v>19.2</v>
      </c>
    </row>
    <row r="8" spans="1:6">
      <c r="A8">
        <v>26940</v>
      </c>
      <c r="B8">
        <v>16.100000000000001</v>
      </c>
      <c r="C8">
        <v>4329</v>
      </c>
      <c r="D8">
        <v>4745</v>
      </c>
      <c r="E8" s="171">
        <f t="shared" si="0"/>
        <v>567.75553213909382</v>
      </c>
      <c r="F8" s="171">
        <v>16.100000000000001</v>
      </c>
    </row>
    <row r="9" spans="1:6">
      <c r="A9">
        <v>161641</v>
      </c>
      <c r="B9" s="275">
        <f>D9/A9*100</f>
        <v>2.9355175976392127</v>
      </c>
      <c r="C9">
        <v>5523</v>
      </c>
      <c r="D9">
        <v>4745</v>
      </c>
      <c r="E9" s="171"/>
      <c r="F9" s="171"/>
    </row>
    <row r="10" spans="1:6">
      <c r="E10" s="171"/>
      <c r="F10" s="171"/>
    </row>
    <row r="11" spans="1:6">
      <c r="A11">
        <v>2155</v>
      </c>
      <c r="B11">
        <v>98.9</v>
      </c>
      <c r="D11">
        <v>13870</v>
      </c>
      <c r="E11" s="171">
        <f t="shared" si="0"/>
        <v>15.537130497476568</v>
      </c>
      <c r="F11" s="171">
        <v>98.9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992C9-60BD-42F9-A6FE-48B498842FC8}">
  <sheetPr codeName="Feuil7"/>
  <dimension ref="A1:M75"/>
  <sheetViews>
    <sheetView topLeftCell="F1" workbookViewId="0">
      <selection activeCell="K18" sqref="K18"/>
    </sheetView>
  </sheetViews>
  <sheetFormatPr baseColWidth="10" defaultColWidth="11" defaultRowHeight="15.75"/>
  <cols>
    <col min="1" max="1" width="48" bestFit="1" customWidth="1"/>
    <col min="2" max="2" width="63" bestFit="1" customWidth="1"/>
    <col min="3" max="4" width="53.125" bestFit="1" customWidth="1"/>
    <col min="5" max="5" width="59.625" bestFit="1" customWidth="1"/>
    <col min="6" max="6" width="53.125" bestFit="1" customWidth="1"/>
    <col min="7" max="7" width="59" bestFit="1" customWidth="1"/>
    <col min="8" max="8" width="26.375" customWidth="1"/>
    <col min="9" max="9" width="23.125" customWidth="1"/>
    <col min="12" max="12" width="19.375" bestFit="1" customWidth="1"/>
    <col min="14" max="14" width="14.5" bestFit="1" customWidth="1"/>
    <col min="15" max="15" width="11.25" bestFit="1" customWidth="1"/>
  </cols>
  <sheetData>
    <row r="1" spans="1:11" s="612" customFormat="1">
      <c r="A1" s="612" t="s">
        <v>204</v>
      </c>
    </row>
    <row r="2" spans="1:11">
      <c r="A2" s="697" t="s">
        <v>88</v>
      </c>
      <c r="B2" s="697" t="s">
        <v>92</v>
      </c>
      <c r="C2" s="697" t="s">
        <v>205</v>
      </c>
      <c r="D2" s="697" t="s">
        <v>206</v>
      </c>
      <c r="E2" s="697" t="s">
        <v>207</v>
      </c>
      <c r="F2" s="697" t="s">
        <v>208</v>
      </c>
      <c r="G2" s="697" t="s">
        <v>208</v>
      </c>
    </row>
    <row r="3" spans="1:11">
      <c r="A3" t="s">
        <v>209</v>
      </c>
      <c r="B3" t="s">
        <v>93</v>
      </c>
      <c r="C3" t="s">
        <v>91</v>
      </c>
      <c r="D3" t="s">
        <v>95</v>
      </c>
      <c r="E3" t="s">
        <v>111</v>
      </c>
      <c r="F3" t="s">
        <v>210</v>
      </c>
      <c r="G3" t="s">
        <v>211</v>
      </c>
    </row>
    <row r="4" spans="1:11">
      <c r="A4" t="s">
        <v>89</v>
      </c>
      <c r="B4" t="s">
        <v>212</v>
      </c>
      <c r="C4" t="s">
        <v>213</v>
      </c>
      <c r="D4" t="s">
        <v>214</v>
      </c>
      <c r="E4" t="s">
        <v>215</v>
      </c>
      <c r="F4" t="s">
        <v>216</v>
      </c>
      <c r="G4" t="s">
        <v>217</v>
      </c>
    </row>
    <row r="5" spans="1:11">
      <c r="C5" t="s">
        <v>218</v>
      </c>
      <c r="D5" t="s">
        <v>219</v>
      </c>
      <c r="E5" t="s">
        <v>220</v>
      </c>
    </row>
    <row r="6" spans="1:11">
      <c r="C6" t="s">
        <v>221</v>
      </c>
      <c r="D6" t="s">
        <v>222</v>
      </c>
      <c r="E6" t="s">
        <v>223</v>
      </c>
    </row>
    <row r="7" spans="1:11" ht="16.5" customHeight="1"/>
    <row r="8" spans="1:11" ht="16.5" customHeight="1">
      <c r="A8" s="697" t="s">
        <v>114</v>
      </c>
      <c r="B8" s="697" t="s">
        <v>116</v>
      </c>
      <c r="C8" s="697" t="s">
        <v>118</v>
      </c>
      <c r="D8" s="697" t="s">
        <v>224</v>
      </c>
    </row>
    <row r="9" spans="1:11" ht="16.5" customHeight="1">
      <c r="A9" t="str">
        <f>'Enveloppe du bâtiment sout.'!A4</f>
        <v>non-isolés</v>
      </c>
      <c r="B9" t="s">
        <v>225</v>
      </c>
      <c r="C9" t="s">
        <v>119</v>
      </c>
      <c r="D9" t="s">
        <v>226</v>
      </c>
    </row>
    <row r="10" spans="1:11" ht="16.5" customHeight="1">
      <c r="A10" t="str">
        <f>'Enveloppe du bâtiment sout.'!A9</f>
        <v>isolés, XPS</v>
      </c>
      <c r="B10" t="s">
        <v>117</v>
      </c>
      <c r="C10" t="s">
        <v>227</v>
      </c>
      <c r="D10" t="s">
        <v>228</v>
      </c>
    </row>
    <row r="11" spans="1:11" ht="16.5" customHeight="1">
      <c r="A11" t="str">
        <f>'Enveloppe du bâtiment sout.'!A17</f>
        <v>isolés, Verre cellulaire</v>
      </c>
    </row>
    <row r="12" spans="1:11" ht="16.5" customHeight="1"/>
    <row r="13" spans="1:11" ht="16.5" customHeight="1"/>
    <row r="14" spans="1:11" s="612" customFormat="1">
      <c r="A14" s="612" t="s">
        <v>229</v>
      </c>
    </row>
    <row r="15" spans="1:11" ht="16.5" customHeight="1">
      <c r="A15" s="697" t="s">
        <v>200</v>
      </c>
      <c r="B15" s="697" t="s">
        <v>230</v>
      </c>
      <c r="C15" s="697" t="s">
        <v>231</v>
      </c>
      <c r="D15" s="697" t="s">
        <v>232</v>
      </c>
      <c r="E15" s="697" t="s">
        <v>233</v>
      </c>
      <c r="F15" s="697" t="s">
        <v>234</v>
      </c>
      <c r="G15" s="697" t="s">
        <v>235</v>
      </c>
      <c r="H15" s="697" t="s">
        <v>236</v>
      </c>
      <c r="I15" s="697" t="s">
        <v>237</v>
      </c>
      <c r="J15" s="697" t="s">
        <v>238</v>
      </c>
      <c r="K15" s="697" t="s">
        <v>239</v>
      </c>
    </row>
    <row r="16" spans="1:11" ht="16.5" customHeight="1">
      <c r="A16" t="s">
        <v>240</v>
      </c>
      <c r="B16" t="str">
        <f>'Enveloppe du bâtiment hors terr'!A4</f>
        <v>Paroi en béton</v>
      </c>
      <c r="C16" t="str">
        <f>'Enveloppe du bâtiment hors terr'!A27</f>
        <v>Crépis extérieur</v>
      </c>
      <c r="D16" t="str">
        <f>'Eléments de constr. inté. et ex'!A5</f>
        <v>Béton</v>
      </c>
      <c r="E16" t="str">
        <f>'Eléments de constr. inté. et ex'!A25</f>
        <v>Cloison légère</v>
      </c>
      <c r="F16" t="str">
        <f>'Eléments de constr. inté. et ex'!A40</f>
        <v>Dalle en béton 25cm</v>
      </c>
      <c r="G16" t="str">
        <f>'Enveloppe du bâtiment hors terr'!A155</f>
        <v>Toiture plate</v>
      </c>
      <c r="H16" t="str">
        <f>'Enveloppe du bâtiment hors terr'!A120</f>
        <v>Dalle en béton 25cm</v>
      </c>
      <c r="J16" t="s">
        <v>809</v>
      </c>
      <c r="K16" t="s">
        <v>226</v>
      </c>
    </row>
    <row r="17" spans="1:11" ht="16.5" customHeight="1">
      <c r="A17" t="s">
        <v>126</v>
      </c>
      <c r="B17" t="str">
        <f>'Enveloppe du bâtiment hors terr'!A9</f>
        <v>Paroi en bois</v>
      </c>
      <c r="C17" t="str">
        <f>'Enveloppe du bâtiment hors terr'!A35</f>
        <v>Revêtement bois ventilé</v>
      </c>
      <c r="D17" t="str">
        <f>'Eléments de constr. inté. et ex'!A10</f>
        <v>Paroi CLT</v>
      </c>
      <c r="E17" t="str">
        <f>'Eléments de constr. inté. et ex'!A25</f>
        <v>Cloison légère</v>
      </c>
      <c r="F17" t="str">
        <f>'Eléments de constr. inté. et ex'!A55</f>
        <v>Système mixte bois-béton</v>
      </c>
      <c r="G17" t="str">
        <f>'Enveloppe du bâtiment hors terr'!A163</f>
        <v>Toiture inclinée</v>
      </c>
      <c r="H17" t="str">
        <f>'Enveloppe du bâtiment hors terr'!A125</f>
        <v>Plafond en bois massif</v>
      </c>
      <c r="J17" t="s">
        <v>812</v>
      </c>
      <c r="K17" t="s">
        <v>812</v>
      </c>
    </row>
    <row r="18" spans="1:11" ht="16.5" customHeight="1"/>
    <row r="19" spans="1:11" ht="16.5" customHeight="1"/>
    <row r="20" spans="1:11" ht="16.5" customHeight="1"/>
    <row r="21" spans="1:11" s="1165" customFormat="1">
      <c r="A21" s="1165" t="s">
        <v>241</v>
      </c>
    </row>
    <row r="22" spans="1:11" s="612" customFormat="1">
      <c r="A22" s="612" t="s">
        <v>242</v>
      </c>
    </row>
    <row r="23" spans="1:11" s="622" customFormat="1">
      <c r="A23" s="623" t="str">
        <f>'Travaux préparatoires'!A7</f>
        <v>Blindage / Pieux</v>
      </c>
    </row>
    <row r="24" spans="1:11" s="622" customFormat="1">
      <c r="A24" s="622" t="str">
        <f>'Travaux préparatoires'!A8</f>
        <v>Baugrubenabschluss / Blindage de fouille</v>
      </c>
      <c r="B24" s="622" t="str">
        <f>'Travaux préparatoires'!A18</f>
        <v>Pfählung / Pieux</v>
      </c>
    </row>
    <row r="25" spans="1:11">
      <c r="A25" t="str" cm="1">
        <f t="array" ref="A25:A27">_xlfn.UNIQUE(_xlfn._xlws.FILTER('Travaux préparatoires'!A9:A17,NOT(ISBLANK('Travaux préparatoires'!A9:A17))))</f>
        <v>Blindage de fouille, paroi berlinoise, étayé</v>
      </c>
      <c r="B25" t="str" cm="1">
        <f t="array" ref="B25:B27">_xlfn.UNIQUE(_xlfn._xlws.FILTER('Travaux préparatoires'!A19:A24,NOT(ISBLANK('Travaux préparatoires'!A19:A24))))</f>
        <v xml:space="preserve">Fondations profondes, micropieu </v>
      </c>
    </row>
    <row r="26" spans="1:11">
      <c r="A26" t="str">
        <v>Blindage de fouille, paroi moulée, 400 mm</v>
      </c>
      <c r="B26" t="str">
        <v>Fondations profondes, pieux forés vissés, 660/580 mm</v>
      </c>
    </row>
    <row r="27" spans="1:11">
      <c r="A27" t="str">
        <v>Blindage de fouille, paroi de palplanche, en porte-à-faux</v>
      </c>
      <c r="B27" t="str">
        <v>Fondations profondes, pieu en béton préfabriqué</v>
      </c>
    </row>
    <row r="32" spans="1:11" s="612" customFormat="1">
      <c r="A32" s="612" t="s">
        <v>243</v>
      </c>
    </row>
    <row r="33" spans="1:10">
      <c r="A33" s="143" t="s">
        <v>244</v>
      </c>
      <c r="B33" s="143" t="s">
        <v>245</v>
      </c>
      <c r="C33" s="143" t="s">
        <v>246</v>
      </c>
    </row>
    <row r="34" spans="1:10">
      <c r="A34" t="str" cm="1">
        <f t="array" ref="A34:A36">_xlfn.UNIQUE(_xlfn._xlws.FILTER('Enveloppe du bâtiment sout.'!A4:A25,NOT(ISBLANK('Enveloppe du bâtiment sout.'!A4:A25))))</f>
        <v>non-isolés</v>
      </c>
      <c r="B34" t="str" cm="1">
        <f t="array" ref="B34:B36">_xlfn.UNIQUE(_xlfn._xlws.FILTER('Enveloppe du bâtiment sout.'!A27:A51,NOT(ISBLANK('Enveloppe du bâtiment sout.'!A27:A51))))</f>
        <v>non-isolés</v>
      </c>
      <c r="C34" t="str" cm="1">
        <f t="array" ref="C34:C36">_xlfn.UNIQUE(_xlfn._xlws.FILTER('Enveloppe du bâtiment sout.'!A53:A87,NOT(ISBLANK('Enveloppe du bâtiment sout.'!A53:A87))))</f>
        <v>non-isolés</v>
      </c>
    </row>
    <row r="35" spans="1:10">
      <c r="A35" t="str">
        <v>isolés, XPS</v>
      </c>
      <c r="B35" t="str">
        <v>isolés, XPS</v>
      </c>
      <c r="C35" t="str">
        <v>isolés, XPS</v>
      </c>
    </row>
    <row r="36" spans="1:10">
      <c r="A36" t="str">
        <v>isolés, Verre cellulaire</v>
      </c>
      <c r="B36" t="str">
        <v>isolés, Verre cellulaire</v>
      </c>
      <c r="C36" t="str">
        <v>isolés, Verre cellulaire</v>
      </c>
    </row>
    <row r="43" spans="1:10" s="612" customFormat="1">
      <c r="A43" s="612" t="s">
        <v>49</v>
      </c>
    </row>
    <row r="44" spans="1:10">
      <c r="A44" s="143" t="str">
        <f>'Enveloppe du bâtiment hors terr'!A3</f>
        <v>Parois extérieures hors terrain</v>
      </c>
      <c r="B44" s="143" t="str">
        <f>'Enveloppe du bâtiment hors terr'!A25</f>
        <v>Revêtements de facades</v>
      </c>
      <c r="C44" s="143" t="str">
        <f>'Enveloppe du bâtiment hors terr'!A92</f>
        <v>Fenêtres</v>
      </c>
      <c r="D44" s="143" t="str">
        <f>'Enveloppe du bâtiment hors terr'!A114</f>
        <v>Portes</v>
      </c>
      <c r="E44" s="143" t="str">
        <f>'Enveloppe du bâtiment hors terr'!A118</f>
        <v>Toitures (structure porteuse)</v>
      </c>
      <c r="F44" s="143" t="str">
        <f>'Enveloppe du bâtiment hors terr'!A153</f>
        <v>Couvertures du toit</v>
      </c>
      <c r="G44" s="143" t="s">
        <v>247</v>
      </c>
      <c r="H44" s="143" t="str">
        <f>'Enveloppe du bâtiment hors terr'!A207</f>
        <v>Pilier</v>
      </c>
      <c r="I44" s="143" t="s">
        <v>133</v>
      </c>
      <c r="J44" s="143"/>
    </row>
    <row r="45" spans="1:10">
      <c r="A45" t="str" cm="1">
        <f t="array" ref="A45:A49">_xlfn.UNIQUE(_xlfn._xlws.FILTER('Enveloppe du bâtiment hors terr'!A4:A24,NOT(ISBLANK('Enveloppe du bâtiment hors terr'!A4:A24))))</f>
        <v>Paroi en béton</v>
      </c>
      <c r="B45" t="str" cm="1">
        <f t="array" ref="B45:B52">_xlfn.UNIQUE(_xlfn._xlws.FILTER('Enveloppe du bâtiment hors terr'!A26:A81,NOT(ISBLANK('Enveloppe du bâtiment hors terr'!A26:A81))))</f>
        <v>Crépis extérieur</v>
      </c>
      <c r="C45" t="str" cm="1">
        <f t="array" ref="C45:C48">_xlfn.UNIQUE(_xlfn._xlws.FILTER('Enveloppe du bâtiment hors terr'!A93:A113,NOT(ISBLANK('Enveloppe du bâtiment hors terr'!A93:A113))))</f>
        <v>Triple vitrage isolant, cadre PVC, y c. protection solaire</v>
      </c>
      <c r="D45" t="str" cm="1">
        <f t="array" ref="D45">_xlfn.UNIQUE(_xlfn._xlws.FILTER('Enveloppe du bâtiment hors terr'!A115:A117,NOT(ISBLANK('Enveloppe du bâtiment hors terr'!A115:A117))))</f>
        <v>Porte extérieure</v>
      </c>
      <c r="E45" t="str" cm="1">
        <f t="array" ref="E45:E50">_xlfn.UNIQUE(_xlfn._xlws.FILTER('Enveloppe du bâtiment hors terr'!A119:A152,NOT(ISBLANK('Enveloppe du bâtiment hors terr'!A119:A152))))</f>
        <v>Dalle en béton 25cm</v>
      </c>
      <c r="F45" t="str" cm="1">
        <f t="array" ref="F45:F48">_xlfn.UNIQUE(_xlfn._xlws.FILTER('Enveloppe du bâtiment hors terr'!A154:A182,NOT(ISBLANK('Enveloppe du bâtiment hors terr'!A154:A182))))</f>
        <v>Toiture plate</v>
      </c>
      <c r="G45" t="str" cm="1">
        <f t="array" ref="G45:G50">_xlfn.UNIQUE(_xlfn._xlws.FILTER('Enveloppe du bâtiment hors terr'!A184:A195,NOT(ISBLANK('Enveloppe du bâtiment hors terr'!A184:A195))))</f>
        <v>EPS</v>
      </c>
      <c r="H45" t="str" cm="1">
        <f t="array" ref="H45:H46">_xlfn.UNIQUE(_xlfn._xlws.FILTER('Enveloppe du bâtiment hors terr'!A208:A218,NOT(ISBLANK('Enveloppe du bâtiment hors terr'!A208:A218))))</f>
        <v>Pilier en béton coulé sur place</v>
      </c>
      <c r="I45" t="str" cm="1">
        <f t="array" ref="I45:I48">_xlfn.UNIQUE(_xlfn._xlws.FILTER('Enveloppe du bâtiment hors terr'!A83:A90,NOT(ISBLANK('Enveloppe du bâtiment hors terr'!A83:A90))))</f>
        <v>EPS</v>
      </c>
    </row>
    <row r="46" spans="1:10">
      <c r="A46" t="str">
        <v>Paroi en bois</v>
      </c>
      <c r="B46" t="str">
        <v>Revêtement bois ventilé</v>
      </c>
      <c r="C46" t="str">
        <v>Triple vitrage isolant, cadre bois-métal, y c. protection solaire</v>
      </c>
      <c r="E46" t="str">
        <v>Plafond en bois massif</v>
      </c>
      <c r="F46" t="str">
        <v>Toiture inclinée</v>
      </c>
      <c r="G46" t="str">
        <v>Laine de roche</v>
      </c>
      <c r="H46" t="str">
        <v>Support préfabriqué</v>
      </c>
      <c r="I46" t="str">
        <v>Laine de roche</v>
      </c>
    </row>
    <row r="47" spans="1:10">
      <c r="A47" t="str">
        <v>Paroi en brique en terre cuite</v>
      </c>
      <c r="B47" t="str">
        <v>Mur double paroi - extérieure 12.5cm, Laine de roche</v>
      </c>
      <c r="C47" t="str">
        <v>Triple vitrage isolant, cadre bois y c. protection solaire</v>
      </c>
      <c r="E47" t="str">
        <v>Dalle en béton 40cm</v>
      </c>
      <c r="F47" t="str">
        <v>Toiture plate non isolée</v>
      </c>
      <c r="G47" t="str">
        <v>Laine de verre</v>
      </c>
      <c r="I47" t="str">
        <v>Laine de roche, pour revêtement crépi</v>
      </c>
    </row>
    <row r="48" spans="1:10">
      <c r="A48" t="str">
        <v>Paroi en briques pour double paroi en briques</v>
      </c>
      <c r="B48" t="str">
        <v>Revêtement Fibrociment</v>
      </c>
      <c r="C48" t="str">
        <v>Protection solaire</v>
      </c>
      <c r="E48" t="str">
        <v>Plafond solivage</v>
      </c>
      <c r="F48" t="str">
        <v>Toiture inclinée non isolée</v>
      </c>
      <c r="G48" t="str">
        <v>XPS</v>
      </c>
      <c r="I48" t="str">
        <v>Laine de verre</v>
      </c>
    </row>
    <row r="49" spans="1:13">
      <c r="A49" t="str">
        <v>Maconnerie monolithique isolante</v>
      </c>
      <c r="B49" t="str">
        <v>Revêtement Pierre naturelle</v>
      </c>
      <c r="E49" t="str">
        <v>Plafond incliné en bois</v>
      </c>
      <c r="G49" t="str">
        <v>PUR</v>
      </c>
    </row>
    <row r="50" spans="1:13">
      <c r="B50" t="str">
        <v>Revêtements métal</v>
      </c>
      <c r="E50" t="str">
        <v>Tôle ondulée-béton</v>
      </c>
      <c r="G50" t="str">
        <v>Paille</v>
      </c>
    </row>
    <row r="51" spans="1:13">
      <c r="B51" t="str">
        <v>Revêtements verre</v>
      </c>
    </row>
    <row r="52" spans="1:13">
      <c r="B52" t="str">
        <v>Crépis extérieur sans isolant</v>
      </c>
    </row>
    <row r="61" spans="1:13" s="612" customFormat="1">
      <c r="A61" s="612" t="s">
        <v>248</v>
      </c>
    </row>
    <row r="62" spans="1:13">
      <c r="A62" s="143" t="str">
        <f>'Eléments de constr. inté. et ex'!A3</f>
        <v>Parois intérieures porteuses et cage d'escalier</v>
      </c>
      <c r="B62" s="143" t="str">
        <f>'Eléments de constr. inté. et ex'!A23</f>
        <v>Parois intérieures non-porteuses</v>
      </c>
      <c r="C62" s="143" t="str">
        <f>'Eléments de constr. inté. et ex'!A39</f>
        <v>Planchers internes</v>
      </c>
      <c r="D62" s="143" t="str">
        <f>'Eléments de constr. inté. et ex'!A60</f>
        <v>Escaliers</v>
      </c>
      <c r="E62" s="143" t="str">
        <f>'Eléments de constr. inté. et ex'!A66</f>
        <v>Balcon</v>
      </c>
      <c r="F62" s="143" t="str">
        <f>'Eléments de constr. inté. et ex'!A82</f>
        <v>Portes</v>
      </c>
      <c r="G62" s="143" t="str">
        <f>'Eléments de constr. inté. et ex'!A87</f>
        <v xml:space="preserve">Revetements de sols </v>
      </c>
      <c r="H62" s="143" t="str">
        <f>'Eléments de constr. inté. et ex'!A106</f>
        <v>Revetements de sols support</v>
      </c>
      <c r="I62" s="143" t="str">
        <f>'Eléments de constr. inté. et ex'!A123</f>
        <v>Isolant acoustique</v>
      </c>
      <c r="J62" s="143" t="s">
        <v>249</v>
      </c>
      <c r="K62" s="143" t="str">
        <f>'Eléments de constr. inté. et ex'!A149</f>
        <v>Isolant contre terre</v>
      </c>
      <c r="L62" s="143" t="str">
        <f>'Eléments de constr. inté. et ex'!A155</f>
        <v>Revêtement intérieurs parois</v>
      </c>
      <c r="M62" s="143" t="str">
        <f>'Eléments de constr. inté. et ex'!A165</f>
        <v>Revetements Plafonds</v>
      </c>
    </row>
    <row r="63" spans="1:13">
      <c r="A63" t="str" cm="1">
        <f t="array" ref="A63:A66">_xlfn.UNIQUE(_xlfn._xlws.FILTER('Eléments de constr. inté. et ex'!A4:A22,NOT(ISBLANK('Eléments de constr. inté. et ex'!A4:A22))))</f>
        <v>Béton</v>
      </c>
      <c r="B63" t="str" cm="1">
        <f t="array" ref="B63:B65">_xlfn.UNIQUE(_xlfn._xlws.FILTER('Eléments de constr. inté. et ex'!A24:A38,NOT(ISBLANK('Eléments de constr. inté. et ex'!A24:A38))))</f>
        <v>Cloison légère</v>
      </c>
      <c r="C63" t="str" cm="1">
        <f t="array" ref="C63:C66">_xlfn.UNIQUE(_xlfn._xlws.FILTER('Eléments de constr. inté. et ex'!A40:A58,NOT(ISBLANK('Eléments de constr. inté. et ex'!A40:A58))))</f>
        <v>Dalle en béton 25cm</v>
      </c>
      <c r="D63" t="str" cm="1">
        <f t="array" ref="D63">_xlfn.UNIQUE(_xlfn._xlws.FILTER('Eléments de constr. inté. et ex'!A61:A65,NOT(ISBLANK('Eléments de constr. inté. et ex'!A61:A65))))</f>
        <v>Escaliers béton</v>
      </c>
      <c r="E63" t="str" cm="1">
        <f t="array" ref="E63:E64">_xlfn.UNIQUE(_xlfn._xlws.FILTER('Eléments de constr. inté. et ex'!A67:A81,NOT(ISBLANK('Eléments de constr. inté. et ex'!A67:A81))))</f>
        <v>Balcons y c. dispositifs antichute</v>
      </c>
      <c r="F63" t="str" cm="1">
        <f t="array" ref="F63">_xlfn.UNIQUE(_xlfn._xlws.FILTER('Eléments de constr. inté. et ex'!A83:A86,NOT(ISBLANK('Eléments de constr. inté. et ex'!A83:A86))))</f>
        <v>Portes internes</v>
      </c>
      <c r="G63" t="str" cm="1">
        <f t="array" ref="G63:G66">_xlfn.UNIQUE(_xlfn._xlws.FILTER('Eléments de constr. inté. et ex'!A88:A105,NOT(ISBLANK('Eléments de constr. inté. et ex'!A88:A105))))</f>
        <v>Linoleum</v>
      </c>
      <c r="H63" t="str" cm="1">
        <f t="array" ref="H63:H66">_xlfn.UNIQUE(_xlfn._xlws.FILTER('Eléments de constr. inté. et ex'!A107:A121,NOT(ISBLANK('Eléments de constr. inté. et ex'!A107:A121))))</f>
        <v>Chape ciment</v>
      </c>
      <c r="I63" t="str" cm="1">
        <f t="array" ref="I63:I65">_xlfn.UNIQUE(_xlfn._xlws.FILTER('Eléments de constr. inté. et ex'!A124:A135,NOT(ISBLANK('Eléments de constr. inté. et ex'!A124:A135))))</f>
        <v>EPS, acoustique</v>
      </c>
      <c r="J63" t="str" cm="1">
        <f t="array" ref="J63:J65">_xlfn.UNIQUE(_xlfn._xlws.FILTER('Eléments de constr. inté. et ex'!A137:A148,NOT(ISBLANK('Eléments de constr. inté. et ex'!A137:A148))))</f>
        <v>EPS</v>
      </c>
      <c r="K63" t="str" cm="1">
        <f t="array" ref="K63">_xlfn.UNIQUE(_xlfn._xlws.FILTER('Eléments de constr. inté. et ex'!A150:A154,NOT(ISBLANK('Eléments de constr. inté. et ex'!A150:A154))))</f>
        <v>Isolant contre terre, XPS</v>
      </c>
      <c r="L63" t="str" cm="1">
        <f t="array" ref="L63:L64">_xlfn.UNIQUE(_xlfn._xlws.FILTER('Eléments de constr. inté. et ex'!A156:A164,NOT(ISBLANK('Eléments de constr. inté. et ex'!A156:A164))))</f>
        <v>Enduit en plâtre et en ciment</v>
      </c>
      <c r="M63" t="str" cm="1">
        <f t="array" ref="M63:M66">_xlfn.UNIQUE(_xlfn._xlws.FILTER('Eléments de constr. inté. et ex'!A166:A189,NOT(ISBLANK('Eléments de constr. inté. et ex'!A166:A189))))</f>
        <v>Enduit en plâtre et en ciment</v>
      </c>
    </row>
    <row r="64" spans="1:13">
      <c r="A64" t="str">
        <v>Paroi CLT</v>
      </c>
      <c r="B64" t="str">
        <v>Paroi placoplatre</v>
      </c>
      <c r="C64" t="str">
        <v>Plancher en éléments de bois</v>
      </c>
      <c r="E64" t="str">
        <v>Balcons bois y c. dispositifs antichute</v>
      </c>
      <c r="G64" t="str">
        <v>Parquet</v>
      </c>
      <c r="H64" t="str">
        <v>Chape anhydrite</v>
      </c>
      <c r="I64" t="str">
        <v>Laine de verre, acoustique</v>
      </c>
      <c r="J64" t="str">
        <v>Laine de verre</v>
      </c>
      <c r="L64" t="str">
        <v>Enduit en plâtre et chaux</v>
      </c>
      <c r="M64" t="str">
        <v>Enduit en plâtre et chaux, avec sous construction</v>
      </c>
    </row>
    <row r="65" spans="1:13">
      <c r="A65" t="str">
        <v>Briques</v>
      </c>
      <c r="B65" t="str">
        <v>Paroi CLT</v>
      </c>
      <c r="C65" t="str">
        <v>Plancher à solivages en bois</v>
      </c>
      <c r="G65" t="str">
        <v>Céramique</v>
      </c>
      <c r="H65" t="str">
        <v>Chape sèche</v>
      </c>
      <c r="I65" t="str">
        <v>Laine de roche, acoustique</v>
      </c>
      <c r="J65" t="str">
        <v>Laine de roche</v>
      </c>
      <c r="M65" t="str">
        <v>Faux plafond d'installation en plâtre</v>
      </c>
    </row>
    <row r="66" spans="1:13">
      <c r="A66" t="str">
        <v xml:space="preserve">Briques silico-calcaires </v>
      </c>
      <c r="C66" t="str">
        <v>Système mixte bois-béton</v>
      </c>
      <c r="G66" t="str">
        <v xml:space="preserve">Revêtement de sol fini mixte </v>
      </c>
      <c r="H66" t="str">
        <v>Chape sèche avec chauffage au sol</v>
      </c>
      <c r="M66" t="str">
        <v>Faux plafond d'installation en métal</v>
      </c>
    </row>
    <row r="75" spans="1:13" s="612" customFormat="1">
      <c r="A75" s="612" t="s">
        <v>250</v>
      </c>
    </row>
  </sheetData>
  <dataConsolidate/>
  <customSheetViews>
    <customSheetView guid="{54A7C567-FA7D-467E-B353-ECB5E61AE756}" state="hidden">
      <pageMargins left="0" right="0" top="0" bottom="0" header="0" footer="0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4A218-30F8-4CBB-8535-C6DFB2E1501B}">
  <sheetPr codeName="Feuil8"/>
  <dimension ref="A1:E40"/>
  <sheetViews>
    <sheetView topLeftCell="A22" workbookViewId="0"/>
  </sheetViews>
  <sheetFormatPr baseColWidth="10" defaultColWidth="11" defaultRowHeight="15.75"/>
  <cols>
    <col min="1" max="1" width="38.25" bestFit="1" customWidth="1"/>
    <col min="2" max="2" width="23.25" bestFit="1" customWidth="1"/>
    <col min="3" max="3" width="25.125" bestFit="1" customWidth="1"/>
    <col min="4" max="4" width="22.5" bestFit="1" customWidth="1"/>
  </cols>
  <sheetData>
    <row r="1" spans="1:5">
      <c r="B1" t="s">
        <v>251</v>
      </c>
      <c r="D1" t="s">
        <v>252</v>
      </c>
    </row>
    <row r="2" spans="1:5">
      <c r="A2" t="s">
        <v>253</v>
      </c>
      <c r="B2" t="s">
        <v>254</v>
      </c>
      <c r="C2" t="s">
        <v>255</v>
      </c>
      <c r="D2" t="s">
        <v>256</v>
      </c>
      <c r="E2" t="s">
        <v>257</v>
      </c>
    </row>
    <row r="3" spans="1:5">
      <c r="A3" t="s">
        <v>258</v>
      </c>
      <c r="B3">
        <v>9</v>
      </c>
      <c r="C3">
        <v>5</v>
      </c>
      <c r="D3">
        <v>7</v>
      </c>
      <c r="E3">
        <v>5</v>
      </c>
    </row>
    <row r="4" spans="1:5">
      <c r="A4" t="s">
        <v>259</v>
      </c>
      <c r="B4" cm="1">
        <f t="array" ref="B4">_xlfn.SWITCH('Outil simplifié'!D9,Liste!A3,2,Liste!A4,3)</f>
        <v>2</v>
      </c>
      <c r="C4" cm="1">
        <f t="array" ref="C4">_xlfn.SWITCH('Outil simplifié'!D9,Liste!A3,4,Liste!A4,5)</f>
        <v>4</v>
      </c>
      <c r="D4">
        <v>0</v>
      </c>
      <c r="E4">
        <v>2</v>
      </c>
    </row>
    <row r="6" spans="1:5">
      <c r="A6" t="s">
        <v>215</v>
      </c>
      <c r="B6">
        <v>10</v>
      </c>
      <c r="C6" t="s">
        <v>260</v>
      </c>
      <c r="D6">
        <v>8</v>
      </c>
    </row>
    <row r="7" spans="1:5">
      <c r="A7" t="s">
        <v>261</v>
      </c>
      <c r="B7" s="271">
        <f>C35</f>
        <v>2.7564766839378239</v>
      </c>
      <c r="C7" t="s">
        <v>262</v>
      </c>
      <c r="D7" s="271">
        <f>B7</f>
        <v>2.7564766839378239</v>
      </c>
    </row>
    <row r="8" spans="1:5">
      <c r="A8" t="s">
        <v>263</v>
      </c>
      <c r="B8" s="271">
        <f>C36</f>
        <v>5.3886010362694303E-2</v>
      </c>
      <c r="D8" s="271">
        <f>B8</f>
        <v>5.3886010362694303E-2</v>
      </c>
    </row>
    <row r="9" spans="1:5">
      <c r="A9" t="s">
        <v>264</v>
      </c>
      <c r="B9" s="271">
        <f>IF('Outil simplifié'!J10=Liste!D5, 0.3, 0)</f>
        <v>0</v>
      </c>
      <c r="C9" t="s">
        <v>265</v>
      </c>
      <c r="D9">
        <f>IF('Outil simplifié'!J10="Oui", 0.3, 0)</f>
        <v>0</v>
      </c>
    </row>
    <row r="10" spans="1:5">
      <c r="A10" t="s">
        <v>266</v>
      </c>
      <c r="B10" s="271">
        <f>SUM(B6:B9)</f>
        <v>12.810362694300517</v>
      </c>
    </row>
    <row r="11" spans="1:5">
      <c r="A11" t="s">
        <v>267</v>
      </c>
      <c r="B11">
        <v>4.7</v>
      </c>
      <c r="D11">
        <v>2.8</v>
      </c>
    </row>
    <row r="13" spans="1:5">
      <c r="B13" t="s">
        <v>268</v>
      </c>
      <c r="D13" t="s">
        <v>269</v>
      </c>
    </row>
    <row r="14" spans="1:5">
      <c r="A14" t="s">
        <v>270</v>
      </c>
      <c r="C14">
        <v>1.57</v>
      </c>
      <c r="E14">
        <v>0.78</v>
      </c>
    </row>
    <row r="15" spans="1:5">
      <c r="A15" t="s">
        <v>235</v>
      </c>
      <c r="C15">
        <v>1.93</v>
      </c>
      <c r="E15">
        <v>1.18</v>
      </c>
    </row>
    <row r="16" spans="1:5">
      <c r="A16" t="s">
        <v>271</v>
      </c>
      <c r="C16">
        <v>2.35</v>
      </c>
      <c r="E16">
        <v>1.43</v>
      </c>
    </row>
    <row r="17" spans="1:5">
      <c r="A17" t="s">
        <v>272</v>
      </c>
      <c r="C17">
        <v>4.34</v>
      </c>
      <c r="E17">
        <v>3</v>
      </c>
    </row>
    <row r="18" spans="1:5">
      <c r="A18" t="s">
        <v>273</v>
      </c>
      <c r="C18">
        <v>0.78</v>
      </c>
      <c r="E18">
        <v>0.39</v>
      </c>
    </row>
    <row r="19" spans="1:5">
      <c r="A19" t="s">
        <v>261</v>
      </c>
      <c r="C19">
        <v>13.3</v>
      </c>
    </row>
    <row r="20" spans="1:5">
      <c r="A20" t="s">
        <v>263</v>
      </c>
      <c r="C20">
        <v>5.2</v>
      </c>
    </row>
    <row r="22" spans="1:5">
      <c r="A22" t="s">
        <v>274</v>
      </c>
    </row>
    <row r="23" spans="1:5">
      <c r="A23" t="s">
        <v>275</v>
      </c>
      <c r="B23" s="299">
        <f>'Outil simplifié'!D12</f>
        <v>965</v>
      </c>
      <c r="C23" t="s">
        <v>276</v>
      </c>
      <c r="E23" t="s">
        <v>277</v>
      </c>
    </row>
    <row r="24" spans="1:5">
      <c r="A24" t="s">
        <v>270</v>
      </c>
      <c r="B24" s="171">
        <f>'Outil détaillé'!K18</f>
        <v>827.64833333333331</v>
      </c>
      <c r="C24" s="271">
        <f>(C14*B24)/$B$23</f>
        <v>1.3465366666666667</v>
      </c>
      <c r="E24" s="271">
        <f>(E14*B24)/$B$23</f>
        <v>0.66898000000000002</v>
      </c>
    </row>
    <row r="25" spans="1:5">
      <c r="A25" t="s">
        <v>235</v>
      </c>
      <c r="B25" s="171">
        <f>'Outil détaillé'!K26</f>
        <v>321.66666666666669</v>
      </c>
      <c r="C25" s="271">
        <f>(C15*B25)/$B$23</f>
        <v>0.64333333333333342</v>
      </c>
      <c r="E25" s="271">
        <f>(E15*B25)/$B$23</f>
        <v>0.39333333333333331</v>
      </c>
    </row>
    <row r="26" spans="1:5">
      <c r="A26" t="s">
        <v>271</v>
      </c>
      <c r="B26" s="171">
        <f>'Outil détaillé'!K11</f>
        <v>153.68518518518516</v>
      </c>
      <c r="C26" s="271">
        <f>(C16*B26)/$B$23</f>
        <v>0.37425925925925918</v>
      </c>
      <c r="E26" s="271">
        <f>(E16*B26)/$B$23</f>
        <v>0.22774074074074069</v>
      </c>
    </row>
    <row r="27" spans="1:5">
      <c r="A27" t="s">
        <v>272</v>
      </c>
      <c r="B27" s="171">
        <f>'Outil détaillé'!K23</f>
        <v>169.51833333333335</v>
      </c>
      <c r="C27" s="271">
        <f>(C17*B27)/$B$23</f>
        <v>0.76239333333333337</v>
      </c>
      <c r="E27" s="271">
        <f>(E17*B27)/$B$23</f>
        <v>0.52700000000000002</v>
      </c>
    </row>
    <row r="28" spans="1:5">
      <c r="A28" t="s">
        <v>273</v>
      </c>
      <c r="B28" s="171">
        <f>'Outil détaillé'!K32</f>
        <v>386</v>
      </c>
      <c r="C28" s="271">
        <f>(C18*B28)/$B$23</f>
        <v>0.312</v>
      </c>
      <c r="E28" s="271">
        <f>(E18*B28)/$B$23</f>
        <v>0.156</v>
      </c>
    </row>
    <row r="29" spans="1:5">
      <c r="A29" t="s">
        <v>278</v>
      </c>
      <c r="C29">
        <v>0.41</v>
      </c>
      <c r="E29" s="271">
        <f>C29</f>
        <v>0.41</v>
      </c>
    </row>
    <row r="30" spans="1:5">
      <c r="A30" t="s">
        <v>279</v>
      </c>
      <c r="C30">
        <v>0.38</v>
      </c>
      <c r="E30" s="271">
        <f t="shared" ref="E30:E37" si="0">C30</f>
        <v>0.38</v>
      </c>
    </row>
    <row r="31" spans="1:5">
      <c r="A31" t="s">
        <v>280</v>
      </c>
      <c r="C31">
        <v>0.42</v>
      </c>
      <c r="E31" s="271">
        <f t="shared" si="0"/>
        <v>0.42</v>
      </c>
    </row>
    <row r="32" spans="1:5">
      <c r="A32" t="s">
        <v>281</v>
      </c>
      <c r="C32">
        <v>0.04</v>
      </c>
      <c r="E32" s="271">
        <f t="shared" si="0"/>
        <v>0.04</v>
      </c>
    </row>
    <row r="33" spans="1:5">
      <c r="A33" t="s">
        <v>282</v>
      </c>
      <c r="C33">
        <v>0.25</v>
      </c>
      <c r="E33" s="271">
        <f t="shared" si="0"/>
        <v>0.25</v>
      </c>
    </row>
    <row r="34" spans="1:5">
      <c r="A34" t="s">
        <v>283</v>
      </c>
      <c r="C34">
        <v>0.18</v>
      </c>
      <c r="E34" s="271">
        <f t="shared" si="0"/>
        <v>0.18</v>
      </c>
    </row>
    <row r="35" spans="1:5">
      <c r="A35" t="s">
        <v>261</v>
      </c>
      <c r="B35">
        <f>'Outil simplifié'!K13</f>
        <v>200</v>
      </c>
      <c r="C35" s="271">
        <f>(C19*B35)/$B$23</f>
        <v>2.7564766839378239</v>
      </c>
      <c r="E35" s="271">
        <f t="shared" si="0"/>
        <v>2.7564766839378239</v>
      </c>
    </row>
    <row r="36" spans="1:5">
      <c r="A36" t="s">
        <v>263</v>
      </c>
      <c r="B36">
        <f>'Outil simplifié'!K16</f>
        <v>10</v>
      </c>
      <c r="C36" s="271">
        <f>(C20*B36)/$B$23</f>
        <v>5.3886010362694303E-2</v>
      </c>
      <c r="E36" s="271">
        <f t="shared" si="0"/>
        <v>5.3886010362694303E-2</v>
      </c>
    </row>
    <row r="37" spans="1:5">
      <c r="A37" t="s">
        <v>264</v>
      </c>
      <c r="C37">
        <v>0.3</v>
      </c>
      <c r="E37" s="271">
        <f t="shared" si="0"/>
        <v>0.3</v>
      </c>
    </row>
    <row r="40" spans="1:5">
      <c r="C40" s="271">
        <f>SUM(C24:C37)</f>
        <v>8.2288852868931102</v>
      </c>
    </row>
  </sheetData>
  <customSheetViews>
    <customSheetView guid="{54A7C567-FA7D-467E-B353-ECB5E61AE756}" state="hidden">
      <selection activeCell="D20" sqref="D20"/>
      <pageMargins left="0" right="0" top="0" bottom="0" header="0" footer="0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EEE8-FBC2-4269-953D-CCAA230768BE}">
  <sheetPr codeName="Feuil9">
    <pageSetUpPr autoPageBreaks="0"/>
  </sheetPr>
  <dimension ref="A1:AA81"/>
  <sheetViews>
    <sheetView topLeftCell="A22" zoomScale="70" zoomScaleNormal="70" workbookViewId="0">
      <selection activeCell="H49" sqref="H49"/>
    </sheetView>
  </sheetViews>
  <sheetFormatPr baseColWidth="10" defaultColWidth="11" defaultRowHeight="15.75"/>
  <cols>
    <col min="1" max="1" width="36.75" customWidth="1"/>
    <col min="2" max="2" width="32.25" customWidth="1"/>
    <col min="3" max="3" width="44" bestFit="1" customWidth="1"/>
    <col min="4" max="4" width="20.25" customWidth="1"/>
    <col min="5" max="5" width="11.25" bestFit="1" customWidth="1"/>
    <col min="6" max="6" width="17.75" bestFit="1" customWidth="1"/>
    <col min="7" max="7" width="22.125" bestFit="1" customWidth="1"/>
    <col min="8" max="9" width="26.75" bestFit="1" customWidth="1"/>
  </cols>
  <sheetData>
    <row r="1" spans="1:17" ht="18" customHeight="1" thickBot="1">
      <c r="B1" t="str">
        <f>Décomposition!B2</f>
        <v>Partie de batiment</v>
      </c>
      <c r="C1" t="str">
        <f>Décomposition!C2</f>
        <v>eCCC-Bat</v>
      </c>
      <c r="D1" t="s">
        <v>284</v>
      </c>
      <c r="E1" t="s">
        <v>285</v>
      </c>
      <c r="F1" s="272" t="s">
        <v>55</v>
      </c>
      <c r="G1" s="942" t="s">
        <v>286</v>
      </c>
      <c r="H1" s="307" t="s">
        <v>287</v>
      </c>
    </row>
    <row r="2" spans="1:17">
      <c r="A2" s="194" t="str">
        <f>Décomposition!C4</f>
        <v>B06 / B07.02</v>
      </c>
      <c r="B2" s="774" t="str">
        <f>'Outil détaillé'!B5</f>
        <v>Travaux préparatoires B06 / B07.02</v>
      </c>
      <c r="C2" s="919" t="str">
        <f>Décomposition!D4</f>
        <v>Fouilles</v>
      </c>
      <c r="D2" s="1079">
        <f>Décomposition!S4/Hypothèses!D12</f>
        <v>3.3191666666666661E-2</v>
      </c>
      <c r="E2" s="1079">
        <f>D2</f>
        <v>3.3191666666666661E-2</v>
      </c>
      <c r="F2" s="1079"/>
      <c r="G2" s="1079"/>
      <c r="H2" s="1079">
        <f>Décomposition!T4/Hypothèses!D12</f>
        <v>0</v>
      </c>
    </row>
    <row r="3" spans="1:17" ht="15.75" customHeight="1">
      <c r="A3" s="194" t="str">
        <f>Décomposition!C14</f>
        <v>C01</v>
      </c>
      <c r="B3" s="1514" t="str">
        <f>'Outil détaillé'!B10</f>
        <v>Enveloppe du bâtiment souterraine C01 / 02 / 04 - E01 - F01</v>
      </c>
      <c r="C3" s="919" t="str">
        <f>Décomposition!D14</f>
        <v>Fondations, radiers</v>
      </c>
      <c r="D3" s="1079">
        <f ca="1">Décomposition!S14/Hypothèses!D12</f>
        <v>0.84682636867972005</v>
      </c>
      <c r="E3" s="1079">
        <f ca="1">D3+D4+D5</f>
        <v>0.84682636867972005</v>
      </c>
      <c r="F3" s="1079"/>
      <c r="G3" s="1079">
        <f ca="1">-(H3+H4+H5)</f>
        <v>0</v>
      </c>
      <c r="H3" s="1079">
        <f ca="1">Décomposition!T14/Hypothèses!D12</f>
        <v>0</v>
      </c>
      <c r="Q3" s="271"/>
    </row>
    <row r="4" spans="1:17">
      <c r="A4" s="194" t="str">
        <f>Décomposition!C31</f>
        <v>C02.01 (A) / E01</v>
      </c>
      <c r="B4" s="1514"/>
      <c r="C4" s="919" t="str">
        <f>Décomposition!D31</f>
        <v>Parois extérieures souterraines</v>
      </c>
      <c r="D4" s="1079">
        <f ca="1">Décomposition!S31/Hypothèses!D12</f>
        <v>0</v>
      </c>
      <c r="E4" s="1079"/>
      <c r="F4" s="1079"/>
      <c r="G4" s="1079"/>
      <c r="H4" s="1079">
        <f ca="1">Décomposition!T31/Hypothèses!D12</f>
        <v>0</v>
      </c>
      <c r="Q4" s="271"/>
    </row>
    <row r="5" spans="1:17">
      <c r="A5" s="194" t="str">
        <f>Décomposition!C41</f>
        <v>C04.04 / F01.01</v>
      </c>
      <c r="B5" s="1514"/>
      <c r="C5" s="919" t="str">
        <f>Décomposition!D41</f>
        <v>Toitures souterraines</v>
      </c>
      <c r="D5" s="1079">
        <f ca="1">Décomposition!S41/Hypothèses!D12</f>
        <v>0</v>
      </c>
      <c r="E5" s="1079"/>
      <c r="F5" s="1079"/>
      <c r="G5" s="1079"/>
      <c r="H5" s="1079">
        <f ca="1">Décomposition!T41/Hypothèses!D12</f>
        <v>0</v>
      </c>
    </row>
    <row r="6" spans="1:17" ht="15.75" customHeight="1">
      <c r="A6" s="194" t="str">
        <f>Décomposition!C53</f>
        <v>C02.01 (B)</v>
      </c>
      <c r="B6" s="1514" t="str">
        <f>'Outil détaillé'!B17</f>
        <v>Enveloppe du bâtiment hors terrain C02 / 04 - E02 / 03 - F01 / 02</v>
      </c>
      <c r="C6" s="919" t="str">
        <f>Décomposition!D53</f>
        <v>Parois extérieures hors terrain</v>
      </c>
      <c r="D6" s="1079">
        <f ca="1">Décomposition!S53/Hypothèses!D12</f>
        <v>8.971050388888889E-2</v>
      </c>
      <c r="E6" s="1079">
        <f ca="1">SUM(D6:D10)</f>
        <v>2.4353957213553477</v>
      </c>
      <c r="F6" s="1079"/>
      <c r="G6" s="1079">
        <f ca="1">-SUM(H6:H10)</f>
        <v>-2.5246685793083725</v>
      </c>
      <c r="H6" s="1079">
        <f ca="1">Décomposition!T53/Hypothèses!D12</f>
        <v>1.0498578546296295</v>
      </c>
    </row>
    <row r="7" spans="1:17">
      <c r="A7" s="194" t="str">
        <f>Décomposition!C61</f>
        <v>E02</v>
      </c>
      <c r="B7" s="1514"/>
      <c r="C7" s="919" t="str">
        <f>Décomposition!D61</f>
        <v>Revetements extérieurs de facades</v>
      </c>
      <c r="D7" s="1079">
        <f ca="1">Décomposition!S61/Hypothèses!D12</f>
        <v>0.66017350166642774</v>
      </c>
      <c r="E7" s="1079"/>
      <c r="F7" s="1079"/>
      <c r="G7" s="1079"/>
      <c r="H7" s="1079">
        <f ca="1">Décomposition!T61/Hypothèses!D12</f>
        <v>0.31326585904166671</v>
      </c>
    </row>
    <row r="8" spans="1:17">
      <c r="A8" s="194" t="str">
        <f>Décomposition!C75</f>
        <v>E03 / F02</v>
      </c>
      <c r="B8" s="1514"/>
      <c r="C8" s="919" t="str">
        <f>Décomposition!D75</f>
        <v>Fenetres et portes</v>
      </c>
      <c r="D8" s="1079">
        <f ca="1">Décomposition!S75/Hypothèses!D12</f>
        <v>0.88838930823258488</v>
      </c>
      <c r="E8" s="1079"/>
      <c r="F8" s="1079"/>
      <c r="G8" s="1079"/>
      <c r="H8" s="1079">
        <f ca="1">Décomposition!T75/Hypothèses!D12</f>
        <v>8.0513888888888899E-2</v>
      </c>
    </row>
    <row r="9" spans="1:17">
      <c r="A9" s="194" t="str">
        <f>Décomposition!C86</f>
        <v>C04.04 / C04.05</v>
      </c>
      <c r="B9" s="1514"/>
      <c r="C9" s="919" t="str">
        <f>Décomposition!D86</f>
        <v>Toitures (structure porteuse)</v>
      </c>
      <c r="D9" s="1079">
        <f ca="1">Décomposition!S86/Hypothèses!D12</f>
        <v>0.12729872222222222</v>
      </c>
      <c r="E9" s="1079"/>
      <c r="F9" s="1079"/>
      <c r="G9" s="1079"/>
      <c r="H9" s="1079">
        <f ca="1">Décomposition!T86/Hypothèses!D12</f>
        <v>1.0654650925925926</v>
      </c>
    </row>
    <row r="10" spans="1:17">
      <c r="A10" s="194" t="str">
        <f>Décomposition!C95</f>
        <v>F01.02 / F01.03</v>
      </c>
      <c r="B10" s="1514"/>
      <c r="C10" s="919" t="str">
        <f>Décomposition!D95</f>
        <v>Couvertures</v>
      </c>
      <c r="D10" s="1079">
        <f ca="1">Décomposition!S95/Hypothèses!D12</f>
        <v>0.66982368534522407</v>
      </c>
      <c r="E10" s="1079"/>
      <c r="F10" s="1079"/>
      <c r="G10" s="1079"/>
      <c r="H10" s="1079">
        <f ca="1">Décomposition!T95/Hypothèses!D12</f>
        <v>1.5565884155595174E-2</v>
      </c>
    </row>
    <row r="11" spans="1:17">
      <c r="A11" s="194" t="str">
        <f>Décomposition!C109</f>
        <v>C02.02</v>
      </c>
      <c r="B11" s="1514" t="str">
        <f>'Outil détaillé'!B30</f>
        <v>Eléments de construction intérieurs et extérieurs C02 / 04 - G02 / 03 / 04</v>
      </c>
      <c r="C11" s="919" t="str">
        <f>Décomposition!D109</f>
        <v>Parois intérieures</v>
      </c>
      <c r="D11" s="1079">
        <f ca="1">Décomposition!S109/Hypothèses!D12</f>
        <v>0.83502616459942303</v>
      </c>
      <c r="E11" s="1079">
        <f ca="1">SUM(D11:D18)</f>
        <v>2.920637079329043</v>
      </c>
      <c r="F11" s="1079"/>
      <c r="G11" s="1079">
        <f ca="1">-SUM(H11:H18)</f>
        <v>-2.7325694194837844</v>
      </c>
      <c r="H11" s="1079">
        <f ca="1">Décomposition!T109/Hypothèses!D12</f>
        <v>0.74343744355785846</v>
      </c>
    </row>
    <row r="12" spans="1:17">
      <c r="A12" s="194" t="str">
        <f>Décomposition!C134</f>
        <v>C04.01</v>
      </c>
      <c r="B12" s="1514"/>
      <c r="C12" s="919" t="str">
        <f>Décomposition!D134</f>
        <v>Planchers internes</v>
      </c>
      <c r="D12" s="1079">
        <f ca="1">Décomposition!S134/Hypothèses!D12</f>
        <v>0.51946122186836519</v>
      </c>
      <c r="E12" s="1079"/>
      <c r="F12" s="1079"/>
      <c r="G12" s="1079"/>
      <c r="H12" s="1079">
        <f ca="1">Décomposition!T134/Hypothèses!D12</f>
        <v>1.5913119444444446</v>
      </c>
    </row>
    <row r="13" spans="1:17">
      <c r="A13" s="194" t="str">
        <f>Décomposition!C161</f>
        <v>C04.02</v>
      </c>
      <c r="B13" s="1514"/>
      <c r="C13" s="919" t="str">
        <f>Décomposition!D161</f>
        <v>Escaliers et rampes</v>
      </c>
      <c r="D13" s="1079">
        <f ca="1">Décomposition!S161/Hypothèses!D12</f>
        <v>0</v>
      </c>
      <c r="E13" s="1079"/>
      <c r="F13" s="1079"/>
      <c r="G13" s="1079"/>
      <c r="H13" s="1079">
        <f ca="1">Décomposition!T161/Hypothèses!D12</f>
        <v>0</v>
      </c>
    </row>
    <row r="14" spans="1:17">
      <c r="A14" s="194" t="str">
        <f>Décomposition!C168</f>
        <v>C04.08</v>
      </c>
      <c r="B14" s="1514"/>
      <c r="C14" s="919" t="str">
        <f>Décomposition!D168</f>
        <v>Balcons, avant-toits</v>
      </c>
      <c r="D14" s="1079">
        <f ca="1">Décomposition!S168/Hypothèses!D12</f>
        <v>7.9154033333333332E-2</v>
      </c>
      <c r="E14" s="1079"/>
      <c r="F14" s="1079"/>
      <c r="G14" s="1079"/>
      <c r="H14" s="1079">
        <f ca="1">Décomposition!T168/Hypothèses!D12</f>
        <v>0.26045427222222217</v>
      </c>
    </row>
    <row r="15" spans="1:17">
      <c r="A15" s="194" t="str">
        <f>Décomposition!C178</f>
        <v>G01.05</v>
      </c>
      <c r="B15" s="1514"/>
      <c r="C15" s="919" t="str">
        <f>Décomposition!D178</f>
        <v>Portes</v>
      </c>
      <c r="D15" s="1079">
        <f ca="1">Décomposition!S178/Hypothèses!D12</f>
        <v>0</v>
      </c>
      <c r="E15" s="1079"/>
      <c r="F15" s="1079"/>
      <c r="G15" s="1079"/>
      <c r="H15" s="1079">
        <f ca="1">Décomposition!T178/Hypothèses!D12</f>
        <v>0</v>
      </c>
    </row>
    <row r="16" spans="1:17">
      <c r="A16" s="194" t="str">
        <f>Décomposition!C182</f>
        <v>G02</v>
      </c>
      <c r="B16" s="1514"/>
      <c r="C16" s="919" t="str">
        <f>Décomposition!D182</f>
        <v>Revetements de sols</v>
      </c>
      <c r="D16" s="1079">
        <f ca="1">Décomposition!S182/Hypothèses!D12</f>
        <v>0.59436088888888894</v>
      </c>
      <c r="E16" s="1079"/>
      <c r="F16" s="1079"/>
      <c r="G16" s="1079"/>
      <c r="H16" s="1079">
        <f ca="1">Décomposition!T182/Hypothèses!D12</f>
        <v>7.6714814814814819E-2</v>
      </c>
    </row>
    <row r="17" spans="1:8">
      <c r="A17" s="194" t="str">
        <f>Décomposition!C238</f>
        <v>G03</v>
      </c>
      <c r="B17" s="1514"/>
      <c r="C17" s="919" t="str">
        <f>Décomposition!D238</f>
        <v>Revêtement intérieurs parois</v>
      </c>
      <c r="D17" s="1079">
        <f ca="1">Décomposition!S238/Hypothèses!D12</f>
        <v>0.72460415397236611</v>
      </c>
      <c r="E17" s="1079"/>
      <c r="F17" s="1079"/>
      <c r="G17" s="1079"/>
      <c r="H17" s="1079">
        <f ca="1">Décomposition!T238/Hypothèses!D12</f>
        <v>0</v>
      </c>
    </row>
    <row r="18" spans="1:8">
      <c r="A18" s="194" t="str">
        <f>Décomposition!C251</f>
        <v>G04</v>
      </c>
      <c r="B18" s="1514"/>
      <c r="C18" s="919" t="str">
        <f>Décomposition!D251</f>
        <v>Revetements plafonds</v>
      </c>
      <c r="D18" s="1079">
        <f ca="1">Décomposition!S251/Hypothèses!D12</f>
        <v>0.16803061666666666</v>
      </c>
      <c r="E18" s="1079"/>
      <c r="F18" s="1079"/>
      <c r="G18" s="1079"/>
      <c r="H18" s="1079">
        <f ca="1">Décomposition!T251/Hypothèses!D12</f>
        <v>6.0650944444444431E-2</v>
      </c>
    </row>
    <row r="19" spans="1:8">
      <c r="A19" s="194" t="str">
        <f>Décomposition!C262</f>
        <v>D01</v>
      </c>
      <c r="B19" s="1514" t="str">
        <f>'Outil détaillé'!B60</f>
        <v>Installations CVSE D01 / 05 / 07 / 08 / 12</v>
      </c>
      <c r="C19" s="919" t="str">
        <f>Décomposition!D262</f>
        <v>Installations électriques</v>
      </c>
      <c r="D19" s="1079">
        <f>Décomposition!S262/Hypothèses!D12</f>
        <v>1.5342573402417965</v>
      </c>
      <c r="E19" s="1079">
        <f>SUM(D19:D22)</f>
        <v>3.1030615889464599</v>
      </c>
      <c r="F19" s="1079"/>
      <c r="G19" s="1079"/>
      <c r="H19" s="1079">
        <f>Décomposition!T262/Hypothèses!D12</f>
        <v>0</v>
      </c>
    </row>
    <row r="20" spans="1:8">
      <c r="A20" s="194" t="str">
        <f>Décomposition!C265</f>
        <v>D05</v>
      </c>
      <c r="B20" s="1514"/>
      <c r="C20" s="919" t="str">
        <f>Décomposition!D265</f>
        <v>Installations techniques de chauffage</v>
      </c>
      <c r="D20" s="1079">
        <f>Décomposition!S265/Hypothèses!D12</f>
        <v>0.53137091537132985</v>
      </c>
      <c r="E20" s="1079"/>
      <c r="F20" s="1079"/>
      <c r="G20" s="1079"/>
      <c r="H20" s="1079">
        <f>Décomposition!T265/Hypothèses!D12</f>
        <v>0</v>
      </c>
    </row>
    <row r="21" spans="1:8">
      <c r="A21" s="194" t="str">
        <f>Décomposition!C271</f>
        <v>D07</v>
      </c>
      <c r="B21" s="1514"/>
      <c r="C21" s="919" t="str">
        <f>Décomposition!D271</f>
        <v>Installations de ventilation et de conditionnement d'air</v>
      </c>
      <c r="D21" s="1079">
        <f>Décomposition!S271/Hypothèses!D12</f>
        <v>0.61943333333333328</v>
      </c>
      <c r="E21" s="1079"/>
      <c r="F21" s="1079"/>
      <c r="G21" s="1079"/>
      <c r="H21" s="1079">
        <f>Décomposition!T271/Hypothèses!D12</f>
        <v>0</v>
      </c>
    </row>
    <row r="22" spans="1:8">
      <c r="A22" s="194" t="str">
        <f>Décomposition!C274</f>
        <v>D08 /09</v>
      </c>
      <c r="B22" s="1514"/>
      <c r="C22" s="919" t="str">
        <f>Décomposition!D274</f>
        <v>Installations techniques d'eau</v>
      </c>
      <c r="D22" s="1079">
        <f>Décomposition!S274/Hypothèses!D12</f>
        <v>0.41799999999999998</v>
      </c>
      <c r="E22" s="1079"/>
      <c r="F22" s="1079"/>
      <c r="G22" s="1079"/>
      <c r="H22" s="1079">
        <f>Décomposition!T274/Hypothèses!D12</f>
        <v>0</v>
      </c>
    </row>
    <row r="23" spans="1:8">
      <c r="A23" s="773" t="s">
        <v>55</v>
      </c>
      <c r="B23" s="308" t="str">
        <f>Exploitation!A15</f>
        <v>Chauffage PAC</v>
      </c>
      <c r="D23" s="1079"/>
      <c r="E23" s="1079"/>
      <c r="F23" s="1079">
        <f>Exploitation!I15</f>
        <v>0.56976744186046502</v>
      </c>
      <c r="G23" s="1079"/>
      <c r="H23" s="1079"/>
    </row>
    <row r="24" spans="1:8">
      <c r="B24" s="308" t="str">
        <f>Exploitation!A16</f>
        <v>Eau chaude sanitaire PAC</v>
      </c>
      <c r="D24" s="1079"/>
      <c r="E24" s="1079"/>
      <c r="F24" s="1079">
        <f>Exploitation!I16</f>
        <v>0.67574944485566257</v>
      </c>
      <c r="G24" s="1079"/>
      <c r="H24" s="1079"/>
    </row>
    <row r="25" spans="1:8">
      <c r="B25" s="308" t="str">
        <f>Exploitation!A17</f>
        <v>Climatisation</v>
      </c>
      <c r="D25" s="1079"/>
      <c r="E25" s="1079"/>
      <c r="F25" s="1079">
        <f>Exploitation!I17</f>
        <v>0.8125</v>
      </c>
      <c r="G25" s="1079"/>
      <c r="H25" s="1079"/>
    </row>
    <row r="26" spans="1:8">
      <c r="B26" s="308" t="str">
        <f>Exploitation!A18</f>
        <v>Eclairage</v>
      </c>
      <c r="D26" s="1079"/>
      <c r="E26" s="1079"/>
      <c r="F26" s="1079">
        <f>Exploitation!I18</f>
        <v>0.25</v>
      </c>
      <c r="G26" s="1079"/>
      <c r="H26" s="1079"/>
    </row>
    <row r="27" spans="1:8">
      <c r="B27" s="308" t="str">
        <f>Exploitation!A19</f>
        <v>Ventilation</v>
      </c>
      <c r="D27" s="1079"/>
      <c r="E27" s="1079"/>
      <c r="F27" s="1079">
        <f>Exploitation!I19</f>
        <v>8.7499999999999994E-2</v>
      </c>
      <c r="G27" s="1079"/>
      <c r="H27" s="1079"/>
    </row>
    <row r="28" spans="1:8">
      <c r="B28" s="308" t="str">
        <f>Exploitation!A20</f>
        <v>Appareils</v>
      </c>
      <c r="D28" s="1079"/>
      <c r="E28" s="1079"/>
      <c r="F28" s="1079">
        <f>Exploitation!I20</f>
        <v>0.875</v>
      </c>
      <c r="G28" s="1079"/>
      <c r="H28" s="1079"/>
    </row>
    <row r="29" spans="1:8">
      <c r="B29" s="308" t="str">
        <f>Exploitation!A21</f>
        <v>Installation techniques</v>
      </c>
      <c r="D29" s="1079"/>
      <c r="E29" s="1079"/>
      <c r="F29" s="1079">
        <f>Exploitation!I21</f>
        <v>0.25</v>
      </c>
      <c r="G29" s="1079"/>
      <c r="H29" s="1079"/>
    </row>
    <row r="30" spans="1:8">
      <c r="B30" s="308" t="s">
        <v>288</v>
      </c>
      <c r="D30" s="1079"/>
      <c r="E30" s="1079"/>
      <c r="F30" s="1079">
        <f>Exploitation!H23</f>
        <v>-1.9433307892592819</v>
      </c>
      <c r="G30" s="1079"/>
      <c r="H30" s="1079"/>
    </row>
    <row r="31" spans="1:8" ht="16.5" thickBot="1">
      <c r="B31" s="333" t="s">
        <v>289</v>
      </c>
      <c r="D31" s="1079"/>
      <c r="E31" s="1079"/>
      <c r="F31" s="1079">
        <f>Exploitation!H22</f>
        <v>-0.41101972196539632</v>
      </c>
      <c r="G31" s="1079"/>
      <c r="H31" s="1079"/>
    </row>
    <row r="32" spans="1:8">
      <c r="B32" t="s">
        <v>290</v>
      </c>
      <c r="D32" s="1079"/>
      <c r="E32" s="1079"/>
      <c r="F32" s="1079"/>
      <c r="G32" s="1079"/>
      <c r="H32" s="1079"/>
    </row>
    <row r="33" spans="1:27">
      <c r="B33" t="s">
        <v>291</v>
      </c>
      <c r="D33" s="1079"/>
      <c r="E33" s="1079">
        <f>'Outil simplifié'!$K$22</f>
        <v>12.810362694300517</v>
      </c>
      <c r="F33" s="1222" t="e">
        <f>IF('Outil simplifié'!$K$23=" ",#N/A,'Outil simplifié'!$K$23)</f>
        <v>#N/A</v>
      </c>
      <c r="G33" s="1079"/>
      <c r="H33" s="1079"/>
    </row>
    <row r="35" spans="1:27">
      <c r="D35" s="271"/>
    </row>
    <row r="36" spans="1:27" ht="16.5" thickBot="1"/>
    <row r="37" spans="1:27" ht="16.5" thickBot="1">
      <c r="B37" t="s">
        <v>284</v>
      </c>
      <c r="C37" s="332" t="str">
        <f>Décomposition!N3</f>
        <v>Construction</v>
      </c>
      <c r="D37" s="332">
        <f>Décomposition!O3</f>
        <v>20</v>
      </c>
      <c r="E37" s="332">
        <f>Décomposition!P3</f>
        <v>30</v>
      </c>
      <c r="F37" s="332">
        <f>Décomposition!Q3</f>
        <v>40</v>
      </c>
      <c r="G37" s="332" t="str">
        <f>Décomposition!R3</f>
        <v>Déconstruction</v>
      </c>
      <c r="J37" s="272"/>
      <c r="K37" s="190"/>
      <c r="L37" s="190" t="str">
        <f>B2</f>
        <v>Travaux préparatoires B06 / B07.02</v>
      </c>
      <c r="M37" s="190" t="str">
        <f>B3</f>
        <v>Enveloppe du bâtiment souterraine C01 / 02 / 04 - E01 - F01</v>
      </c>
      <c r="N37" s="190" t="str">
        <f>B6</f>
        <v>Enveloppe du bâtiment hors terrain C02 / 04 - E02 / 03 - F01 / 02</v>
      </c>
      <c r="O37" s="190" t="str">
        <f>B11</f>
        <v>Eléments de construction intérieurs et extérieurs C02 / 04 - G02 / 03 / 04</v>
      </c>
      <c r="P37" s="190" t="str">
        <f>B19</f>
        <v>Installations CVSE D01 / 05 / 07 / 08 / 12</v>
      </c>
      <c r="Q37" s="190"/>
      <c r="R37" s="191"/>
      <c r="S37" s="272"/>
      <c r="T37" s="190"/>
      <c r="U37" s="190" t="str" cm="1">
        <f t="array" ref="U37:Y37">L37:P37</f>
        <v>Travaux préparatoires B06 / B07.02</v>
      </c>
      <c r="V37" s="190" t="str">
        <v>Enveloppe du bâtiment souterraine C01 / 02 / 04 - E01 - F01</v>
      </c>
      <c r="W37" s="190" t="str">
        <v>Enveloppe du bâtiment hors terrain C02 / 04 - E02 / 03 - F01 / 02</v>
      </c>
      <c r="X37" s="190" t="str">
        <v>Eléments de construction intérieurs et extérieurs C02 / 04 - G02 / 03 / 04</v>
      </c>
      <c r="Y37" s="190" t="str">
        <v>Installations CVSE D01 / 05 / 07 / 08 / 12</v>
      </c>
      <c r="Z37" s="190"/>
      <c r="AA37" s="191"/>
    </row>
    <row r="38" spans="1:27" ht="31.5" customHeight="1">
      <c r="A38" s="919" t="str">
        <f>Décomposition!D4</f>
        <v>Fouilles</v>
      </c>
      <c r="B38" s="1041">
        <f>Décomposition!S4</f>
        <v>1.9914999999999998</v>
      </c>
      <c r="C38" s="1041">
        <f>Décomposition!N4</f>
        <v>1.9914999999999998</v>
      </c>
      <c r="D38" s="1041">
        <f>Décomposition!O4</f>
        <v>0</v>
      </c>
      <c r="E38" s="1041">
        <f>Décomposition!P4</f>
        <v>0</v>
      </c>
      <c r="F38" s="1041">
        <f>Décomposition!Q4</f>
        <v>0</v>
      </c>
      <c r="G38" s="1041">
        <f>Décomposition!R4</f>
        <v>0</v>
      </c>
      <c r="H38" t="s">
        <v>3814</v>
      </c>
      <c r="I38" s="1485">
        <f>B38</f>
        <v>1.9914999999999998</v>
      </c>
      <c r="J38" s="273" t="str">
        <f>A38</f>
        <v>Fouilles</v>
      </c>
      <c r="K38" s="1041">
        <f>B38</f>
        <v>1.9914999999999998</v>
      </c>
      <c r="L38" s="1041">
        <f>K38</f>
        <v>1.9914999999999998</v>
      </c>
      <c r="M38" s="1041"/>
      <c r="N38" s="1041"/>
      <c r="O38" s="1041"/>
      <c r="P38" s="1041"/>
      <c r="Q38" s="1041"/>
      <c r="R38" s="1041"/>
      <c r="S38" s="273" t="str" cm="1">
        <f t="array" aca="1" ref="S38:Y58" ca="1">_xlfn._xlws.SORT(J38:P58,2,-1)</f>
        <v>Installations électriques</v>
      </c>
      <c r="T38" s="1041">
        <f ca="1"/>
        <v>92.055440414507785</v>
      </c>
      <c r="U38" s="1041">
        <f ca="1"/>
        <v>0</v>
      </c>
      <c r="V38" s="1041">
        <f ca="1"/>
        <v>0</v>
      </c>
      <c r="W38" s="1041">
        <f ca="1"/>
        <v>0</v>
      </c>
      <c r="X38" s="1041">
        <f ca="1"/>
        <v>0</v>
      </c>
      <c r="Y38" s="1041">
        <f ca="1"/>
        <v>92.055440414507785</v>
      </c>
      <c r="Z38" s="1041">
        <f t="shared" ref="Z38:Z58" ca="1" si="0">T38/T$59+Z37</f>
        <v>0.16428299290395748</v>
      </c>
      <c r="AA38" s="1041"/>
    </row>
    <row r="39" spans="1:27">
      <c r="A39" s="919" t="str">
        <f>Décomposition!D14</f>
        <v>Fondations, radiers</v>
      </c>
      <c r="B39" s="1042">
        <f ca="1">Décomposition!S14</f>
        <v>50.809582120783205</v>
      </c>
      <c r="C39" s="1042">
        <f ca="1">Décomposition!N14</f>
        <v>45.460858638829919</v>
      </c>
      <c r="D39" s="1042">
        <f ca="1">Décomposition!O14</f>
        <v>0</v>
      </c>
      <c r="E39" s="1042">
        <f ca="1">Décomposition!P14</f>
        <v>0</v>
      </c>
      <c r="F39" s="1042">
        <f ca="1">Décomposition!Q14</f>
        <v>0</v>
      </c>
      <c r="G39" s="1042">
        <f ca="1">Décomposition!R14</f>
        <v>5.3487234819532921</v>
      </c>
      <c r="H39" t="s">
        <v>3815</v>
      </c>
      <c r="I39" s="1485">
        <f t="shared" ref="I39:I48" ca="1" si="1">B39</f>
        <v>50.809582120783205</v>
      </c>
      <c r="J39" s="273" t="str">
        <f t="shared" ref="J39:K58" si="2">A39</f>
        <v>Fondations, radiers</v>
      </c>
      <c r="K39" s="1042">
        <f t="shared" ref="K39:K54" ca="1" si="3">B39</f>
        <v>50.809582120783205</v>
      </c>
      <c r="L39" s="1042"/>
      <c r="M39" s="1042">
        <f ca="1">K39</f>
        <v>50.809582120783205</v>
      </c>
      <c r="N39" s="1042"/>
      <c r="O39" s="1042"/>
      <c r="P39" s="1042"/>
      <c r="Q39" s="1042"/>
      <c r="R39" s="1042"/>
      <c r="S39" s="273" t="str">
        <f ca="1"/>
        <v>Fenetres et portes</v>
      </c>
      <c r="T39" s="1042">
        <f ca="1"/>
        <v>53.303358493955095</v>
      </c>
      <c r="U39" s="1042">
        <f ca="1"/>
        <v>0</v>
      </c>
      <c r="V39" s="1042">
        <f ca="1"/>
        <v>0</v>
      </c>
      <c r="W39" s="1042">
        <f ca="1"/>
        <v>53.303358493955095</v>
      </c>
      <c r="X39" s="1042">
        <f ca="1"/>
        <v>0</v>
      </c>
      <c r="Y39" s="1042">
        <f ca="1"/>
        <v>0</v>
      </c>
      <c r="Z39" s="1042">
        <f t="shared" ca="1" si="0"/>
        <v>0.25940866093388809</v>
      </c>
      <c r="AA39" s="1042"/>
    </row>
    <row r="40" spans="1:27">
      <c r="A40" s="919" t="str">
        <f>Décomposition!D31</f>
        <v>Parois extérieures souterraines</v>
      </c>
      <c r="B40" s="1042">
        <f ca="1">Décomposition!S31</f>
        <v>0</v>
      </c>
      <c r="C40" s="1042">
        <f ca="1">Décomposition!N31</f>
        <v>0</v>
      </c>
      <c r="D40" s="1042">
        <f ca="1">Décomposition!O31</f>
        <v>0</v>
      </c>
      <c r="E40" s="1042">
        <f ca="1">Décomposition!P31</f>
        <v>0</v>
      </c>
      <c r="F40" s="1042">
        <f ca="1">Décomposition!Q31</f>
        <v>0</v>
      </c>
      <c r="G40" s="1042">
        <f ca="1">Décomposition!R31</f>
        <v>0</v>
      </c>
      <c r="H40" t="s">
        <v>526</v>
      </c>
      <c r="I40" s="1485">
        <f t="shared" ca="1" si="1"/>
        <v>0</v>
      </c>
      <c r="J40" s="273" t="str">
        <f t="shared" si="2"/>
        <v>Parois extérieures souterraines</v>
      </c>
      <c r="K40" s="1042">
        <f t="shared" ca="1" si="3"/>
        <v>0</v>
      </c>
      <c r="L40" s="1042"/>
      <c r="M40" s="1042">
        <f ca="1">K40</f>
        <v>0</v>
      </c>
      <c r="N40" s="1042"/>
      <c r="O40" s="1042"/>
      <c r="P40" s="1042"/>
      <c r="Q40" s="1042"/>
      <c r="R40" s="1042"/>
      <c r="S40" s="273" t="str">
        <f ca="1"/>
        <v>Fondations, radiers</v>
      </c>
      <c r="T40" s="1042">
        <f ca="1"/>
        <v>50.809582120783205</v>
      </c>
      <c r="U40" s="1042">
        <f ca="1"/>
        <v>0</v>
      </c>
      <c r="V40" s="1042">
        <f ca="1"/>
        <v>50.809582120783205</v>
      </c>
      <c r="W40" s="1042">
        <f ca="1"/>
        <v>0</v>
      </c>
      <c r="X40" s="1042">
        <f ca="1"/>
        <v>0</v>
      </c>
      <c r="Y40" s="1042">
        <f ca="1"/>
        <v>0</v>
      </c>
      <c r="Z40" s="1042">
        <f t="shared" ca="1" si="0"/>
        <v>0.35008391251506649</v>
      </c>
      <c r="AA40" s="1042"/>
    </row>
    <row r="41" spans="1:27">
      <c r="A41" s="919" t="str">
        <f>Décomposition!D41</f>
        <v>Toitures souterraines</v>
      </c>
      <c r="B41" s="1042">
        <f ca="1">Décomposition!S41</f>
        <v>0</v>
      </c>
      <c r="C41" s="1042">
        <f ca="1">Décomposition!N41</f>
        <v>0</v>
      </c>
      <c r="D41" s="1042">
        <f ca="1">Décomposition!O41</f>
        <v>0</v>
      </c>
      <c r="E41" s="1042">
        <f ca="1">Décomposition!P41</f>
        <v>0</v>
      </c>
      <c r="F41" s="1042">
        <f ca="1">Décomposition!Q41</f>
        <v>0</v>
      </c>
      <c r="G41" s="1042">
        <f ca="1">Décomposition!R41</f>
        <v>0</v>
      </c>
      <c r="H41" t="s">
        <v>529</v>
      </c>
      <c r="I41" s="1485">
        <f t="shared" ca="1" si="1"/>
        <v>0</v>
      </c>
      <c r="J41" s="273" t="str">
        <f t="shared" si="2"/>
        <v>Toitures souterraines</v>
      </c>
      <c r="K41" s="1042">
        <f t="shared" ca="1" si="3"/>
        <v>0</v>
      </c>
      <c r="L41" s="1042"/>
      <c r="M41" s="1042">
        <f ca="1">K41</f>
        <v>0</v>
      </c>
      <c r="N41" s="1042"/>
      <c r="O41" s="1042"/>
      <c r="P41" s="1042"/>
      <c r="Q41" s="1042"/>
      <c r="R41" s="1042"/>
      <c r="S41" s="273" t="str">
        <f ca="1"/>
        <v>Parois intérieures</v>
      </c>
      <c r="T41" s="1042">
        <f ca="1"/>
        <v>50.101569875965382</v>
      </c>
      <c r="U41" s="1042">
        <f ca="1"/>
        <v>0</v>
      </c>
      <c r="V41" s="1042">
        <f ca="1"/>
        <v>0</v>
      </c>
      <c r="W41" s="1042">
        <f ca="1"/>
        <v>0</v>
      </c>
      <c r="X41" s="1042">
        <f ca="1"/>
        <v>50.101569875965382</v>
      </c>
      <c r="Y41" s="1042">
        <f ca="1"/>
        <v>0</v>
      </c>
      <c r="Z41" s="1042">
        <f t="shared" ca="1" si="0"/>
        <v>0.43949563887636023</v>
      </c>
      <c r="AA41" s="1042"/>
    </row>
    <row r="42" spans="1:27">
      <c r="A42" s="919" t="str">
        <f>Décomposition!D53</f>
        <v>Parois extérieures hors terrain</v>
      </c>
      <c r="B42" s="1042">
        <f ca="1">Décomposition!S53</f>
        <v>5.3826302333333338</v>
      </c>
      <c r="C42" s="1042">
        <f ca="1">Décomposition!N53</f>
        <v>3.760353733333333</v>
      </c>
      <c r="D42" s="1042">
        <f ca="1">Décomposition!O53</f>
        <v>0</v>
      </c>
      <c r="E42" s="1042">
        <f ca="1">Décomposition!P53</f>
        <v>0</v>
      </c>
      <c r="F42" s="1042">
        <f ca="1">Décomposition!Q53</f>
        <v>0</v>
      </c>
      <c r="G42" s="1042">
        <f ca="1">Décomposition!R53</f>
        <v>1.6222765000000003</v>
      </c>
      <c r="H42" t="s">
        <v>533</v>
      </c>
      <c r="I42" s="1485">
        <f t="shared" ca="1" si="1"/>
        <v>5.3826302333333338</v>
      </c>
      <c r="J42" s="273" t="str">
        <f t="shared" si="2"/>
        <v>Parois extérieures hors terrain</v>
      </c>
      <c r="K42" s="1042">
        <f t="shared" ca="1" si="3"/>
        <v>5.3826302333333338</v>
      </c>
      <c r="L42" s="1042"/>
      <c r="M42" s="1042"/>
      <c r="N42" s="1042">
        <f ca="1">K42</f>
        <v>5.3826302333333338</v>
      </c>
      <c r="O42" s="1042"/>
      <c r="P42" s="1042"/>
      <c r="Q42" s="1042"/>
      <c r="R42" s="1042"/>
      <c r="S42" s="273" t="str">
        <f ca="1"/>
        <v>Revêtement intérieurs parois</v>
      </c>
      <c r="T42" s="1042">
        <f ca="1"/>
        <v>43.476249238341964</v>
      </c>
      <c r="U42" s="1042">
        <f ca="1"/>
        <v>0</v>
      </c>
      <c r="V42" s="1042">
        <f ca="1"/>
        <v>0</v>
      </c>
      <c r="W42" s="1042">
        <f ca="1"/>
        <v>0</v>
      </c>
      <c r="X42" s="1042">
        <f ca="1"/>
        <v>43.476249238341964</v>
      </c>
      <c r="Y42" s="1042">
        <f ca="1"/>
        <v>0</v>
      </c>
      <c r="Z42" s="1042">
        <f t="shared" ca="1" si="0"/>
        <v>0.51708375656883276</v>
      </c>
      <c r="AA42" s="1042"/>
    </row>
    <row r="43" spans="1:27">
      <c r="A43" s="919" t="str">
        <f>Décomposition!D61</f>
        <v>Revetements extérieurs de facades</v>
      </c>
      <c r="B43" s="1042">
        <f ca="1">Décomposition!S61</f>
        <v>39.610410099985664</v>
      </c>
      <c r="C43" s="1042">
        <f ca="1">Décomposition!N61</f>
        <v>17.809038797499998</v>
      </c>
      <c r="D43" s="1042">
        <f ca="1">Décomposition!O61</f>
        <v>0</v>
      </c>
      <c r="E43" s="1042">
        <f ca="1">Décomposition!P61</f>
        <v>0</v>
      </c>
      <c r="F43" s="1042">
        <f ca="1">Décomposition!Q61</f>
        <v>19.805205049992832</v>
      </c>
      <c r="G43" s="1042">
        <f ca="1">Décomposition!R61</f>
        <v>1.9961662524928334</v>
      </c>
      <c r="H43" t="s">
        <v>3816</v>
      </c>
      <c r="I43" s="1485">
        <f t="shared" ca="1" si="1"/>
        <v>39.610410099985664</v>
      </c>
      <c r="J43" s="273" t="str">
        <f t="shared" si="2"/>
        <v>Revetements extérieurs de facades</v>
      </c>
      <c r="K43" s="1042">
        <f t="shared" ca="1" si="3"/>
        <v>39.610410099985664</v>
      </c>
      <c r="L43" s="1042"/>
      <c r="M43" s="1042"/>
      <c r="N43" s="1042">
        <f ca="1">K43</f>
        <v>39.610410099985664</v>
      </c>
      <c r="O43" s="1042"/>
      <c r="P43" s="1042"/>
      <c r="Q43" s="1042"/>
      <c r="R43" s="1042"/>
      <c r="S43" s="273" t="str">
        <f ca="1"/>
        <v>Couvertures</v>
      </c>
      <c r="T43" s="1042">
        <f ca="1"/>
        <v>40.189421120713448</v>
      </c>
      <c r="U43" s="1042">
        <f ca="1"/>
        <v>0</v>
      </c>
      <c r="V43" s="1042">
        <f ca="1"/>
        <v>0</v>
      </c>
      <c r="W43" s="1042">
        <f ca="1"/>
        <v>40.189421120713448</v>
      </c>
      <c r="X43" s="1042">
        <f ca="1"/>
        <v>0</v>
      </c>
      <c r="Y43" s="1042">
        <f ca="1"/>
        <v>0</v>
      </c>
      <c r="Z43" s="1042">
        <f t="shared" ca="1" si="0"/>
        <v>0.58880617031275517</v>
      </c>
      <c r="AA43" s="1042"/>
    </row>
    <row r="44" spans="1:27">
      <c r="A44" s="919" t="str">
        <f>Décomposition!D75</f>
        <v>Fenetres et portes</v>
      </c>
      <c r="B44" s="1042">
        <f ca="1">Décomposition!S75</f>
        <v>53.303358493955095</v>
      </c>
      <c r="C44" s="1042">
        <f ca="1">Décomposition!N75</f>
        <v>24.545551326424871</v>
      </c>
      <c r="D44" s="1042">
        <f ca="1">Décomposition!O75</f>
        <v>0</v>
      </c>
      <c r="E44" s="1042">
        <f ca="1">Décomposition!P75</f>
        <v>26.651679246977547</v>
      </c>
      <c r="F44" s="1042">
        <f ca="1">Décomposition!Q75</f>
        <v>0</v>
      </c>
      <c r="G44" s="1042">
        <f ca="1">Décomposition!R75</f>
        <v>2.1061279205526775</v>
      </c>
      <c r="H44" t="s">
        <v>540</v>
      </c>
      <c r="I44" s="1485">
        <f t="shared" ca="1" si="1"/>
        <v>53.303358493955095</v>
      </c>
      <c r="J44" s="273" t="str">
        <f t="shared" si="2"/>
        <v>Fenetres et portes</v>
      </c>
      <c r="K44" s="1042">
        <f t="shared" ca="1" si="3"/>
        <v>53.303358493955095</v>
      </c>
      <c r="L44" s="1042"/>
      <c r="M44" s="1042"/>
      <c r="N44" s="1042">
        <f ca="1">K44</f>
        <v>53.303358493955095</v>
      </c>
      <c r="O44" s="1042"/>
      <c r="P44" s="1042"/>
      <c r="Q44" s="1042"/>
      <c r="R44" s="1042"/>
      <c r="S44" s="273" t="str">
        <f ca="1"/>
        <v>Revetements extérieurs de facades</v>
      </c>
      <c r="T44" s="1042">
        <f ca="1"/>
        <v>39.610410099985664</v>
      </c>
      <c r="U44" s="1042">
        <f ca="1"/>
        <v>0</v>
      </c>
      <c r="V44" s="1042">
        <f ca="1"/>
        <v>0</v>
      </c>
      <c r="W44" s="1042">
        <f ca="1"/>
        <v>39.610410099985664</v>
      </c>
      <c r="X44" s="1042">
        <f ca="1"/>
        <v>0</v>
      </c>
      <c r="Y44" s="1042">
        <f ca="1"/>
        <v>0</v>
      </c>
      <c r="Z44" s="1042">
        <f t="shared" ca="1" si="0"/>
        <v>0.65949527561796695</v>
      </c>
      <c r="AA44" s="1042"/>
    </row>
    <row r="45" spans="1:27">
      <c r="A45" s="919" t="str">
        <f>Décomposition!D86</f>
        <v>Toitures (structure porteuse)</v>
      </c>
      <c r="B45" s="1042">
        <f ca="1">Décomposition!S86</f>
        <v>7.6379233333333332</v>
      </c>
      <c r="C45" s="1042">
        <f ca="1">Décomposition!N86</f>
        <v>6.0743</v>
      </c>
      <c r="D45" s="1042">
        <f ca="1">Décomposition!O86</f>
        <v>0</v>
      </c>
      <c r="E45" s="1042">
        <f ca="1">Décomposition!P86</f>
        <v>0</v>
      </c>
      <c r="F45" s="1042">
        <f ca="1">Décomposition!Q86</f>
        <v>0</v>
      </c>
      <c r="G45" s="1042">
        <f ca="1">Décomposition!R86</f>
        <v>1.5636233333333334</v>
      </c>
      <c r="H45" t="s">
        <v>543</v>
      </c>
      <c r="I45" s="1485">
        <f t="shared" ca="1" si="1"/>
        <v>7.6379233333333332</v>
      </c>
      <c r="J45" s="273" t="str">
        <f t="shared" si="2"/>
        <v>Toitures (structure porteuse)</v>
      </c>
      <c r="K45" s="1042">
        <f t="shared" ca="1" si="3"/>
        <v>7.6379233333333332</v>
      </c>
      <c r="L45" s="1042"/>
      <c r="M45" s="1042"/>
      <c r="N45" s="1042">
        <f ca="1">K45</f>
        <v>7.6379233333333332</v>
      </c>
      <c r="O45" s="1042"/>
      <c r="P45" s="1042"/>
      <c r="Q45" s="1042"/>
      <c r="R45" s="1042"/>
      <c r="S45" s="273" t="str">
        <f ca="1"/>
        <v>Installations de ventilation et de conditionnement d'air</v>
      </c>
      <c r="T45" s="1042">
        <f ca="1"/>
        <v>37.165999999999997</v>
      </c>
      <c r="U45" s="1042">
        <f ca="1"/>
        <v>0</v>
      </c>
      <c r="V45" s="1042">
        <f ca="1"/>
        <v>0</v>
      </c>
      <c r="W45" s="1042">
        <f ca="1"/>
        <v>0</v>
      </c>
      <c r="X45" s="1042">
        <f ca="1"/>
        <v>0</v>
      </c>
      <c r="Y45" s="1042">
        <f ca="1"/>
        <v>37.165999999999997</v>
      </c>
      <c r="Z45" s="1042">
        <f t="shared" ca="1" si="0"/>
        <v>0.72582206398349447</v>
      </c>
      <c r="AA45" s="1042"/>
    </row>
    <row r="46" spans="1:27">
      <c r="A46" s="919" t="str">
        <f>Décomposition!D95</f>
        <v>Couvertures</v>
      </c>
      <c r="B46" s="1042">
        <f ca="1">Décomposition!S95</f>
        <v>40.189421120713448</v>
      </c>
      <c r="C46" s="1042">
        <f ca="1">Décomposition!N95</f>
        <v>18.922593081977936</v>
      </c>
      <c r="D46" s="1042">
        <f ca="1">Décomposition!O95</f>
        <v>0</v>
      </c>
      <c r="E46" s="1042">
        <f ca="1">Décomposition!P95</f>
        <v>0</v>
      </c>
      <c r="F46" s="1042">
        <f ca="1">Décomposition!Q95</f>
        <v>20.094710560356724</v>
      </c>
      <c r="G46" s="1042">
        <f ca="1">Décomposition!R95</f>
        <v>1.1721174783787891</v>
      </c>
      <c r="H46" t="s">
        <v>546</v>
      </c>
      <c r="I46" s="1485">
        <f t="shared" ca="1" si="1"/>
        <v>40.189421120713448</v>
      </c>
      <c r="J46" s="273" t="str">
        <f t="shared" si="2"/>
        <v>Couvertures</v>
      </c>
      <c r="K46" s="1042">
        <f t="shared" ca="1" si="3"/>
        <v>40.189421120713448</v>
      </c>
      <c r="L46" s="1042"/>
      <c r="M46" s="1042"/>
      <c r="N46" s="1042">
        <f ca="1">K46</f>
        <v>40.189421120713448</v>
      </c>
      <c r="O46" s="1042"/>
      <c r="P46" s="1042"/>
      <c r="Q46" s="1042"/>
      <c r="R46" s="1042"/>
      <c r="S46" s="273" t="str">
        <f ca="1"/>
        <v>Revetements de sols</v>
      </c>
      <c r="T46" s="1042">
        <f ca="1"/>
        <v>35.661653333333334</v>
      </c>
      <c r="U46" s="1042">
        <f ca="1"/>
        <v>0</v>
      </c>
      <c r="V46" s="1042">
        <f ca="1"/>
        <v>0</v>
      </c>
      <c r="W46" s="1042">
        <f ca="1"/>
        <v>0</v>
      </c>
      <c r="X46" s="1042">
        <f ca="1"/>
        <v>35.661653333333334</v>
      </c>
      <c r="Y46" s="1042">
        <f ca="1"/>
        <v>0</v>
      </c>
      <c r="Z46" s="1042">
        <f t="shared" ca="1" si="0"/>
        <v>0.78946418133281393</v>
      </c>
      <c r="AA46" s="1042"/>
    </row>
    <row r="47" spans="1:27">
      <c r="A47" s="919" t="str">
        <f>Décomposition!D109</f>
        <v>Parois intérieures</v>
      </c>
      <c r="B47" s="1042">
        <f ca="1">Décomposition!S109</f>
        <v>50.101569875965382</v>
      </c>
      <c r="C47" s="1042">
        <f ca="1">Décomposition!N109</f>
        <v>34.911243845972081</v>
      </c>
      <c r="D47" s="1042">
        <f ca="1">Décomposition!O109</f>
        <v>0</v>
      </c>
      <c r="E47" s="1042">
        <f ca="1">Décomposition!P109</f>
        <v>12.196985313600001</v>
      </c>
      <c r="F47" s="1042">
        <f ca="1">Décomposition!Q109</f>
        <v>0</v>
      </c>
      <c r="G47" s="1042">
        <f ca="1">Décomposition!R109</f>
        <v>2.9933407163933072</v>
      </c>
      <c r="H47" t="s">
        <v>3817</v>
      </c>
      <c r="I47" s="1485">
        <f t="shared" ca="1" si="1"/>
        <v>50.101569875965382</v>
      </c>
      <c r="J47" s="273" t="str">
        <f t="shared" si="2"/>
        <v>Parois intérieures</v>
      </c>
      <c r="K47" s="1042">
        <f t="shared" ca="1" si="3"/>
        <v>50.101569875965382</v>
      </c>
      <c r="L47" s="1042"/>
      <c r="M47" s="1042"/>
      <c r="N47" s="1042"/>
      <c r="O47" s="1042">
        <f t="shared" ref="O47:O54" ca="1" si="4">K47</f>
        <v>50.101569875965382</v>
      </c>
      <c r="P47" s="1042"/>
      <c r="Q47" s="1042"/>
      <c r="R47" s="1042"/>
      <c r="S47" s="273" t="str">
        <f ca="1"/>
        <v>Installations techniques de chauffage</v>
      </c>
      <c r="T47" s="1042">
        <f ca="1"/>
        <v>31.882254922279792</v>
      </c>
      <c r="U47" s="1042">
        <f ca="1"/>
        <v>0</v>
      </c>
      <c r="V47" s="1042">
        <f ca="1"/>
        <v>0</v>
      </c>
      <c r="W47" s="1042">
        <f ca="1"/>
        <v>0</v>
      </c>
      <c r="X47" s="1042">
        <f ca="1"/>
        <v>0</v>
      </c>
      <c r="Y47" s="1042">
        <f ca="1"/>
        <v>31.882254922279792</v>
      </c>
      <c r="Z47" s="1042">
        <f t="shared" ca="1" si="0"/>
        <v>0.84636154921867324</v>
      </c>
      <c r="AA47" s="1042"/>
    </row>
    <row r="48" spans="1:27">
      <c r="A48" s="919" t="str">
        <f>Décomposition!D134</f>
        <v>Planchers internes</v>
      </c>
      <c r="B48" s="1042">
        <f ca="1">Décomposition!S134</f>
        <v>31.167673312101911</v>
      </c>
      <c r="C48" s="1042">
        <f ca="1">Décomposition!N134</f>
        <v>26.077550955414011</v>
      </c>
      <c r="D48" s="1042">
        <f ca="1">Décomposition!O134</f>
        <v>0</v>
      </c>
      <c r="E48" s="1042">
        <f ca="1">Décomposition!P134</f>
        <v>0</v>
      </c>
      <c r="F48" s="1042">
        <f ca="1">Décomposition!Q134</f>
        <v>0</v>
      </c>
      <c r="G48" s="1042">
        <f ca="1">Décomposition!R134</f>
        <v>5.0901223566878979</v>
      </c>
      <c r="H48" t="s">
        <v>554</v>
      </c>
      <c r="I48" s="1485">
        <f t="shared" ca="1" si="1"/>
        <v>31.167673312101911</v>
      </c>
      <c r="J48" s="273" t="str">
        <f t="shared" si="2"/>
        <v>Planchers internes</v>
      </c>
      <c r="K48" s="1042">
        <f t="shared" ca="1" si="3"/>
        <v>31.167673312101911</v>
      </c>
      <c r="L48" s="1042"/>
      <c r="M48" s="1042"/>
      <c r="N48" s="1042"/>
      <c r="O48" s="1042">
        <f t="shared" ca="1" si="4"/>
        <v>31.167673312101911</v>
      </c>
      <c r="P48" s="1042"/>
      <c r="Q48" s="1042"/>
      <c r="R48" s="1042"/>
      <c r="S48" s="273" t="str">
        <f ca="1"/>
        <v>Planchers internes</v>
      </c>
      <c r="T48" s="1042">
        <f ca="1"/>
        <v>31.167673312101911</v>
      </c>
      <c r="U48" s="1042">
        <f ca="1"/>
        <v>0</v>
      </c>
      <c r="V48" s="1042">
        <f ca="1"/>
        <v>0</v>
      </c>
      <c r="W48" s="1042">
        <f ca="1"/>
        <v>0</v>
      </c>
      <c r="X48" s="1042">
        <f ca="1"/>
        <v>31.167673312101911</v>
      </c>
      <c r="Y48" s="1042">
        <f ca="1"/>
        <v>0</v>
      </c>
      <c r="Z48" s="1042">
        <f t="shared" ca="1" si="0"/>
        <v>0.90198366813428654</v>
      </c>
      <c r="AA48" s="1042"/>
    </row>
    <row r="49" spans="1:27">
      <c r="A49" s="919" t="str">
        <f>Décomposition!D161</f>
        <v>Escaliers et rampes</v>
      </c>
      <c r="B49" s="1042">
        <f ca="1">Décomposition!S161</f>
        <v>0</v>
      </c>
      <c r="C49" s="1042">
        <f ca="1">Décomposition!N161</f>
        <v>0</v>
      </c>
      <c r="D49" s="1042">
        <f ca="1">Décomposition!O161</f>
        <v>0</v>
      </c>
      <c r="E49" s="1042">
        <f ca="1">Décomposition!P161</f>
        <v>0</v>
      </c>
      <c r="F49" s="1042">
        <f ca="1">Décomposition!Q161</f>
        <v>0</v>
      </c>
      <c r="G49" s="1042">
        <f ca="1">Décomposition!R161</f>
        <v>0</v>
      </c>
      <c r="H49" t="s">
        <v>3818</v>
      </c>
      <c r="I49" s="1485">
        <f ca="1">B52+B54</f>
        <v>45.743490333333334</v>
      </c>
      <c r="J49" s="273"/>
      <c r="K49" s="1042"/>
      <c r="L49" s="1042"/>
      <c r="M49" s="1042"/>
      <c r="N49" s="1042"/>
      <c r="O49" s="1042"/>
      <c r="P49" s="1042"/>
      <c r="Q49" s="1042"/>
      <c r="R49" s="1042"/>
      <c r="S49" s="273" t="str">
        <f ca="1"/>
        <v>Installations techniques d'eau</v>
      </c>
      <c r="T49" s="1042">
        <f ca="1"/>
        <v>25.08</v>
      </c>
      <c r="U49" s="1042">
        <f ca="1"/>
        <v>0</v>
      </c>
      <c r="V49" s="1042">
        <f ca="1"/>
        <v>0</v>
      </c>
      <c r="W49" s="1042">
        <f ca="1"/>
        <v>0</v>
      </c>
      <c r="X49" s="1042">
        <f ca="1"/>
        <v>0</v>
      </c>
      <c r="Y49" s="1042">
        <f ca="1"/>
        <v>25.08</v>
      </c>
      <c r="Z49" s="1042">
        <f t="shared" ca="1" si="0"/>
        <v>0.94674166878561916</v>
      </c>
      <c r="AA49" s="1042"/>
    </row>
    <row r="50" spans="1:27">
      <c r="A50" s="919" t="str">
        <f>Décomposition!D168</f>
        <v>Balcons, avant-toits</v>
      </c>
      <c r="B50" s="1042">
        <f ca="1">Décomposition!S168</f>
        <v>4.7492419999999997</v>
      </c>
      <c r="C50" s="1042">
        <f ca="1">Décomposition!N168</f>
        <v>1.80667</v>
      </c>
      <c r="D50" s="1042">
        <f ca="1">Décomposition!O168</f>
        <v>0</v>
      </c>
      <c r="E50" s="1042">
        <f ca="1">Décomposition!P168</f>
        <v>0</v>
      </c>
      <c r="F50" s="1042">
        <f ca="1">Décomposition!Q168</f>
        <v>2.3746209999999999</v>
      </c>
      <c r="G50" s="1042">
        <f ca="1">Décomposition!R168</f>
        <v>0.56795099999999998</v>
      </c>
      <c r="H50" t="s">
        <v>560</v>
      </c>
      <c r="I50" s="1485">
        <f ca="1">B50</f>
        <v>4.7492419999999997</v>
      </c>
      <c r="J50" s="273" t="str">
        <f t="shared" si="2"/>
        <v>Balcons, avant-toits</v>
      </c>
      <c r="K50" s="1042">
        <f t="shared" ca="1" si="3"/>
        <v>4.7492419999999997</v>
      </c>
      <c r="L50" s="1042"/>
      <c r="M50" s="1042"/>
      <c r="N50" s="1042"/>
      <c r="O50" s="1042">
        <f t="shared" ca="1" si="4"/>
        <v>4.7492419999999997</v>
      </c>
      <c r="P50" s="1042"/>
      <c r="Q50" s="1042"/>
      <c r="R50" s="1042"/>
      <c r="S50" s="273" t="str">
        <f ca="1"/>
        <v>Revetements plafonds</v>
      </c>
      <c r="T50" s="1042">
        <f ca="1"/>
        <v>10.081837</v>
      </c>
      <c r="U50" s="1042">
        <f ca="1"/>
        <v>0</v>
      </c>
      <c r="V50" s="1042">
        <f ca="1"/>
        <v>0</v>
      </c>
      <c r="W50" s="1042">
        <f ca="1"/>
        <v>0</v>
      </c>
      <c r="X50" s="1042">
        <f ca="1"/>
        <v>10.081837</v>
      </c>
      <c r="Y50" s="1042">
        <f ca="1"/>
        <v>0</v>
      </c>
      <c r="Z50" s="1042">
        <f t="shared" ca="1" si="0"/>
        <v>0.96473380861865865</v>
      </c>
      <c r="AA50" s="1042"/>
    </row>
    <row r="51" spans="1:27">
      <c r="A51" s="919" t="str">
        <f>Décomposition!D178</f>
        <v>Portes</v>
      </c>
      <c r="B51" s="1042">
        <f ca="1">Décomposition!S178</f>
        <v>0</v>
      </c>
      <c r="C51" s="1042">
        <f ca="1">Décomposition!N178</f>
        <v>0</v>
      </c>
      <c r="D51" s="1042">
        <f ca="1">Décomposition!O178</f>
        <v>0</v>
      </c>
      <c r="E51" s="1042">
        <f ca="1">Décomposition!P178</f>
        <v>0</v>
      </c>
      <c r="F51" s="1042">
        <f ca="1">Décomposition!Q178</f>
        <v>0</v>
      </c>
      <c r="G51" s="1042">
        <f ca="1">Décomposition!R178</f>
        <v>0</v>
      </c>
      <c r="H51" t="s">
        <v>558</v>
      </c>
      <c r="I51" s="1485">
        <f ca="1">B49</f>
        <v>0</v>
      </c>
      <c r="J51" s="273"/>
      <c r="K51" s="1042">
        <f t="shared" ca="1" si="3"/>
        <v>0</v>
      </c>
      <c r="L51" s="1042"/>
      <c r="M51" s="1042"/>
      <c r="N51" s="1042"/>
      <c r="O51" s="1042">
        <f t="shared" ca="1" si="4"/>
        <v>0</v>
      </c>
      <c r="P51" s="1042"/>
      <c r="Q51" s="1042"/>
      <c r="R51" s="1042"/>
      <c r="S51" s="273" t="str">
        <f ca="1"/>
        <v>Toitures (structure porteuse)</v>
      </c>
      <c r="T51" s="1042">
        <f ca="1"/>
        <v>7.6379233333333332</v>
      </c>
      <c r="U51" s="1042">
        <f ca="1"/>
        <v>0</v>
      </c>
      <c r="V51" s="1042">
        <f ca="1"/>
        <v>0</v>
      </c>
      <c r="W51" s="1042">
        <f ca="1"/>
        <v>7.6379233333333332</v>
      </c>
      <c r="X51" s="1042">
        <f ca="1"/>
        <v>0</v>
      </c>
      <c r="Y51" s="1042">
        <f ca="1"/>
        <v>0</v>
      </c>
      <c r="Z51" s="1042">
        <f t="shared" ca="1" si="0"/>
        <v>0.97836451745151998</v>
      </c>
      <c r="AA51" s="1042"/>
    </row>
    <row r="52" spans="1:27">
      <c r="A52" s="919" t="str">
        <f>Décomposition!D182</f>
        <v>Revetements de sols</v>
      </c>
      <c r="B52" s="1042">
        <f ca="1">Décomposition!S182</f>
        <v>35.661653333333334</v>
      </c>
      <c r="C52" s="1042">
        <f ca="1">Décomposition!N182</f>
        <v>16.250466666666668</v>
      </c>
      <c r="D52" s="1042">
        <f ca="1">Décomposition!O182</f>
        <v>0</v>
      </c>
      <c r="E52" s="1042">
        <f ca="1">Décomposition!P182</f>
        <v>17.830826666666667</v>
      </c>
      <c r="F52" s="1042">
        <f ca="1">Décomposition!Q182</f>
        <v>0</v>
      </c>
      <c r="G52" s="1042">
        <f ca="1">Décomposition!R182</f>
        <v>1.5803600000000002</v>
      </c>
      <c r="H52" t="s">
        <v>48</v>
      </c>
      <c r="I52" s="1485">
        <f>SUM(B55:B58)</f>
        <v>186.18369533678759</v>
      </c>
      <c r="J52" s="273" t="str">
        <f t="shared" si="2"/>
        <v>Revetements de sols</v>
      </c>
      <c r="K52" s="1042">
        <f t="shared" ca="1" si="3"/>
        <v>35.661653333333334</v>
      </c>
      <c r="L52" s="1042"/>
      <c r="M52" s="1042"/>
      <c r="N52" s="1042"/>
      <c r="O52" s="1042">
        <f t="shared" ca="1" si="4"/>
        <v>35.661653333333334</v>
      </c>
      <c r="P52" s="1042"/>
      <c r="Q52" s="1042"/>
      <c r="R52" s="1042"/>
      <c r="S52" s="273" t="str">
        <f ca="1"/>
        <v>Parois extérieures hors terrain</v>
      </c>
      <c r="T52" s="1042">
        <f ca="1"/>
        <v>5.3826302333333338</v>
      </c>
      <c r="U52" s="1042">
        <f ca="1"/>
        <v>0</v>
      </c>
      <c r="V52" s="1042">
        <f ca="1"/>
        <v>0</v>
      </c>
      <c r="W52" s="1042">
        <f ca="1"/>
        <v>5.3826302333333338</v>
      </c>
      <c r="X52" s="1042">
        <f ca="1"/>
        <v>0</v>
      </c>
      <c r="Y52" s="1042">
        <f ca="1"/>
        <v>0</v>
      </c>
      <c r="Z52" s="1042">
        <f t="shared" ca="1" si="0"/>
        <v>0.98797040929719049</v>
      </c>
      <c r="AA52" s="1042"/>
    </row>
    <row r="53" spans="1:27">
      <c r="A53" s="919" t="str">
        <f>Décomposition!D238</f>
        <v>Revêtement intérieurs parois</v>
      </c>
      <c r="B53" s="1042">
        <f ca="1">Décomposition!S238</f>
        <v>43.476249238341964</v>
      </c>
      <c r="C53" s="1042">
        <f ca="1">Décomposition!N238</f>
        <v>20.540304020725387</v>
      </c>
      <c r="D53" s="1042">
        <f ca="1">Décomposition!O238</f>
        <v>0</v>
      </c>
      <c r="E53" s="1042">
        <f ca="1">Décomposition!P238</f>
        <v>21.738124619170982</v>
      </c>
      <c r="F53" s="1042">
        <f ca="1">Décomposition!Q238</f>
        <v>0</v>
      </c>
      <c r="G53" s="1042">
        <f ca="1">Décomposition!R238</f>
        <v>1.1978205984455959</v>
      </c>
      <c r="H53" t="s">
        <v>290</v>
      </c>
      <c r="I53" s="1485">
        <f ca="1">SUM(I38:I52)</f>
        <v>516.87049626029227</v>
      </c>
      <c r="J53" s="273" t="str">
        <f t="shared" si="2"/>
        <v>Revêtement intérieurs parois</v>
      </c>
      <c r="K53" s="1042">
        <f t="shared" ca="1" si="3"/>
        <v>43.476249238341964</v>
      </c>
      <c r="L53" s="1042"/>
      <c r="M53" s="1042"/>
      <c r="N53" s="1042"/>
      <c r="O53" s="1042">
        <f t="shared" ca="1" si="4"/>
        <v>43.476249238341964</v>
      </c>
      <c r="P53" s="1042"/>
      <c r="Q53" s="1042"/>
      <c r="R53" s="1042"/>
      <c r="S53" s="273" t="str">
        <f ca="1"/>
        <v>Balcons, avant-toits</v>
      </c>
      <c r="T53" s="1042">
        <f ca="1"/>
        <v>4.7492419999999997</v>
      </c>
      <c r="U53" s="1042">
        <f ca="1"/>
        <v>0</v>
      </c>
      <c r="V53" s="1042">
        <f ca="1"/>
        <v>0</v>
      </c>
      <c r="W53" s="1042">
        <f ca="1"/>
        <v>0</v>
      </c>
      <c r="X53" s="1042">
        <f ca="1"/>
        <v>4.7492419999999997</v>
      </c>
      <c r="Y53" s="1042">
        <f ca="1"/>
        <v>0</v>
      </c>
      <c r="Z53" s="1042">
        <f t="shared" ca="1" si="0"/>
        <v>0.99644595062611141</v>
      </c>
      <c r="AA53" s="1042"/>
    </row>
    <row r="54" spans="1:27">
      <c r="A54" s="919" t="str">
        <f>Décomposition!D251</f>
        <v>Revetements plafonds</v>
      </c>
      <c r="B54" s="1042">
        <f ca="1">Décomposition!S251</f>
        <v>10.081837</v>
      </c>
      <c r="C54" s="1042">
        <f ca="1">Décomposition!N251</f>
        <v>4.6392510000000007</v>
      </c>
      <c r="D54" s="1042">
        <f ca="1">Décomposition!O251</f>
        <v>0</v>
      </c>
      <c r="E54" s="1042">
        <f ca="1">Décomposition!P251</f>
        <v>5.0409185000000001</v>
      </c>
      <c r="F54" s="1042">
        <f ca="1">Décomposition!Q251</f>
        <v>0</v>
      </c>
      <c r="G54" s="1042">
        <f ca="1">Décomposition!R251</f>
        <v>0.40166750000000001</v>
      </c>
      <c r="J54" s="273" t="str">
        <f t="shared" si="2"/>
        <v>Revetements plafonds</v>
      </c>
      <c r="K54" s="1042">
        <f t="shared" ca="1" si="3"/>
        <v>10.081837</v>
      </c>
      <c r="L54" s="1042"/>
      <c r="M54" s="1042"/>
      <c r="N54" s="1042"/>
      <c r="O54" s="1042">
        <f t="shared" ca="1" si="4"/>
        <v>10.081837</v>
      </c>
      <c r="P54" s="1042"/>
      <c r="Q54" s="1042"/>
      <c r="R54" s="1042"/>
      <c r="S54" s="273" t="str">
        <f ca="1"/>
        <v>Fouilles</v>
      </c>
      <c r="T54" s="1042">
        <f ca="1"/>
        <v>1.9914999999999998</v>
      </c>
      <c r="U54" s="1042">
        <f ca="1"/>
        <v>1.9914999999999998</v>
      </c>
      <c r="V54" s="1042">
        <f ca="1"/>
        <v>0</v>
      </c>
      <c r="W54" s="1042">
        <f ca="1"/>
        <v>0</v>
      </c>
      <c r="X54" s="1042">
        <f ca="1"/>
        <v>0</v>
      </c>
      <c r="Y54" s="1042">
        <f ca="1"/>
        <v>0</v>
      </c>
      <c r="Z54" s="1042">
        <f t="shared" ca="1" si="0"/>
        <v>1.0000000000000002</v>
      </c>
      <c r="AA54" s="1042"/>
    </row>
    <row r="55" spans="1:27">
      <c r="A55" s="919" t="str">
        <f>Décomposition!D262</f>
        <v>Installations électriques</v>
      </c>
      <c r="B55" s="1042">
        <f>Décomposition!S262</f>
        <v>92.055440414507785</v>
      </c>
      <c r="C55" s="1042">
        <f>Décomposition!N262</f>
        <v>42.607720207253891</v>
      </c>
      <c r="D55" s="1042">
        <f>Décomposition!O262</f>
        <v>0</v>
      </c>
      <c r="E55" s="1042">
        <f>Décomposition!P262</f>
        <v>46.027720207253893</v>
      </c>
      <c r="F55" s="1042">
        <f>Décomposition!Q262</f>
        <v>0</v>
      </c>
      <c r="G55" s="1042">
        <f>Décomposition!R262</f>
        <v>3.42</v>
      </c>
      <c r="J55" s="273" t="str">
        <f t="shared" si="2"/>
        <v>Installations électriques</v>
      </c>
      <c r="K55" s="1042">
        <f t="shared" si="2"/>
        <v>92.055440414507785</v>
      </c>
      <c r="L55" s="1042"/>
      <c r="M55" s="1042"/>
      <c r="N55" s="1042"/>
      <c r="O55" s="1042"/>
      <c r="P55" s="1042">
        <f>K55</f>
        <v>92.055440414507785</v>
      </c>
      <c r="Q55" s="1042"/>
      <c r="R55" s="1042"/>
      <c r="S55" s="273" t="str">
        <f ca="1"/>
        <v>Parois extérieures souterraines</v>
      </c>
      <c r="T55" s="1042">
        <f ca="1"/>
        <v>0</v>
      </c>
      <c r="U55" s="1042">
        <f ca="1"/>
        <v>0</v>
      </c>
      <c r="V55" s="1042">
        <f ca="1"/>
        <v>0</v>
      </c>
      <c r="W55" s="1042">
        <f ca="1"/>
        <v>0</v>
      </c>
      <c r="X55" s="1042">
        <f ca="1"/>
        <v>0</v>
      </c>
      <c r="Y55" s="1042">
        <f ca="1"/>
        <v>0</v>
      </c>
      <c r="Z55" s="1042">
        <f t="shared" ca="1" si="0"/>
        <v>1.0000000000000002</v>
      </c>
      <c r="AA55" s="1042"/>
    </row>
    <row r="56" spans="1:27">
      <c r="A56" s="919" t="str">
        <f>Décomposition!D265</f>
        <v>Installations techniques de chauffage</v>
      </c>
      <c r="B56" s="1042">
        <f>Décomposition!S265</f>
        <v>31.882254922279792</v>
      </c>
      <c r="C56" s="1042">
        <f>Décomposition!N265</f>
        <v>11.689740932642486</v>
      </c>
      <c r="D56" s="1042">
        <f>Décomposition!O265</f>
        <v>2.5787999999999998</v>
      </c>
      <c r="E56" s="1042">
        <f>Décomposition!P265</f>
        <v>10.265932642487048</v>
      </c>
      <c r="F56" s="1042">
        <f>Décomposition!Q265</f>
        <v>4.3857948186528493</v>
      </c>
      <c r="G56" s="1042">
        <f>Décomposition!R265</f>
        <v>2.961986528497409</v>
      </c>
      <c r="J56" s="273" t="str">
        <f t="shared" si="2"/>
        <v>Installations techniques de chauffage</v>
      </c>
      <c r="K56" s="1042">
        <f t="shared" si="2"/>
        <v>31.882254922279792</v>
      </c>
      <c r="L56" s="1042"/>
      <c r="M56" s="1042"/>
      <c r="N56" s="1042"/>
      <c r="O56" s="1042"/>
      <c r="P56" s="1042">
        <f t="shared" ref="P56:P58" si="5">K56</f>
        <v>31.882254922279792</v>
      </c>
      <c r="Q56" s="1042"/>
      <c r="R56" s="1042"/>
      <c r="S56" s="273" t="str">
        <f ca="1"/>
        <v>Toitures souterraines</v>
      </c>
      <c r="T56" s="1042">
        <f ca="1"/>
        <v>0</v>
      </c>
      <c r="U56" s="1042">
        <f ca="1"/>
        <v>0</v>
      </c>
      <c r="V56" s="1042">
        <f ca="1"/>
        <v>0</v>
      </c>
      <c r="W56" s="1042">
        <f ca="1"/>
        <v>0</v>
      </c>
      <c r="X56" s="1042">
        <f ca="1"/>
        <v>0</v>
      </c>
      <c r="Y56" s="1042">
        <f ca="1"/>
        <v>0</v>
      </c>
      <c r="Z56" s="1042">
        <f t="shared" ca="1" si="0"/>
        <v>1.0000000000000002</v>
      </c>
      <c r="AA56" s="1042"/>
    </row>
    <row r="57" spans="1:27">
      <c r="A57" s="919" t="str">
        <f>Décomposition!D271</f>
        <v>Installations de ventilation et de conditionnement d'air</v>
      </c>
      <c r="B57" s="1042">
        <f>Décomposition!S271</f>
        <v>37.165999999999997</v>
      </c>
      <c r="C57" s="1042">
        <f>Décomposition!N271</f>
        <v>18.12</v>
      </c>
      <c r="D57" s="1042">
        <f>Décomposition!O271</f>
        <v>0</v>
      </c>
      <c r="E57" s="1042">
        <f>Décomposition!P271</f>
        <v>18.582999999999998</v>
      </c>
      <c r="F57" s="1042">
        <f>Décomposition!Q271</f>
        <v>0</v>
      </c>
      <c r="G57" s="1042">
        <f>Décomposition!R271</f>
        <v>0.46300000000000002</v>
      </c>
      <c r="J57" s="273" t="str">
        <f t="shared" si="2"/>
        <v>Installations de ventilation et de conditionnement d'air</v>
      </c>
      <c r="K57" s="1042">
        <f t="shared" si="2"/>
        <v>37.165999999999997</v>
      </c>
      <c r="L57" s="1042"/>
      <c r="M57" s="1042"/>
      <c r="N57" s="1042"/>
      <c r="O57" s="1042"/>
      <c r="P57" s="1042">
        <f t="shared" si="5"/>
        <v>37.165999999999997</v>
      </c>
      <c r="Q57" s="1042"/>
      <c r="R57" s="1042"/>
      <c r="S57" s="273">
        <f ca="1"/>
        <v>0</v>
      </c>
      <c r="T57" s="1042">
        <f ca="1"/>
        <v>0</v>
      </c>
      <c r="U57" s="1042">
        <f ca="1"/>
        <v>0</v>
      </c>
      <c r="V57" s="1042">
        <f ca="1"/>
        <v>0</v>
      </c>
      <c r="W57" s="1042">
        <f ca="1"/>
        <v>0</v>
      </c>
      <c r="X57" s="1042">
        <f ca="1"/>
        <v>0</v>
      </c>
      <c r="Y57" s="1042">
        <f ca="1"/>
        <v>0</v>
      </c>
      <c r="Z57" s="1042">
        <f t="shared" ca="1" si="0"/>
        <v>1.0000000000000002</v>
      </c>
      <c r="AA57" s="1042"/>
    </row>
    <row r="58" spans="1:27" ht="16.5" thickBot="1">
      <c r="A58" s="919" t="str">
        <f>Décomposition!D274</f>
        <v>Installations techniques d'eau</v>
      </c>
      <c r="B58" s="1042">
        <f>Décomposition!S274</f>
        <v>25.08</v>
      </c>
      <c r="C58" s="1042">
        <f>Décomposition!N274</f>
        <v>11</v>
      </c>
      <c r="D58" s="1042">
        <f>Décomposition!O274</f>
        <v>0</v>
      </c>
      <c r="E58" s="1042">
        <f>Décomposition!P274</f>
        <v>12.54</v>
      </c>
      <c r="F58" s="1042">
        <f>Décomposition!Q274</f>
        <v>0</v>
      </c>
      <c r="G58" s="1042">
        <f>Décomposition!R274</f>
        <v>1.54</v>
      </c>
      <c r="J58" s="273" t="str">
        <f t="shared" si="2"/>
        <v>Installations techniques d'eau</v>
      </c>
      <c r="K58" s="1042">
        <f t="shared" si="2"/>
        <v>25.08</v>
      </c>
      <c r="L58" s="1042"/>
      <c r="M58" s="1042"/>
      <c r="N58" s="1042"/>
      <c r="O58" s="1042"/>
      <c r="P58" s="1042">
        <f t="shared" si="5"/>
        <v>25.08</v>
      </c>
      <c r="Q58" s="1042"/>
      <c r="R58" s="1042"/>
      <c r="S58" s="273">
        <f ca="1"/>
        <v>0</v>
      </c>
      <c r="T58" s="1042">
        <f ca="1"/>
        <v>0</v>
      </c>
      <c r="U58" s="1042">
        <f ca="1"/>
        <v>0</v>
      </c>
      <c r="V58" s="1042">
        <f ca="1"/>
        <v>0</v>
      </c>
      <c r="W58" s="1042">
        <f ca="1"/>
        <v>0</v>
      </c>
      <c r="X58" s="1042">
        <f ca="1"/>
        <v>0</v>
      </c>
      <c r="Y58" s="1042">
        <f ca="1"/>
        <v>0</v>
      </c>
      <c r="Z58" s="1042">
        <f t="shared" ca="1" si="0"/>
        <v>1.0000000000000002</v>
      </c>
      <c r="AA58" s="1042"/>
    </row>
    <row r="59" spans="1:27" ht="16.5" thickBot="1">
      <c r="C59" s="332" t="str">
        <f>'Outil simplifié'!$I$28</f>
        <v>Budget "upfront" (fin de chantier)</v>
      </c>
      <c r="D59" s="332" t="str">
        <f>'Outil simplifié'!$B$53</f>
        <v>Impact remplacements (20 ans)</v>
      </c>
      <c r="E59" s="332" t="str">
        <f>'Outil simplifié'!$B$54</f>
        <v>Impact remplacements (30 ans)</v>
      </c>
      <c r="F59" s="332" t="str">
        <f>'Outil simplifié'!$B$55</f>
        <v>Impact remplacements (40 ans)</v>
      </c>
      <c r="G59" s="332" t="str">
        <f>'Outil simplifié'!$B$56</f>
        <v>Impact fin de vie (60ans)</v>
      </c>
      <c r="J59" s="274"/>
      <c r="K59" s="1041"/>
      <c r="L59" s="1041"/>
      <c r="M59" s="1041"/>
      <c r="N59" s="1041"/>
      <c r="O59" s="1041"/>
      <c r="P59" s="1041"/>
      <c r="Q59" s="1041"/>
      <c r="R59" s="1041"/>
      <c r="S59" s="274"/>
      <c r="T59" s="187">
        <f ca="1">SUM(T38:T58)</f>
        <v>560.34674549863416</v>
      </c>
      <c r="U59" s="187"/>
      <c r="V59" s="187"/>
      <c r="W59" s="187"/>
      <c r="X59" s="187"/>
      <c r="Y59" s="187"/>
      <c r="Z59" s="187"/>
      <c r="AA59" s="188"/>
    </row>
    <row r="60" spans="1:27">
      <c r="A60" t="str">
        <f>'Outil détaillé'!B5</f>
        <v>Travaux préparatoires B06 / B07.02</v>
      </c>
      <c r="B60" s="1041">
        <f>B38</f>
        <v>1.9914999999999998</v>
      </c>
      <c r="C60" s="1041">
        <f t="shared" ref="C60:G60" si="6">C38</f>
        <v>1.9914999999999998</v>
      </c>
      <c r="D60" s="1041">
        <f t="shared" si="6"/>
        <v>0</v>
      </c>
      <c r="E60" s="1041">
        <f t="shared" si="6"/>
        <v>0</v>
      </c>
      <c r="F60" s="1041">
        <f t="shared" si="6"/>
        <v>0</v>
      </c>
      <c r="G60" s="1041">
        <f t="shared" si="6"/>
        <v>0</v>
      </c>
    </row>
    <row r="61" spans="1:27">
      <c r="A61" t="str">
        <f>'Outil détaillé'!B10</f>
        <v>Enveloppe du bâtiment souterraine C01 / 02 / 04 - E01 - F01</v>
      </c>
      <c r="B61" s="1042">
        <f t="shared" ref="B61:G61" ca="1" si="7">B39+B40+B41</f>
        <v>50.809582120783205</v>
      </c>
      <c r="C61" s="1042">
        <f t="shared" ca="1" si="7"/>
        <v>45.460858638829919</v>
      </c>
      <c r="D61" s="1042">
        <f t="shared" ca="1" si="7"/>
        <v>0</v>
      </c>
      <c r="E61" s="1042">
        <f t="shared" ca="1" si="7"/>
        <v>0</v>
      </c>
      <c r="F61" s="1042">
        <f t="shared" ca="1" si="7"/>
        <v>0</v>
      </c>
      <c r="G61" s="1042">
        <f t="shared" ca="1" si="7"/>
        <v>5.3487234819532921</v>
      </c>
    </row>
    <row r="62" spans="1:27">
      <c r="B62" s="1042"/>
      <c r="C62" s="1042"/>
      <c r="D62" s="1042"/>
      <c r="E62" s="1042"/>
      <c r="F62" s="1042"/>
      <c r="G62" s="1042"/>
    </row>
    <row r="63" spans="1:27">
      <c r="B63" s="1042"/>
      <c r="C63" s="1042"/>
      <c r="D63" s="1042"/>
      <c r="E63" s="1042"/>
      <c r="F63" s="1042"/>
      <c r="G63" s="1042"/>
    </row>
    <row r="64" spans="1:27">
      <c r="A64" t="str">
        <f>'Outil détaillé'!B17</f>
        <v>Enveloppe du bâtiment hors terrain C02 / 04 - E02 / 03 - F01 / 02</v>
      </c>
      <c r="B64" s="1042">
        <f t="shared" ref="B64:G64" ca="1" si="8">SUM(B42:B46)</f>
        <v>146.12374328132086</v>
      </c>
      <c r="C64" s="1042">
        <f t="shared" ca="1" si="8"/>
        <v>71.111836939236127</v>
      </c>
      <c r="D64" s="1042">
        <f t="shared" ca="1" si="8"/>
        <v>0</v>
      </c>
      <c r="E64" s="1042">
        <f t="shared" ca="1" si="8"/>
        <v>26.651679246977547</v>
      </c>
      <c r="F64" s="1042">
        <f t="shared" ca="1" si="8"/>
        <v>39.899915610349552</v>
      </c>
      <c r="G64" s="1042">
        <f t="shared" ca="1" si="8"/>
        <v>8.4603114847576322</v>
      </c>
    </row>
    <row r="65" spans="1:7">
      <c r="B65" s="1042"/>
      <c r="C65" s="1042"/>
      <c r="D65" s="1042"/>
      <c r="E65" s="1042"/>
      <c r="F65" s="1042"/>
      <c r="G65" s="1042"/>
    </row>
    <row r="66" spans="1:7">
      <c r="B66" s="1042"/>
      <c r="C66" s="1042"/>
      <c r="D66" s="1042"/>
      <c r="E66" s="1042"/>
      <c r="F66" s="1042"/>
      <c r="G66" s="1042"/>
    </row>
    <row r="67" spans="1:7">
      <c r="B67" s="1042"/>
      <c r="C67" s="1042"/>
      <c r="D67" s="1042"/>
      <c r="E67" s="1042"/>
      <c r="F67" s="1042"/>
      <c r="G67" s="1042"/>
    </row>
    <row r="68" spans="1:7">
      <c r="B68" s="1042"/>
      <c r="C68" s="1042"/>
      <c r="D68" s="1042"/>
      <c r="E68" s="1042"/>
      <c r="F68" s="1042"/>
      <c r="G68" s="1042"/>
    </row>
    <row r="69" spans="1:7">
      <c r="A69" t="str">
        <f>'Outil détaillé'!B30</f>
        <v>Eléments de construction intérieurs et extérieurs C02 / 04 - G02 / 03 / 04</v>
      </c>
      <c r="B69" s="1042">
        <f t="shared" ref="B69:G69" ca="1" si="9">SUM(B47:B54)</f>
        <v>175.23822475974259</v>
      </c>
      <c r="C69" s="1042">
        <f t="shared" ca="1" si="9"/>
        <v>104.22548648877815</v>
      </c>
      <c r="D69" s="1042">
        <f t="shared" ca="1" si="9"/>
        <v>0</v>
      </c>
      <c r="E69" s="1042">
        <f t="shared" ca="1" si="9"/>
        <v>56.806855099437655</v>
      </c>
      <c r="F69" s="1042">
        <f t="shared" ca="1" si="9"/>
        <v>2.3746209999999999</v>
      </c>
      <c r="G69" s="1042">
        <f t="shared" ca="1" si="9"/>
        <v>11.831262171526802</v>
      </c>
    </row>
    <row r="70" spans="1:7">
      <c r="B70" s="1042"/>
      <c r="C70" s="1042"/>
      <c r="D70" s="1042"/>
      <c r="E70" s="1042"/>
      <c r="F70" s="1042"/>
      <c r="G70" s="1042"/>
    </row>
    <row r="71" spans="1:7">
      <c r="B71" s="1042"/>
      <c r="C71" s="1042"/>
      <c r="D71" s="1042"/>
      <c r="E71" s="1042"/>
      <c r="F71" s="1042"/>
      <c r="G71" s="1042"/>
    </row>
    <row r="72" spans="1:7">
      <c r="B72" s="1042"/>
      <c r="C72" s="1042"/>
      <c r="D72" s="1042"/>
      <c r="E72" s="1042"/>
      <c r="F72" s="1042"/>
      <c r="G72" s="1042"/>
    </row>
    <row r="73" spans="1:7">
      <c r="B73" s="1042"/>
      <c r="C73" s="1042"/>
      <c r="D73" s="1042"/>
      <c r="E73" s="1042"/>
      <c r="F73" s="1042"/>
      <c r="G73" s="1042"/>
    </row>
    <row r="74" spans="1:7">
      <c r="B74" s="1042"/>
      <c r="C74" s="1042"/>
      <c r="D74" s="1042"/>
      <c r="E74" s="1042"/>
      <c r="F74" s="1042"/>
      <c r="G74" s="1042"/>
    </row>
    <row r="75" spans="1:7">
      <c r="B75" s="1042"/>
      <c r="C75" s="1042"/>
      <c r="D75" s="1042"/>
      <c r="E75" s="1042"/>
      <c r="F75" s="1042"/>
      <c r="G75" s="1042"/>
    </row>
    <row r="76" spans="1:7">
      <c r="B76" s="1042"/>
      <c r="C76" s="1042"/>
      <c r="D76" s="1042"/>
      <c r="E76" s="1042"/>
      <c r="F76" s="1042"/>
      <c r="G76" s="1042"/>
    </row>
    <row r="77" spans="1:7">
      <c r="A77" t="str">
        <f>'Outil détaillé'!B60</f>
        <v>Installations CVSE D01 / 05 / 07 / 08 / 12</v>
      </c>
      <c r="B77" s="1042">
        <f>SUM(B55:B58)</f>
        <v>186.18369533678759</v>
      </c>
      <c r="C77" s="1042">
        <f t="shared" ref="C77:G77" si="10">SUM(C55:C58)</f>
        <v>83.417461139896375</v>
      </c>
      <c r="D77" s="1042">
        <f t="shared" si="10"/>
        <v>2.5787999999999998</v>
      </c>
      <c r="E77" s="1042">
        <f t="shared" si="10"/>
        <v>87.416652849740927</v>
      </c>
      <c r="F77" s="1042">
        <f t="shared" si="10"/>
        <v>4.3857948186528493</v>
      </c>
      <c r="G77" s="1042">
        <f t="shared" si="10"/>
        <v>8.384986528497409</v>
      </c>
    </row>
    <row r="78" spans="1:7">
      <c r="B78" s="1042"/>
      <c r="C78" s="1042"/>
      <c r="D78" s="1042"/>
      <c r="E78" s="1042"/>
      <c r="F78" s="1042"/>
      <c r="G78" s="1042"/>
    </row>
    <row r="79" spans="1:7">
      <c r="B79" s="1042"/>
      <c r="C79" s="1042"/>
      <c r="D79" s="1042"/>
      <c r="E79" s="1042"/>
      <c r="F79" s="1042"/>
      <c r="G79" s="1042"/>
    </row>
    <row r="80" spans="1:7" ht="16.5" thickBot="1">
      <c r="B80" s="1042"/>
      <c r="C80" s="1042"/>
      <c r="D80" s="1042"/>
      <c r="E80" s="1042"/>
      <c r="F80" s="1042"/>
      <c r="G80" s="1042"/>
    </row>
    <row r="81" spans="1:7" ht="16.5" thickBot="1">
      <c r="A81" s="340" t="s">
        <v>208</v>
      </c>
      <c r="B81" s="341"/>
      <c r="C81" s="1043">
        <f>'Outil simplifié'!K28</f>
        <v>500.09781828949548</v>
      </c>
      <c r="D81" s="1043">
        <f>'Outil simplifié'!K29</f>
        <v>17.571004426387681</v>
      </c>
      <c r="E81" s="1043">
        <f>'Outil simplifié'!K30</f>
        <v>122.99703098471375</v>
      </c>
      <c r="F81" s="1043">
        <f>'Outil simplifié'!K31</f>
        <v>35.142008852775362</v>
      </c>
      <c r="G81" s="1043">
        <f>'Outil simplifié'!K32</f>
        <v>84.47764187324826</v>
      </c>
    </row>
  </sheetData>
  <customSheetViews>
    <customSheetView guid="{B32447E2-AB5B-4CBB-881B-FF11349CA4D6}">
      <selection activeCell="I13" sqref="I13"/>
      <pageMargins left="0" right="0" top="0" bottom="0" header="0" footer="0"/>
    </customSheetView>
    <customSheetView guid="{9FA74287-E657-475B-BF4B-3C8C757714AE}">
      <selection activeCell="I13" sqref="I13"/>
      <pageMargins left="0" right="0" top="0" bottom="0" header="0" footer="0"/>
    </customSheetView>
    <customSheetView guid="{54A7C567-FA7D-467E-B353-ECB5E61AE756}" scale="55">
      <selection activeCell="S9" sqref="S9"/>
      <pageMargins left="0" right="0" top="0" bottom="0" header="0" footer="0"/>
    </customSheetView>
  </customSheetViews>
  <mergeCells count="4">
    <mergeCell ref="B19:B22"/>
    <mergeCell ref="B6:B10"/>
    <mergeCell ref="B3:B5"/>
    <mergeCell ref="B11:B18"/>
  </mergeCells>
  <pageMargins left="0" right="0" top="0" bottom="0" header="0" footer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53BC5-FBFE-44DF-A78C-A4590DB0391F}">
  <sheetPr codeName="Feuil10"/>
  <dimension ref="B1:Z228"/>
  <sheetViews>
    <sheetView zoomScale="85" zoomScaleNormal="85" workbookViewId="0">
      <selection activeCell="AA7" sqref="AA7"/>
    </sheetView>
  </sheetViews>
  <sheetFormatPr baseColWidth="10" defaultColWidth="11" defaultRowHeight="15.75"/>
  <cols>
    <col min="2" max="2" width="62.75" style="273" bestFit="1" customWidth="1"/>
    <col min="3" max="3" width="12.75" style="171" bestFit="1" customWidth="1"/>
    <col min="4" max="4" width="9.75" customWidth="1"/>
    <col min="5" max="5" width="11" style="169"/>
    <col min="11" max="11" width="31.125" style="273" customWidth="1"/>
    <col min="18" max="18" width="11" style="169"/>
    <col min="19" max="19" width="11" style="273"/>
    <col min="23" max="23" width="11" style="169"/>
    <col min="24" max="24" width="11" style="273"/>
    <col min="25" max="25" width="42.5" bestFit="1" customWidth="1"/>
    <col min="26" max="26" width="7.875" style="169" bestFit="1" customWidth="1"/>
  </cols>
  <sheetData>
    <row r="1" spans="2:26">
      <c r="B1" s="165" t="s">
        <v>292</v>
      </c>
      <c r="C1" s="171" t="s">
        <v>293</v>
      </c>
      <c r="D1" s="163"/>
      <c r="E1" s="169" t="s">
        <v>294</v>
      </c>
      <c r="F1" t="s">
        <v>97</v>
      </c>
      <c r="G1" t="s">
        <v>295</v>
      </c>
      <c r="H1" t="s">
        <v>294</v>
      </c>
      <c r="K1" s="272" t="s">
        <v>296</v>
      </c>
      <c r="L1" s="190" t="s">
        <v>293</v>
      </c>
      <c r="M1" s="190"/>
      <c r="N1" s="190" t="s">
        <v>297</v>
      </c>
      <c r="O1" s="190" t="s">
        <v>266</v>
      </c>
      <c r="P1" s="190" t="s">
        <v>298</v>
      </c>
      <c r="Q1" s="190" t="s">
        <v>299</v>
      </c>
      <c r="R1" s="191" t="s">
        <v>294</v>
      </c>
      <c r="S1" s="272" t="s">
        <v>300</v>
      </c>
      <c r="T1" s="190"/>
      <c r="U1" s="190" t="str">
        <f>L1</f>
        <v>kgCO2eq/m2.y</v>
      </c>
      <c r="V1" s="190" t="str">
        <f>P1</f>
        <v>%total kgCO2</v>
      </c>
      <c r="W1" s="191" t="s">
        <v>301</v>
      </c>
      <c r="X1" s="272"/>
      <c r="Y1" s="190" t="s">
        <v>302</v>
      </c>
      <c r="Z1" s="191" t="s">
        <v>299</v>
      </c>
    </row>
    <row r="2" spans="2:26" s="1161" customFormat="1">
      <c r="B2" s="1403" cm="1">
        <f t="array" ref="B2">IFERROR(INDEX(Décomposition!H5:H275,MATCH(0,COUNTIF($B$1:B1,Décomposition!H5:H275),0)),0)</f>
        <v>0</v>
      </c>
      <c r="C2" s="1404"/>
      <c r="D2" s="1405"/>
      <c r="E2" s="1406"/>
      <c r="H2" s="1407" t="s">
        <v>303</v>
      </c>
      <c r="K2" s="1408"/>
      <c r="O2">
        <f ca="1">SUM(L3:L299)</f>
        <v>558.4995788319676</v>
      </c>
      <c r="R2" s="1406"/>
      <c r="S2" s="273"/>
      <c r="T2" s="1409" t="str" cm="1">
        <f t="array" aca="1" ref="T2:T37" ca="1">OFFSET(K3,0,0,COUNTA($L:$L),1)</f>
        <v>Laine de roche</v>
      </c>
      <c r="U2" s="1409" cm="1">
        <f t="array" aca="1" ref="U2:U37" ca="1">OFFSET(L3,0,0,COUNTA(L:L),1)</f>
        <v>68.196127652042179</v>
      </c>
      <c r="V2" s="1409" cm="1">
        <f t="array" aca="1" ref="V2:V37" ca="1">OFFSET(P3,0,0,COUNTA($L:$L),1)</f>
        <v>12.210596075052715</v>
      </c>
      <c r="W2" s="1410" cm="1">
        <f t="array" aca="1" ref="W2:W37" ca="1">OFFSET(R3,0,0,COUNTA($L:$L),1)</f>
        <v>28.972302297435547</v>
      </c>
      <c r="X2" s="1408"/>
      <c r="Z2" s="1406"/>
    </row>
    <row r="3" spans="2:26">
      <c r="B3" s="1400" t="str" cm="1">
        <f t="array" ref="B3">IFERROR(INDEX(Décomposition!H6:H276,MATCH(0,COUNTIF($B$1:B2,Décomposition!H6:H276),0)),-1)</f>
        <v>Vol.excavation</v>
      </c>
      <c r="C3" s="171" cm="1">
        <f t="array" aca="1" ref="C3" ca="1">IFERROR(SUM((Décomposition!$H$4:$H$275='List of materials'!B3)*Décomposition!$S$4:$S$275),0)</f>
        <v>0.14433333333333334</v>
      </c>
      <c r="D3" s="1401" t="str">
        <f>_xlfn.XLOOKUP(B3, Décomposition!H:H, Décomposition!J:J, 0,0,1)</f>
        <v>m3</v>
      </c>
      <c r="E3" s="1402" cm="1">
        <f t="array" aca="1" ref="E3" ca="1">IFERROR(SUM((Décomposition!$H$4:$H$275='List of materials'!$B3)*Décomposition!$K$4:$K$275),0)</f>
        <v>321.66666666666669</v>
      </c>
      <c r="F3" s="171" cm="1">
        <f t="array" ref="F3">IF($D3=$F$1, IFERROR(SUM((Décomposition!$H$4:$H$275='List of materials'!$B3)*Décomposition!$K$4:$K$275),0), 0)</f>
        <v>0</v>
      </c>
      <c r="G3" cm="1">
        <f t="array" aca="1" ref="G3" ca="1">IF($D3=$G$1, IFERROR(SUM((Décomposition!$H$4:$H$275='List of materials'!$B3)*Décomposition!$K$4:$K$275),0), 0)</f>
        <v>321.66666666666669</v>
      </c>
      <c r="H3">
        <f ca="1">IF(E3&gt;0,E3,IF(F3&gt;0,F3,G3))</f>
        <v>321.66666666666669</v>
      </c>
      <c r="K3" s="273" t="str" cm="1">
        <f t="array" aca="1" ref="K3:N37" ca="1">_xlfn._xlws.SORT(_xlfn._xlws.FILTER(B2:E299,C2:C299&gt;0),2,-1,)</f>
        <v>Laine de roche</v>
      </c>
      <c r="L3">
        <f ca="1"/>
        <v>68.196127652042179</v>
      </c>
      <c r="M3" t="str">
        <f ca="1"/>
        <v>kg</v>
      </c>
      <c r="N3">
        <f ca="1"/>
        <v>28972.302297435548</v>
      </c>
      <c r="P3">
        <f t="shared" ref="P3:P66" ca="1" si="0">(L3/O$2*100+P2)</f>
        <v>12.210596075052715</v>
      </c>
      <c r="Q3">
        <f t="shared" ref="Q3:Q66" ca="1" si="1">IF(M3="kg",1,_xlfn.XLOOKUP(K3,Y:Y,Z:Z,0))</f>
        <v>1</v>
      </c>
      <c r="R3" s="169">
        <f ca="1">N3*Q3/1000</f>
        <v>28.972302297435547</v>
      </c>
      <c r="T3" t="str">
        <f ca="1"/>
        <v>PV</v>
      </c>
      <c r="U3">
        <f ca="1"/>
        <v>66.15544041450778</v>
      </c>
      <c r="V3">
        <f ca="1"/>
        <v>24.055804723708036</v>
      </c>
      <c r="W3" s="169">
        <f ca="1"/>
        <v>0</v>
      </c>
      <c r="Y3" t="s">
        <v>304</v>
      </c>
    </row>
    <row r="4" spans="2:26">
      <c r="B4" s="1400" t="str" cm="1">
        <f t="array" aca="1" ref="B4" ca="1">IFERROR(INDEX(Décomposition!H7:H277,MATCH(0,COUNTIF($B$1:B3,Décomposition!H7:H277),0)),-1)</f>
        <v>Béton maigre (sans armature)</v>
      </c>
      <c r="C4" s="171" cm="1">
        <f t="array" aca="1" ref="C4" ca="1">IFERROR(SUM((Décomposition!$H$4:$H$275='List of materials'!B4)*Décomposition!$S$4:$S$275),10)</f>
        <v>4.6556896296296308</v>
      </c>
      <c r="D4" s="1401" t="str">
        <f ca="1">_xlfn.XLOOKUP(B4, Décomposition!H:H, Décomposition!J:J, 0,0,1)</f>
        <v>kg</v>
      </c>
      <c r="E4" s="1402" cm="1">
        <f t="array" aca="1" ref="E4" ca="1">IFERROR(SUM((Décomposition!$H$4:$H$275='List of materials'!$B4)*Décomposition!$K$4:$K$275),0)</f>
        <v>71540.453703703708</v>
      </c>
      <c r="F4" s="171" cm="1">
        <f t="array" aca="1" ref="F4" ca="1">IF($D4=$F$1, IFERROR(SUM((Décomposition!$H$4:$H$275='List of materials'!$B4)*Décomposition!$K$4:$K$275),0), 0)</f>
        <v>0</v>
      </c>
      <c r="G4" cm="1">
        <f t="array" aca="1" ref="G4" ca="1">IF($D4=$G$1, IFERROR(SUM((Décomposition!$H$4:$H$275='List of materials'!$B4)*Décomposition!$K$4:$K$275),0), 0)</f>
        <v>0</v>
      </c>
      <c r="H4">
        <f ca="1">IF(E4&gt;0,E4,IF(F4&gt;0,F4*I4,G4*I4))</f>
        <v>71540.453703703708</v>
      </c>
      <c r="I4">
        <f ca="1">_xlfn.XLOOKUP(B4,'Baumaterialien Matériaux'!AD:AD,'Baumaterialien Matériaux'!F:F)</f>
        <v>2150</v>
      </c>
      <c r="K4" s="273" t="str">
        <f ca="1"/>
        <v>PV</v>
      </c>
      <c r="L4">
        <f ca="1"/>
        <v>66.15544041450778</v>
      </c>
      <c r="M4" t="str">
        <f ca="1"/>
        <v>kWp</v>
      </c>
      <c r="N4">
        <f ca="1"/>
        <v>28.000000000000004</v>
      </c>
      <c r="P4">
        <f t="shared" ca="1" si="0"/>
        <v>24.055804723708036</v>
      </c>
      <c r="Q4">
        <f t="shared" ca="1" si="1"/>
        <v>0</v>
      </c>
      <c r="R4" s="169">
        <f t="shared" ref="R4:R67" ca="1" si="2">N4*Q4/1000</f>
        <v>0</v>
      </c>
      <c r="T4" t="str">
        <f ca="1"/>
        <v>Béton pour bâtiment (sans armature)</v>
      </c>
      <c r="U4">
        <f ca="1"/>
        <v>62.284241566079594</v>
      </c>
      <c r="V4">
        <f ca="1"/>
        <v>35.207870710282158</v>
      </c>
      <c r="W4" s="169">
        <f ca="1"/>
        <v>593.32964571832986</v>
      </c>
      <c r="Y4" t="s">
        <v>305</v>
      </c>
    </row>
    <row r="5" spans="2:26">
      <c r="B5" s="1400" t="str" cm="1">
        <f t="array" aca="1" ref="B5" ca="1">IFERROR(INDEX(Décomposition!H8:H278,MATCH(0,COUNTIF($B$1:B4,Décomposition!H8:H278),0)),-1)</f>
        <v>Béton pour bâtiment (sans armature)</v>
      </c>
      <c r="C5" s="171" cm="1">
        <f t="array" aca="1" ref="C5" ca="1">IFERROR(SUM((Décomposition!$H$4:$H$275='List of materials'!B5)*Décomposition!$S$4:$S$275),0)</f>
        <v>62.284241566079594</v>
      </c>
      <c r="D5" s="1401" t="str">
        <f ca="1">_xlfn.XLOOKUP(B5, Décomposition!H:H, Décomposition!J:J, 0,0,1)</f>
        <v>kg</v>
      </c>
      <c r="E5" s="1402" cm="1">
        <f t="array" aca="1" ref="E5" ca="1">IFERROR(SUM((Décomposition!$H$4:$H$275='List of materials'!$B5)*Décomposition!$K$4:$K$275),0)</f>
        <v>593329.64571832982</v>
      </c>
      <c r="F5" s="171" cm="1">
        <f t="array" aca="1" ref="F5" ca="1">IF($D5=$F$1, IFERROR(SUM((Décomposition!$H$4:$H$275='List of materials'!$B5)*Décomposition!$K$4:$K$275),0), 0)</f>
        <v>0</v>
      </c>
      <c r="G5" cm="1">
        <f t="array" aca="1" ref="G5" ca="1">IF($D5=$G$1, IFERROR(SUM((Décomposition!$H$4:$H$275='List of materials'!$B5)*Décomposition!$K$4:$K$275),0), 0)</f>
        <v>0</v>
      </c>
      <c r="H5">
        <f t="shared" ref="H5:H44" ca="1" si="3">IF(E5&gt;0,E5,IF(F5&gt;0,F5*I5,G5*I5))</f>
        <v>593329.64571832982</v>
      </c>
      <c r="I5">
        <f ca="1">_xlfn.XLOOKUP(B5,'Baumaterialien Matériaux'!AD:AD,'Baumaterialien Matériaux'!F:F)</f>
        <v>2300</v>
      </c>
      <c r="K5" s="273" t="str">
        <f ca="1"/>
        <v>Béton pour bâtiment (sans armature)</v>
      </c>
      <c r="L5">
        <f ca="1"/>
        <v>62.284241566079594</v>
      </c>
      <c r="M5" t="str">
        <f ca="1"/>
        <v>kg</v>
      </c>
      <c r="N5">
        <f ca="1"/>
        <v>593329.64571832982</v>
      </c>
      <c r="P5">
        <f t="shared" ca="1" si="0"/>
        <v>35.207870710282158</v>
      </c>
      <c r="Q5">
        <f t="shared" ca="1" si="1"/>
        <v>1</v>
      </c>
      <c r="R5" s="169">
        <f t="shared" ca="1" si="2"/>
        <v>593.32964571832986</v>
      </c>
      <c r="T5" t="str">
        <f ca="1"/>
        <v>Installation CVC</v>
      </c>
      <c r="U5">
        <f ca="1"/>
        <v>61.952399999999997</v>
      </c>
      <c r="V5">
        <f ca="1"/>
        <v>46.300520077998016</v>
      </c>
      <c r="W5" s="169">
        <f ca="1"/>
        <v>0</v>
      </c>
      <c r="Y5" t="s">
        <v>306</v>
      </c>
    </row>
    <row r="6" spans="2:26">
      <c r="B6" s="1400" t="str" cm="1">
        <f t="array" aca="1" ref="B6" ca="1">IFERROR(INDEX(Décomposition!H9:H279,MATCH(0,COUNTIF($B$1:B5,Décomposition!H9:H279),0)),-1)</f>
        <v>Acier d'armature</v>
      </c>
      <c r="C6" s="171" cm="1">
        <f t="array" aca="1" ref="C6" ca="1">IFERROR(SUM((Décomposition!$H$4:$H$275='List of materials'!B6)*Décomposition!$S$4:$S$275),0)</f>
        <v>16.77417742314335</v>
      </c>
      <c r="D6" s="1401" t="str">
        <f ca="1">_xlfn.XLOOKUP(B6, Décomposition!H:H, Décomposition!J:J, 0,0,1)</f>
        <v>kg</v>
      </c>
      <c r="E6" s="1402" cm="1">
        <f t="array" aca="1" ref="E6" ca="1">IFERROR(SUM((Décomposition!$H$4:$H$275='List of materials'!$B6)*Décomposition!$K$4:$K$275),0)</f>
        <v>20615.23333333333</v>
      </c>
      <c r="F6" s="171" cm="1">
        <f t="array" aca="1" ref="F6" ca="1">IF($D6=$F$1, IFERROR(SUM((Décomposition!$H$4:$H$275='List of materials'!$B6)*Décomposition!$K$4:$K$275),0), 0)</f>
        <v>0</v>
      </c>
      <c r="G6" cm="1">
        <f t="array" aca="1" ref="G6" ca="1">IF($D6=$G$1, IFERROR(SUM((Décomposition!$H$4:$H$275='List of materials'!$B6)*Décomposition!$K$4:$K$275),0), 0)</f>
        <v>0</v>
      </c>
      <c r="H6">
        <f t="shared" ca="1" si="3"/>
        <v>20615.23333333333</v>
      </c>
      <c r="I6">
        <f ca="1">_xlfn.XLOOKUP(B6,'Baumaterialien Matériaux'!AD:AD,'Baumaterialien Matériaux'!F:F)</f>
        <v>7850</v>
      </c>
      <c r="K6" s="273" t="str">
        <f ca="1"/>
        <v>Installation CVC</v>
      </c>
      <c r="L6">
        <f ca="1"/>
        <v>61.952399999999997</v>
      </c>
      <c r="M6" t="str">
        <f ca="1"/>
        <v>m2</v>
      </c>
      <c r="N6">
        <f ca="1"/>
        <v>4825</v>
      </c>
      <c r="P6">
        <f t="shared" ca="1" si="0"/>
        <v>46.300520077998016</v>
      </c>
      <c r="Q6">
        <f t="shared" ca="1" si="1"/>
        <v>0</v>
      </c>
      <c r="R6" s="169">
        <f t="shared" ca="1" si="2"/>
        <v>0</v>
      </c>
      <c r="T6" t="str">
        <f ca="1"/>
        <v>Enduit en plâtre et en ciment</v>
      </c>
      <c r="U6">
        <f ca="1"/>
        <v>34.536523933678751</v>
      </c>
      <c r="V6">
        <f ca="1"/>
        <v>52.484324908416617</v>
      </c>
      <c r="W6" s="169">
        <f ca="1"/>
        <v>63.192540000000008</v>
      </c>
      <c r="Y6" t="s">
        <v>307</v>
      </c>
      <c r="Z6" s="169">
        <f>_xlfn.XLOOKUP(Y6,'Baumaterialien Matériaux'!AD:AD,'Baumaterialien Matériaux'!F:F)</f>
        <v>6.1</v>
      </c>
    </row>
    <row r="7" spans="2:26">
      <c r="B7" s="1400" t="str" cm="1">
        <f t="array" aca="1" ref="B7" ca="1">IFERROR(INDEX(Décomposition!H10:H280,MATCH(0,COUNTIF($B$1:B6,Décomposition!H10:H280),0)),-1)</f>
        <v>Bois massif 3 et 5 plis</v>
      </c>
      <c r="C7" s="171" cm="1">
        <f t="array" aca="1" ref="C7" ca="1">IFERROR(SUM((Décomposition!$H$4:$H$275='List of materials'!B7)*Décomposition!$S$4:$S$275),0)</f>
        <v>14.071709396131261</v>
      </c>
      <c r="D7" s="1401" t="str">
        <f ca="1">_xlfn.XLOOKUP(B7, Décomposition!H:H, Décomposition!J:J, 0,0,1)</f>
        <v>kg</v>
      </c>
      <c r="E7" s="1402" cm="1">
        <f t="array" aca="1" ref="E7" ca="1">IFERROR(SUM((Décomposition!$H$4:$H$275='List of materials'!$B7)*Décomposition!$K$4:$K$275),0)</f>
        <v>28935.008666666668</v>
      </c>
      <c r="F7" s="171" cm="1">
        <f t="array" aca="1" ref="F7" ca="1">IF($D7=$F$1, IFERROR(SUM((Décomposition!$H$4:$H$275='List of materials'!$B7)*Décomposition!$K$4:$K$275),0), 0)</f>
        <v>0</v>
      </c>
      <c r="G7" cm="1">
        <f t="array" aca="1" ref="G7" ca="1">IF($D7=$G$1, IFERROR(SUM((Décomposition!$H$4:$H$275='List of materials'!$B7)*Décomposition!$K$4:$K$275),0), 0)</f>
        <v>0</v>
      </c>
      <c r="H7">
        <f t="shared" ca="1" si="3"/>
        <v>28935.008666666668</v>
      </c>
      <c r="I7">
        <f ca="1">_xlfn.XLOOKUP(B7,'Baumaterialien Matériaux'!AD:AD,'Baumaterialien Matériaux'!F:F)</f>
        <v>453</v>
      </c>
      <c r="K7" s="273" t="str">
        <f ca="1"/>
        <v>Enduit en plâtre et en ciment</v>
      </c>
      <c r="L7">
        <f ca="1"/>
        <v>34.536523933678751</v>
      </c>
      <c r="M7" t="str">
        <f ca="1"/>
        <v>kg</v>
      </c>
      <c r="N7">
        <f ca="1"/>
        <v>63192.540000000008</v>
      </c>
      <c r="P7">
        <f t="shared" ca="1" si="0"/>
        <v>52.484324908416617</v>
      </c>
      <c r="Q7">
        <f t="shared" ca="1" si="1"/>
        <v>1</v>
      </c>
      <c r="R7" s="169">
        <f t="shared" ca="1" si="2"/>
        <v>63.192540000000008</v>
      </c>
      <c r="T7" t="str">
        <f ca="1"/>
        <v>Installation électrique</v>
      </c>
      <c r="U7">
        <f ca="1"/>
        <v>25.9</v>
      </c>
      <c r="V7">
        <f ca="1"/>
        <v>57.121750070699932</v>
      </c>
      <c r="W7" s="169">
        <f ca="1"/>
        <v>0</v>
      </c>
      <c r="Y7" t="s">
        <v>308</v>
      </c>
      <c r="Z7" s="169">
        <f>_xlfn.XLOOKUP(Y7,'Baumaterialien Matériaux'!AD:AD,'Baumaterialien Matériaux'!F:F)</f>
        <v>18</v>
      </c>
    </row>
    <row r="8" spans="2:26">
      <c r="B8" s="1400" t="str" cm="1">
        <f t="array" aca="1" ref="B8" ca="1">IFERROR(INDEX(Décomposition!H11:H281,MATCH(0,COUNTIF($B$1:B7,Décomposition!H11:H281),0)),-1)</f>
        <v>Émulsion de bitume, 1 couche</v>
      </c>
      <c r="C8" s="171" cm="1">
        <f t="array" aca="1" ref="C8" ca="1">IFERROR(SUM((Décomposition!$H$4:$H$275='List of materials'!B8)*Décomposition!$S$4:$S$275),0)</f>
        <v>0</v>
      </c>
      <c r="D8" s="1401" t="str">
        <f ca="1">_xlfn.XLOOKUP(B8, Décomposition!H:H, Décomposition!J:J, 0,0,1)</f>
        <v>m2</v>
      </c>
      <c r="E8" s="1402" cm="1">
        <f t="array" aca="1" ref="E8" ca="1">IFERROR(SUM((Décomposition!$H$4:$H$275='List of materials'!$B8)*Décomposition!$K$4:$K$275),0)</f>
        <v>0</v>
      </c>
      <c r="F8" s="171" cm="1">
        <f t="array" aca="1" ref="F8" ca="1">IF($D8=$F$1, IFERROR(SUM((Décomposition!$H$4:$H$275='List of materials'!$B8)*Décomposition!$K$4:$K$275),0), 0)</f>
        <v>0</v>
      </c>
      <c r="G8" cm="1">
        <f t="array" aca="1" ref="G8" ca="1">IF($D8=$G$1, IFERROR(SUM((Décomposition!$H$4:$H$275='List of materials'!$B8)*Décomposition!$K$4:$K$275),0), 0)</f>
        <v>0</v>
      </c>
      <c r="H8">
        <f t="shared" ca="1" si="3"/>
        <v>0</v>
      </c>
      <c r="I8">
        <f ca="1">_xlfn.XLOOKUP(B8,'Baumaterialien Matériaux'!AD:AD,'Baumaterialien Matériaux'!F:F)</f>
        <v>0.25</v>
      </c>
      <c r="K8" s="273" t="str">
        <f ca="1"/>
        <v>Installation électrique</v>
      </c>
      <c r="L8">
        <f ca="1"/>
        <v>25.9</v>
      </c>
      <c r="M8" t="str">
        <f ca="1"/>
        <v>m2</v>
      </c>
      <c r="N8">
        <f ca="1"/>
        <v>965</v>
      </c>
      <c r="P8">
        <f t="shared" ca="1" si="0"/>
        <v>57.121750070699932</v>
      </c>
      <c r="Q8">
        <f t="shared" ca="1" si="1"/>
        <v>0</v>
      </c>
      <c r="R8" s="169">
        <f t="shared" ca="1" si="2"/>
        <v>0</v>
      </c>
      <c r="T8" t="str">
        <f ca="1"/>
        <v>Installation sanitaire</v>
      </c>
      <c r="U8">
        <f ca="1"/>
        <v>25.08</v>
      </c>
      <c r="V8">
        <f ca="1"/>
        <v>61.61235327803837</v>
      </c>
      <c r="W8" s="169">
        <f ca="1"/>
        <v>0</v>
      </c>
      <c r="Y8" t="s">
        <v>309</v>
      </c>
      <c r="Z8" s="169">
        <f>_xlfn.XLOOKUP(Y8,'Baumaterialien Matériaux'!AD:AD,'Baumaterialien Matériaux'!F:F)</f>
        <v>0.3</v>
      </c>
    </row>
    <row r="9" spans="2:26">
      <c r="B9" s="1400" t="str" cm="1">
        <f t="array" aca="1" ref="B9" ca="1">IFERROR(INDEX(Décomposition!H12:H282,MATCH(0,COUNTIF($B$1:B8,Décomposition!H12:H282),0)),-1)</f>
        <v>Polyéthylène (HDPE)</v>
      </c>
      <c r="C9" s="171" cm="1">
        <f t="array" aca="1" ref="C9" ca="1">IFERROR(SUM((Décomposition!$H$4:$H$275='List of materials'!B9)*Décomposition!$S$4:$S$275),0)</f>
        <v>0</v>
      </c>
      <c r="D9" s="1401" t="str">
        <f ca="1">_xlfn.XLOOKUP(B9, Décomposition!H:H, Décomposition!J:J, 0,0,1)</f>
        <v>kg</v>
      </c>
      <c r="E9" s="1402" cm="1">
        <f t="array" aca="1" ref="E9" ca="1">IFERROR(SUM((Décomposition!$H$4:$H$275='List of materials'!$B9)*Décomposition!$K$4:$K$275),0)</f>
        <v>0</v>
      </c>
      <c r="F9" s="171" cm="1">
        <f t="array" aca="1" ref="F9" ca="1">IF($D9=$F$1, IFERROR(SUM((Décomposition!$H$4:$H$275='List of materials'!$B9)*Décomposition!$K$4:$K$275),0), 0)</f>
        <v>0</v>
      </c>
      <c r="G9" cm="1">
        <f t="array" aca="1" ref="G9" ca="1">IF($D9=$G$1, IFERROR(SUM((Décomposition!$H$4:$H$275='List of materials'!$B9)*Décomposition!$K$4:$K$275),0), 0)</f>
        <v>0</v>
      </c>
      <c r="H9">
        <f t="shared" ca="1" si="3"/>
        <v>0</v>
      </c>
      <c r="I9">
        <f ca="1">_xlfn.XLOOKUP(B9,'Baumaterialien Matériaux'!AD:AD,'Baumaterialien Matériaux'!F:F)</f>
        <v>960</v>
      </c>
      <c r="K9" s="273" t="str">
        <f ca="1"/>
        <v>Installation sanitaire</v>
      </c>
      <c r="L9">
        <f ca="1"/>
        <v>25.08</v>
      </c>
      <c r="M9" t="str">
        <f ca="1"/>
        <v>m2</v>
      </c>
      <c r="N9">
        <f ca="1"/>
        <v>965</v>
      </c>
      <c r="P9">
        <f t="shared" ca="1" si="0"/>
        <v>61.61235327803837</v>
      </c>
      <c r="Q9">
        <f t="shared" ca="1" si="1"/>
        <v>0</v>
      </c>
      <c r="R9" s="169">
        <f t="shared" ca="1" si="2"/>
        <v>0</v>
      </c>
      <c r="T9" t="str">
        <f ca="1"/>
        <v>Protection solaire, stores vénitiens avec moteur 4</v>
      </c>
      <c r="U9">
        <f ca="1"/>
        <v>21.069460000000003</v>
      </c>
      <c r="V9">
        <f ca="1"/>
        <v>65.384864627834574</v>
      </c>
      <c r="W9" s="169">
        <f ca="1"/>
        <v>0</v>
      </c>
      <c r="Y9" t="s">
        <v>310</v>
      </c>
      <c r="Z9" s="169">
        <f>_xlfn.XLOOKUP(Y9,'Baumaterialien Matériaux'!AD:AD,'Baumaterialien Matériaux'!F:F)</f>
        <v>57.8</v>
      </c>
    </row>
    <row r="10" spans="2:26">
      <c r="B10" s="1400" t="str" cm="1">
        <f t="array" aca="1" ref="B10" ca="1">IFERROR(INDEX(Décomposition!H13:H283,MATCH(0,COUNTIF($B$1:B9,Décomposition!H13:H283),0)),-1)</f>
        <v>Lé d'étanchéité bitumineux, swissporBIKUTOP</v>
      </c>
      <c r="C10" s="171" cm="1">
        <f t="array" aca="1" ref="C10" ca="1">IFERROR(SUM((Décomposition!$H$4:$H$275='List of materials'!B10)*Décomposition!$S$4:$S$275),0)</f>
        <v>0</v>
      </c>
      <c r="D10" s="1401" t="str">
        <f ca="1">_xlfn.XLOOKUP(B10, Décomposition!H:H, Décomposition!J:J, 0,0,1)</f>
        <v>kg</v>
      </c>
      <c r="E10" s="1402" cm="1">
        <f t="array" aca="1" ref="E10" ca="1">IFERROR(SUM((Décomposition!$H$4:$H$275='List of materials'!$B10)*Décomposition!$K$4:$K$275),0)</f>
        <v>0</v>
      </c>
      <c r="F10" s="171" cm="1">
        <f t="array" aca="1" ref="F10" ca="1">IF($D10=$F$1, IFERROR(SUM((Décomposition!$H$4:$H$275='List of materials'!$B10)*Décomposition!$K$4:$K$275),0), 0)</f>
        <v>0</v>
      </c>
      <c r="G10" cm="1">
        <f t="array" aca="1" ref="G10" ca="1">IF($D10=$G$1, IFERROR(SUM((Décomposition!$H$4:$H$275='List of materials'!$B10)*Décomposition!$K$4:$K$275),0), 0)</f>
        <v>0</v>
      </c>
      <c r="H10">
        <f t="shared" ca="1" si="3"/>
        <v>0</v>
      </c>
      <c r="I10">
        <f ca="1">_xlfn.XLOOKUP(B10,'Baumaterialien Matériaux'!AD:AD,'Baumaterialien Matériaux'!F:F)</f>
        <v>1269</v>
      </c>
      <c r="K10" s="273" t="str">
        <f ca="1"/>
        <v>Protection solaire, stores vénitiens avec moteur 4</v>
      </c>
      <c r="L10">
        <f ca="1"/>
        <v>21.069460000000003</v>
      </c>
      <c r="M10" t="str">
        <f ca="1"/>
        <v>m2</v>
      </c>
      <c r="N10">
        <f ca="1"/>
        <v>169.51833333333335</v>
      </c>
      <c r="P10">
        <f t="shared" ca="1" si="0"/>
        <v>65.384864627834574</v>
      </c>
      <c r="Q10">
        <f t="shared" ca="1" si="1"/>
        <v>0</v>
      </c>
      <c r="R10" s="169">
        <f t="shared" ca="1" si="2"/>
        <v>0</v>
      </c>
      <c r="T10" t="str">
        <f ca="1"/>
        <v>Triple vitrage, U&lt;0.6 W/m2K, épaisseur 40 mm 3</v>
      </c>
      <c r="U10">
        <f ca="1"/>
        <v>18.579912</v>
      </c>
      <c r="V10">
        <f ca="1"/>
        <v>68.711619508985521</v>
      </c>
      <c r="W10" s="169">
        <f ca="1"/>
        <v>0</v>
      </c>
      <c r="Y10" t="s">
        <v>311</v>
      </c>
    </row>
    <row r="11" spans="2:26">
      <c r="B11" s="1400" t="str" cm="1">
        <f t="array" aca="1" ref="B11" ca="1">IFERROR(INDEX(Décomposition!H14:H284,MATCH(0,COUNTIF($B$1:B10,Décomposition!H14:H284),0)),-1)</f>
        <v>Voile de polyéthylène (PE)</v>
      </c>
      <c r="C11" s="171" cm="1">
        <f t="array" aca="1" ref="C11" ca="1">IFERROR(SUM((Décomposition!$H$4:$H$275='List of materials'!B11)*Décomposition!$S$4:$S$275),0)</f>
        <v>3.2943685095670174</v>
      </c>
      <c r="D11" s="1401" t="str">
        <f ca="1">_xlfn.XLOOKUP(B11, Décomposition!H:H, Décomposition!J:J, 0,0,1)</f>
        <v>kg</v>
      </c>
      <c r="E11" s="1402" cm="1">
        <f t="array" aca="1" ref="E11" ca="1">IFERROR(SUM((Décomposition!$H$4:$H$275='List of materials'!$B11)*Décomposition!$K$4:$K$275),0)</f>
        <v>282.33264757834559</v>
      </c>
      <c r="F11" s="171" cm="1">
        <f t="array" aca="1" ref="F11" ca="1">IF($D11=$F$1, IFERROR(SUM((Décomposition!$H$4:$H$275='List of materials'!$B11)*Décomposition!$K$4:$K$275),0), 0)</f>
        <v>0</v>
      </c>
      <c r="G11" cm="1">
        <f t="array" aca="1" ref="G11" ca="1">IF($D11=$G$1, IFERROR(SUM((Décomposition!$H$4:$H$275='List of materials'!$B11)*Décomposition!$K$4:$K$275),0), 0)</f>
        <v>0</v>
      </c>
      <c r="H11">
        <f t="shared" ca="1" si="3"/>
        <v>282.33264757834559</v>
      </c>
      <c r="I11">
        <f ca="1">_xlfn.XLOOKUP(B11,'Baumaterialien Matériaux'!AD:AD,'Baumaterialien Matériaux'!F:F)</f>
        <v>920</v>
      </c>
      <c r="K11" s="273" t="str">
        <f ca="1"/>
        <v>Triple vitrage, U&lt;0.6 W/m2K, épaisseur 40 mm 3</v>
      </c>
      <c r="L11">
        <f ca="1"/>
        <v>18.579912</v>
      </c>
      <c r="M11" t="str">
        <f ca="1"/>
        <v>m2</v>
      </c>
      <c r="N11">
        <f ca="1"/>
        <v>132.2243</v>
      </c>
      <c r="P11">
        <f t="shared" ca="1" si="0"/>
        <v>68.711619508985521</v>
      </c>
      <c r="Q11">
        <f t="shared" ca="1" si="1"/>
        <v>0</v>
      </c>
      <c r="R11" s="169">
        <f t="shared" ca="1" si="2"/>
        <v>0</v>
      </c>
      <c r="T11" t="str">
        <f ca="1"/>
        <v>Acier d'armature</v>
      </c>
      <c r="U11">
        <f ca="1"/>
        <v>16.77417742314335</v>
      </c>
      <c r="V11">
        <f ca="1"/>
        <v>71.715055511251535</v>
      </c>
      <c r="W11" s="169">
        <f ca="1"/>
        <v>20.615233333333329</v>
      </c>
      <c r="Y11" t="s">
        <v>312</v>
      </c>
      <c r="Z11" s="169">
        <v>1200</v>
      </c>
    </row>
    <row r="12" spans="2:26">
      <c r="B12" s="1400" t="str" cm="1">
        <f t="array" aca="1" ref="B12" ca="1">IFERROR(INDEX(Décomposition!H15:H285,MATCH(0,COUNTIF($B$1:B11,Décomposition!H15:H285),0)),-1)</f>
        <v>Gravier rond</v>
      </c>
      <c r="C12" s="171" cm="1">
        <f t="array" aca="1" ref="C12" ca="1">IFERROR(SUM((Décomposition!$H$4:$H$275='List of materials'!B12)*Décomposition!$S$4:$S$275),0)</f>
        <v>0</v>
      </c>
      <c r="D12" s="1401" t="str">
        <f ca="1">_xlfn.XLOOKUP(B12, Décomposition!H:H, Décomposition!J:J, 0,0,1)</f>
        <v>kg</v>
      </c>
      <c r="E12" s="1402" cm="1">
        <f t="array" aca="1" ref="E12" ca="1">IFERROR(SUM((Décomposition!$H$4:$H$275='List of materials'!$B12)*Décomposition!$K$4:$K$275),0)</f>
        <v>0</v>
      </c>
      <c r="F12" s="171" cm="1">
        <f t="array" aca="1" ref="F12" ca="1">IF($D12=$F$1, IFERROR(SUM((Décomposition!$H$4:$H$275='List of materials'!$B12)*Décomposition!$K$4:$K$275),0), 0)</f>
        <v>0</v>
      </c>
      <c r="G12" cm="1">
        <f t="array" aca="1" ref="G12" ca="1">IF($D12=$G$1, IFERROR(SUM((Décomposition!$H$4:$H$275='List of materials'!$B12)*Décomposition!$K$4:$K$275),0), 0)</f>
        <v>0</v>
      </c>
      <c r="H12">
        <f t="shared" ca="1" si="3"/>
        <v>0</v>
      </c>
      <c r="I12">
        <f ca="1">_xlfn.XLOOKUP(B12,'Baumaterialien Matériaux'!AD:AD,'Baumaterialien Matériaux'!F:F)</f>
        <v>2000</v>
      </c>
      <c r="K12" s="273" t="str">
        <f ca="1"/>
        <v>Acier d'armature</v>
      </c>
      <c r="L12">
        <f ca="1"/>
        <v>16.77417742314335</v>
      </c>
      <c r="M12" t="str">
        <f ca="1"/>
        <v>kg</v>
      </c>
      <c r="N12">
        <f ca="1"/>
        <v>20615.23333333333</v>
      </c>
      <c r="P12">
        <f t="shared" ca="1" si="0"/>
        <v>71.715055511251535</v>
      </c>
      <c r="Q12">
        <f t="shared" ca="1" si="1"/>
        <v>1</v>
      </c>
      <c r="R12" s="169">
        <f t="shared" ca="1" si="2"/>
        <v>20.615233333333329</v>
      </c>
      <c r="T12" t="str">
        <f ca="1"/>
        <v>Bois massif épicéa / sapin / mélèze, séché à l'air, brut</v>
      </c>
      <c r="U12">
        <f ca="1"/>
        <v>15.305473076719695</v>
      </c>
      <c r="V12">
        <f ca="1"/>
        <v>74.455518289885887</v>
      </c>
      <c r="W12" s="169">
        <f ca="1"/>
        <v>107.56235024807256</v>
      </c>
      <c r="Y12" t="s">
        <v>313</v>
      </c>
      <c r="Z12" s="169">
        <f>_xlfn.XLOOKUP(Y12,'Baumaterialien Matériaux'!AD:AD,'Baumaterialien Matériaux'!F:F)</f>
        <v>0.25</v>
      </c>
    </row>
    <row r="13" spans="2:26">
      <c r="B13" s="1400" t="str" cm="1">
        <f t="array" aca="1" ref="B13" ca="1">IFERROR(INDEX(Décomposition!H16:H286,MATCH(0,COUNTIF($B$1:B12,Décomposition!H16:H286),0)),-1)</f>
        <v>Bois massif épicéa / sapin / mélèze, séché à l'air, brut</v>
      </c>
      <c r="C13" s="171" cm="1">
        <f t="array" aca="1" ref="C13" ca="1">IFERROR(SUM((Décomposition!$H$4:$H$275='List of materials'!B13)*Décomposition!$S$4:$S$275),0)</f>
        <v>15.305473076719695</v>
      </c>
      <c r="D13" s="1401" t="str">
        <f ca="1">_xlfn.XLOOKUP(B13, Décomposition!H:H, Décomposition!J:J, 0,0,1)</f>
        <v>kg</v>
      </c>
      <c r="E13" s="1402" cm="1">
        <f t="array" aca="1" ref="E13" ca="1">IFERROR(SUM((Décomposition!$H$4:$H$275='List of materials'!$B13)*Décomposition!$K$4:$K$275),0)</f>
        <v>107562.35024807256</v>
      </c>
      <c r="F13" s="171" cm="1">
        <f t="array" aca="1" ref="F13" ca="1">IF($D13=$F$1, IFERROR(SUM((Décomposition!$H$4:$H$275='List of materials'!$B13)*Décomposition!$K$4:$K$275),0), 0)</f>
        <v>0</v>
      </c>
      <c r="G13" cm="1">
        <f t="array" aca="1" ref="G13" ca="1">IF($D13=$G$1, IFERROR(SUM((Décomposition!$H$4:$H$275='List of materials'!$B13)*Décomposition!$K$4:$K$275),0), 0)</f>
        <v>0</v>
      </c>
      <c r="H13">
        <f t="shared" ca="1" si="3"/>
        <v>107562.35024807256</v>
      </c>
      <c r="I13">
        <f ca="1">_xlfn.XLOOKUP(B13,'Baumaterialien Matériaux'!AD:AD,'Baumaterialien Matériaux'!F:F)</f>
        <v>485</v>
      </c>
      <c r="K13" s="273" t="str">
        <f ca="1"/>
        <v>Bois massif épicéa / sapin / mélèze, séché à l'air, brut</v>
      </c>
      <c r="L13">
        <f ca="1"/>
        <v>15.305473076719695</v>
      </c>
      <c r="M13" t="str">
        <f ca="1"/>
        <v>kg</v>
      </c>
      <c r="N13">
        <f ca="1"/>
        <v>107562.35024807256</v>
      </c>
      <c r="P13">
        <f t="shared" ca="1" si="0"/>
        <v>74.455518289885887</v>
      </c>
      <c r="Q13">
        <f t="shared" ca="1" si="1"/>
        <v>1</v>
      </c>
      <c r="R13" s="169">
        <f t="shared" ca="1" si="2"/>
        <v>107.56235024807256</v>
      </c>
      <c r="T13" t="str">
        <f ca="1"/>
        <v>Tuile en terre cuite</v>
      </c>
      <c r="U13">
        <f ca="1"/>
        <v>14.845599921762576</v>
      </c>
      <c r="V13">
        <f ca="1"/>
        <v>77.113640244572096</v>
      </c>
      <c r="W13" s="169">
        <f ca="1"/>
        <v>18.57143365893296</v>
      </c>
    </row>
    <row r="14" spans="2:26">
      <c r="B14" s="1400" t="str" cm="1">
        <f t="array" aca="1" ref="B14" ca="1">IFERROR(INDEX(Décomposition!H17:H287,MATCH(0,COUNTIF($B$1:B13,Décomposition!H17:H287),0)),-1)</f>
        <v>Bois massif épicéa / sapin / mélèze, séché en cellule, raboté</v>
      </c>
      <c r="C14" s="171" cm="1">
        <f t="array" aca="1" ref="C14" ca="1">IFERROR(SUM((Décomposition!$H$4:$H$275='List of materials'!B14)*Décomposition!$S$4:$S$275),0)</f>
        <v>12.020118715000002</v>
      </c>
      <c r="D14" s="1401" t="str">
        <f ca="1">_xlfn.XLOOKUP(B14, Décomposition!H:H, Décomposition!J:J, 0,0,1)</f>
        <v>kg</v>
      </c>
      <c r="E14" s="1402" cm="1">
        <f t="array" aca="1" ref="E14" ca="1">IFERROR(SUM((Décomposition!$H$4:$H$275='List of materials'!$B14)*Décomposition!$K$4:$K$275),0)</f>
        <v>50725.444537500007</v>
      </c>
      <c r="F14" s="171" cm="1">
        <f t="array" aca="1" ref="F14" ca="1">IF($D14=$F$1, IFERROR(SUM((Décomposition!$H$4:$H$275='List of materials'!$B14)*Décomposition!$K$4:$K$275),0), 0)</f>
        <v>0</v>
      </c>
      <c r="G14" cm="1">
        <f t="array" aca="1" ref="G14" ca="1">IF($D14=$G$1, IFERROR(SUM((Décomposition!$H$4:$H$275='List of materials'!$B14)*Décomposition!$K$4:$K$275),0), 0)</f>
        <v>0</v>
      </c>
      <c r="H14">
        <f t="shared" ca="1" si="3"/>
        <v>50725.444537500007</v>
      </c>
      <c r="I14">
        <f ca="1">_xlfn.XLOOKUP(B14,'Baumaterialien Matériaux'!AD:AD,'Baumaterialien Matériaux'!F:F)</f>
        <v>465</v>
      </c>
      <c r="K14" s="273" t="str">
        <f ca="1"/>
        <v>Tuile en terre cuite</v>
      </c>
      <c r="L14">
        <f ca="1"/>
        <v>14.845599921762576</v>
      </c>
      <c r="M14" t="str">
        <f ca="1"/>
        <v>kg</v>
      </c>
      <c r="N14">
        <f ca="1"/>
        <v>18571.433658932961</v>
      </c>
      <c r="P14">
        <f t="shared" ca="1" si="0"/>
        <v>77.113640244572096</v>
      </c>
      <c r="Q14">
        <f t="shared" ca="1" si="1"/>
        <v>1</v>
      </c>
      <c r="R14" s="169">
        <f t="shared" ca="1" si="2"/>
        <v>18.57143365893296</v>
      </c>
      <c r="T14" t="str">
        <f ca="1"/>
        <v>Bois massif 3 et 5 plis</v>
      </c>
      <c r="U14">
        <f ca="1"/>
        <v>14.071709396131261</v>
      </c>
      <c r="V14">
        <f ca="1"/>
        <v>79.633196199396721</v>
      </c>
      <c r="W14" s="169">
        <f ca="1"/>
        <v>28.935008666666668</v>
      </c>
    </row>
    <row r="15" spans="2:26">
      <c r="B15" s="1400" t="str" cm="1">
        <f t="array" aca="1" ref="B15" ca="1">IFERROR(INDEX(Décomposition!H18:H288,MATCH(0,COUNTIF($B$1:B14,Décomposition!H18:H288),0)),-1)</f>
        <v>Enduit, diluable à l'eau, 2 couches</v>
      </c>
      <c r="C15" s="171" cm="1">
        <f t="array" aca="1" ref="C15" ca="1">IFERROR(SUM((Décomposition!$H$4:$H$275='List of materials'!B15)*Décomposition!$S$4:$S$275),0)</f>
        <v>7.7071616870466331</v>
      </c>
      <c r="D15" s="1401" t="str">
        <f ca="1">_xlfn.XLOOKUP(B15, Décomposition!H:H, Décomposition!J:J, 0,0,1)</f>
        <v>m2</v>
      </c>
      <c r="E15" s="1402" cm="1">
        <f t="array" aca="1" ref="E15" ca="1">IFERROR(SUM((Décomposition!$H$4:$H$275='List of materials'!$B15)*Décomposition!$K$4:$K$275),0)</f>
        <v>5303.3449999999993</v>
      </c>
      <c r="F15" s="171" cm="1">
        <f t="array" aca="1" ref="F15" ca="1">IF($D15=$F$1, IFERROR(SUM((Décomposition!$H$4:$H$275='List of materials'!$B15)*Décomposition!$K$4:$K$275),0), 0)</f>
        <v>5303.3449999999993</v>
      </c>
      <c r="G15" cm="1">
        <f t="array" aca="1" ref="G15" ca="1">IF($D15=$G$1, IFERROR(SUM((Décomposition!$H$4:$H$275='List of materials'!$B15)*Décomposition!$K$4:$K$275),0), 0)</f>
        <v>0</v>
      </c>
      <c r="H15">
        <f t="shared" ca="1" si="3"/>
        <v>5303.3449999999993</v>
      </c>
      <c r="I15">
        <f ca="1">_xlfn.XLOOKUP(B15,'Baumaterialien Matériaux'!AD:AD,'Baumaterialien Matériaux'!F:F)</f>
        <v>0.3</v>
      </c>
      <c r="K15" s="273" t="str">
        <f ca="1"/>
        <v>Bois massif 3 et 5 plis</v>
      </c>
      <c r="L15">
        <f ca="1"/>
        <v>14.071709396131261</v>
      </c>
      <c r="M15" t="str">
        <f ca="1"/>
        <v>kg</v>
      </c>
      <c r="N15">
        <f ca="1"/>
        <v>28935.008666666668</v>
      </c>
      <c r="P15">
        <f t="shared" ca="1" si="0"/>
        <v>79.633196199396721</v>
      </c>
      <c r="Q15">
        <f t="shared" ca="1" si="1"/>
        <v>1</v>
      </c>
      <c r="R15" s="169">
        <f t="shared" ca="1" si="2"/>
        <v>28.935008666666668</v>
      </c>
      <c r="T15" t="str">
        <f ca="1"/>
        <v>Plaque de plâtre armé de fibres</v>
      </c>
      <c r="U15">
        <f ca="1"/>
        <v>13.2384</v>
      </c>
      <c r="V15">
        <f ca="1"/>
        <v>82.003547136399476</v>
      </c>
      <c r="W15" s="169">
        <f ca="1"/>
        <v>11.58</v>
      </c>
    </row>
    <row r="16" spans="2:26">
      <c r="B16" s="1400" t="str" cm="1">
        <f t="array" aca="1" ref="B16" ca="1">IFERROR(INDEX(Décomposition!H19:H289,MATCH(0,COUNTIF($B$1:B15,Décomposition!H19:H289),0)),-1)</f>
        <v>Tôle d'acier nickel-chrome 18/8, nue</v>
      </c>
      <c r="C16" s="171" cm="1">
        <f t="array" aca="1" ref="C16" ca="1">IFERROR(SUM((Décomposition!$H$4:$H$275='List of materials'!B16)*Décomposition!$S$4:$S$275),0)</f>
        <v>2.6174959259189996</v>
      </c>
      <c r="D16" s="1401" t="str">
        <f ca="1">_xlfn.XLOOKUP(B16, Décomposition!H:H, Décomposition!J:J, 0,0,1)</f>
        <v>kg</v>
      </c>
      <c r="E16" s="1402" cm="1">
        <f t="array" aca="1" ref="E16" ca="1">IFERROR(SUM((Décomposition!$H$4:$H$275='List of materials'!$B16)*Décomposition!$K$4:$K$275),0)</f>
        <v>306.76785474999997</v>
      </c>
      <c r="F16" s="171" cm="1">
        <f t="array" aca="1" ref="F16" ca="1">IF($D16=$F$1, IFERROR(SUM((Décomposition!$H$4:$H$275='List of materials'!$B16)*Décomposition!$K$4:$K$275),0), 0)</f>
        <v>0</v>
      </c>
      <c r="G16" cm="1">
        <f t="array" aca="1" ref="G16" ca="1">IF($D16=$G$1, IFERROR(SUM((Décomposition!$H$4:$H$275='List of materials'!$B16)*Décomposition!$K$4:$K$275),0), 0)</f>
        <v>0</v>
      </c>
      <c r="H16">
        <f t="shared" ca="1" si="3"/>
        <v>306.76785474999997</v>
      </c>
      <c r="I16">
        <f ca="1">_xlfn.XLOOKUP(B16,'Baumaterialien Matériaux'!AD:AD,'Baumaterialien Matériaux'!F:F)</f>
        <v>7900</v>
      </c>
      <c r="K16" s="273" t="str">
        <f ca="1"/>
        <v>Plaque de plâtre armé de fibres</v>
      </c>
      <c r="L16">
        <f ca="1"/>
        <v>13.2384</v>
      </c>
      <c r="M16" t="str">
        <f ca="1"/>
        <v>kg</v>
      </c>
      <c r="N16">
        <f ca="1"/>
        <v>11580</v>
      </c>
      <c r="P16">
        <f t="shared" ca="1" si="0"/>
        <v>82.003547136399476</v>
      </c>
      <c r="Q16">
        <f t="shared" ca="1" si="1"/>
        <v>1</v>
      </c>
      <c r="R16" s="169">
        <f t="shared" ca="1" si="2"/>
        <v>11.58</v>
      </c>
      <c r="T16" t="str">
        <f ca="1"/>
        <v>Cadre de fenêtre en bois</v>
      </c>
      <c r="U16">
        <f ca="1"/>
        <v>12.714753333333334</v>
      </c>
      <c r="V16">
        <f ca="1"/>
        <v>84.280138527913977</v>
      </c>
      <c r="W16" s="169">
        <f ca="1"/>
        <v>0</v>
      </c>
    </row>
    <row r="17" spans="2:23">
      <c r="B17" s="1400" t="str" cm="1">
        <f t="array" aca="1" ref="B17" ca="1">IFERROR(INDEX(Décomposition!H20:H290,MATCH(0,COUNTIF($B$1:B16,Décomposition!H20:H290),0)),-1)</f>
        <v xml:space="preserve">Polyamide (PA) renforcé par des fibres de verre </v>
      </c>
      <c r="C17" s="171" cm="1">
        <f t="array" aca="1" ref="C17" ca="1">IFERROR(SUM((Décomposition!$H$4:$H$275='List of materials'!B17)*Décomposition!$S$4:$S$275),0)</f>
        <v>4.035568674666667</v>
      </c>
      <c r="D17" s="1401" t="str">
        <f ca="1">_xlfn.XLOOKUP(B17, Décomposition!H:H, Décomposition!J:J, 0,0,1)</f>
        <v>kg</v>
      </c>
      <c r="E17" s="1402" cm="1">
        <f t="array" aca="1" ref="E17" ca="1">IFERROR(SUM((Décomposition!$H$4:$H$275='List of materials'!$B17)*Décomposition!$K$4:$K$275),0)</f>
        <v>169.17131933333332</v>
      </c>
      <c r="F17" s="171" cm="1">
        <f t="array" aca="1" ref="F17" ca="1">IF($D17=$F$1, IFERROR(SUM((Décomposition!$H$4:$H$275='List of materials'!$B17)*Décomposition!$K$4:$K$275),0), 0)</f>
        <v>0</v>
      </c>
      <c r="G17" cm="1">
        <f t="array" aca="1" ref="G17" ca="1">IF($D17=$G$1, IFERROR(SUM((Décomposition!$H$4:$H$275='List of materials'!$B17)*Décomposition!$K$4:$K$275),0), 0)</f>
        <v>0</v>
      </c>
      <c r="H17">
        <f t="shared" ca="1" si="3"/>
        <v>169.17131933333332</v>
      </c>
      <c r="I17">
        <f ca="1">_xlfn.XLOOKUP(B17,'Baumaterialien Matériaux'!AD:AD,'Baumaterialien Matériaux'!F:F)</f>
        <v>1360</v>
      </c>
      <c r="K17" s="273" t="str">
        <f ca="1"/>
        <v>Cadre de fenêtre en bois</v>
      </c>
      <c r="L17">
        <f ca="1"/>
        <v>12.714753333333334</v>
      </c>
      <c r="M17" t="str">
        <f ca="1"/>
        <v>m2</v>
      </c>
      <c r="N17">
        <f ca="1"/>
        <v>169.51833333333335</v>
      </c>
      <c r="P17">
        <f t="shared" ca="1" si="0"/>
        <v>84.280138527913977</v>
      </c>
      <c r="Q17">
        <f t="shared" ca="1" si="1"/>
        <v>0</v>
      </c>
      <c r="R17" s="169">
        <f t="shared" ca="1" si="2"/>
        <v>0</v>
      </c>
      <c r="T17" t="str">
        <f ca="1"/>
        <v>Bois massif épicéa / sapin / mélèze, séché en cellule, raboté</v>
      </c>
      <c r="U17">
        <f ca="1"/>
        <v>12.020118715000002</v>
      </c>
      <c r="V17">
        <f ca="1"/>
        <v>86.432354782067392</v>
      </c>
      <c r="W17" s="169">
        <f ca="1"/>
        <v>50.72544453750001</v>
      </c>
    </row>
    <row r="18" spans="2:23">
      <c r="B18" s="1400" t="str" cm="1">
        <f t="array" aca="1" ref="B18" ca="1">IFERROR(INDEX(Décomposition!H21:H291,MATCH(0,COUNTIF($B$1:B17,Décomposition!H21:H291),0)),-1)</f>
        <v>Tôle d'acier, zinguée</v>
      </c>
      <c r="C18" s="171" cm="1">
        <f t="array" aca="1" ref="C18" ca="1">IFERROR(SUM((Décomposition!$H$4:$H$275='List of materials'!B18)*Décomposition!$S$4:$S$275),0)</f>
        <v>9.6472246420601255</v>
      </c>
      <c r="D18" s="1401" t="str">
        <f ca="1">_xlfn.XLOOKUP(B18, Décomposition!H:H, Décomposition!J:J, 0,0,1)</f>
        <v>kg</v>
      </c>
      <c r="E18" s="1402" cm="1">
        <f t="array" aca="1" ref="E18" ca="1">IFERROR(SUM((Décomposition!$H$4:$H$275='List of materials'!$B18)*Décomposition!$K$4:$K$275),0)</f>
        <v>1037.4099640052352</v>
      </c>
      <c r="F18" s="171" cm="1">
        <f t="array" aca="1" ref="F18" ca="1">IF($D18=$F$1, IFERROR(SUM((Décomposition!$H$4:$H$275='List of materials'!$B18)*Décomposition!$K$4:$K$275),0), 0)</f>
        <v>0</v>
      </c>
      <c r="G18" cm="1">
        <f t="array" aca="1" ref="G18" ca="1">IF($D18=$G$1, IFERROR(SUM((Décomposition!$H$4:$H$275='List of materials'!$B18)*Décomposition!$K$4:$K$275),0), 0)</f>
        <v>0</v>
      </c>
      <c r="H18">
        <f t="shared" ca="1" si="3"/>
        <v>1037.4099640052352</v>
      </c>
      <c r="I18">
        <f ca="1">_xlfn.XLOOKUP(B18,'Baumaterialien Matériaux'!AD:AD,'Baumaterialien Matériaux'!F:F)</f>
        <v>7850</v>
      </c>
      <c r="K18" s="273" t="str">
        <f ca="1"/>
        <v>Bois massif épicéa / sapin / mélèze, séché en cellule, raboté</v>
      </c>
      <c r="L18">
        <f ca="1"/>
        <v>12.020118715000002</v>
      </c>
      <c r="M18" t="str">
        <f ca="1"/>
        <v>kg</v>
      </c>
      <c r="N18">
        <f ca="1"/>
        <v>50725.444537500007</v>
      </c>
      <c r="P18">
        <f t="shared" ca="1" si="0"/>
        <v>86.432354782067392</v>
      </c>
      <c r="Q18">
        <f t="shared" ca="1" si="1"/>
        <v>1</v>
      </c>
      <c r="R18" s="169">
        <f t="shared" ca="1" si="2"/>
        <v>50.72544453750001</v>
      </c>
      <c r="T18" t="str">
        <f ca="1"/>
        <v>Tôle d'acier, zinguée</v>
      </c>
      <c r="U18">
        <f ca="1"/>
        <v>9.6472246420601255</v>
      </c>
      <c r="V18">
        <f ca="1"/>
        <v>88.159701589066984</v>
      </c>
      <c r="W18" s="169">
        <f ca="1"/>
        <v>1.0374099640052352</v>
      </c>
    </row>
    <row r="19" spans="2:23">
      <c r="B19" s="1400" t="str" cm="1">
        <f t="array" aca="1" ref="B19" ca="1">IFERROR(INDEX(Décomposition!H22:H292,MATCH(0,COUNTIF($B$1:B18,Décomposition!H22:H292),0)),-1)</f>
        <v>Laine de roche</v>
      </c>
      <c r="C19" s="171" cm="1">
        <f t="array" aca="1" ref="C19" ca="1">IFERROR(SUM((Décomposition!$H$4:$H$275='List of materials'!B19)*Décomposition!$S$4:$S$275),0)</f>
        <v>68.196127652042179</v>
      </c>
      <c r="D19" s="1401" t="str">
        <f ca="1">_xlfn.XLOOKUP(B19, Décomposition!H:H, Décomposition!J:J, 0,0,1)</f>
        <v>kg</v>
      </c>
      <c r="E19" s="1402" cm="1">
        <f t="array" aca="1" ref="E19" ca="1">IFERROR(SUM((Décomposition!$H$4:$H$275='List of materials'!$B19)*Décomposition!$K$4:$K$275),0)</f>
        <v>28972.302297435548</v>
      </c>
      <c r="F19" s="171" cm="1">
        <f t="array" aca="1" ref="F19" ca="1">IF($D19=$F$1, IFERROR(SUM((Décomposition!$H$4:$H$275='List of materials'!$B19)*Décomposition!$K$4:$K$275),0), 0)</f>
        <v>0</v>
      </c>
      <c r="G19" cm="1">
        <f t="array" aca="1" ref="G19" ca="1">IF($D19=$G$1, IFERROR(SUM((Décomposition!$H$4:$H$275='List of materials'!$B19)*Décomposition!$K$4:$K$275),0), 0)</f>
        <v>0</v>
      </c>
      <c r="H19">
        <f t="shared" ca="1" si="3"/>
        <v>28972.302297435548</v>
      </c>
      <c r="I19" t="str">
        <f ca="1">_xlfn.XLOOKUP(B19,'Baumaterialien Matériaux'!AD:AD,'Baumaterialien Matériaux'!F:F)</f>
        <v>32-160</v>
      </c>
      <c r="K19" s="273" t="str">
        <f ca="1"/>
        <v>Tôle d'acier, zinguée</v>
      </c>
      <c r="L19">
        <f ca="1"/>
        <v>9.6472246420601255</v>
      </c>
      <c r="M19" t="str">
        <f ca="1"/>
        <v>kg</v>
      </c>
      <c r="N19">
        <f ca="1"/>
        <v>1037.4099640052352</v>
      </c>
      <c r="P19">
        <f t="shared" ca="1" si="0"/>
        <v>88.159701589066984</v>
      </c>
      <c r="Q19">
        <f t="shared" ca="1" si="1"/>
        <v>1</v>
      </c>
      <c r="R19" s="169">
        <f t="shared" ca="1" si="2"/>
        <v>1.0374099640052352</v>
      </c>
      <c r="T19" t="str">
        <f ca="1"/>
        <v>Enduit, diluable à l'eau, 2 couches</v>
      </c>
      <c r="U19">
        <f ca="1"/>
        <v>7.7071616870466331</v>
      </c>
      <c r="V19">
        <f ca="1"/>
        <v>89.53967786463825</v>
      </c>
      <c r="W19" s="169">
        <f ca="1"/>
        <v>1.5910034999999998</v>
      </c>
    </row>
    <row r="20" spans="2:23">
      <c r="B20" s="1400" t="str" cm="1">
        <f t="array" aca="1" ref="B20" ca="1">IFERROR(INDEX(Décomposition!H23:H293,MATCH(0,COUNTIF($B$1:B19,Décomposition!H23:H293),0)),-1)</f>
        <v>Cadre de fenêtre en bois</v>
      </c>
      <c r="C20" s="171" cm="1">
        <f t="array" aca="1" ref="C20" ca="1">IFERROR(SUM((Décomposition!$H$4:$H$275='List of materials'!B20)*Décomposition!$S$4:$S$275),0)</f>
        <v>12.714753333333334</v>
      </c>
      <c r="D20" s="1401" t="str">
        <f ca="1">_xlfn.XLOOKUP(B20, Décomposition!H:H, Décomposition!J:J, 0,0,1)</f>
        <v>m2</v>
      </c>
      <c r="E20" s="1402" cm="1">
        <f t="array" aca="1" ref="E20" ca="1">IFERROR(SUM((Décomposition!$H$4:$H$275='List of materials'!$B20)*Décomposition!$K$4:$K$275),0)</f>
        <v>169.51833333333335</v>
      </c>
      <c r="F20" s="171" cm="1">
        <f t="array" aca="1" ref="F20" ca="1">IF($D20=$F$1, IFERROR(SUM((Décomposition!$H$4:$H$275='List of materials'!$B20)*Décomposition!$K$4:$K$275),0), 0)</f>
        <v>169.51833333333335</v>
      </c>
      <c r="G20" cm="1">
        <f t="array" aca="1" ref="G20" ca="1">IF($D20=$G$1, IFERROR(SUM((Décomposition!$H$4:$H$275='List of materials'!$B20)*Décomposition!$K$4:$K$275),0), 0)</f>
        <v>0</v>
      </c>
      <c r="H20">
        <f t="shared" ca="1" si="3"/>
        <v>169.51833333333335</v>
      </c>
      <c r="I20" t="str">
        <f ca="1">_xlfn.XLOOKUP(B20,'Baumaterialien Matériaux'!AD:AD,'Baumaterialien Matériaux'!F:F)</f>
        <v>-</v>
      </c>
      <c r="K20" s="273" t="str">
        <f ca="1"/>
        <v>Enduit, diluable à l'eau, 2 couches</v>
      </c>
      <c r="L20">
        <f ca="1"/>
        <v>7.7071616870466331</v>
      </c>
      <c r="M20" t="str">
        <f ca="1"/>
        <v>m2</v>
      </c>
      <c r="N20">
        <f ca="1"/>
        <v>5303.3449999999993</v>
      </c>
      <c r="P20">
        <f t="shared" ca="1" si="0"/>
        <v>89.53967786463825</v>
      </c>
      <c r="Q20">
        <f t="shared" ca="1" si="1"/>
        <v>0.3</v>
      </c>
      <c r="R20" s="169">
        <f t="shared" ca="1" si="2"/>
        <v>1.5910034999999998</v>
      </c>
      <c r="T20" t="str">
        <f ca="1"/>
        <v>Parquet, 2 plis, vitrifié d'usine, 11 mm</v>
      </c>
      <c r="U20">
        <f ca="1"/>
        <v>7.2771999999999988</v>
      </c>
      <c r="V20">
        <f ca="1"/>
        <v>90.84266899942466</v>
      </c>
      <c r="W20" s="169">
        <f ca="1"/>
        <v>2.747033333333333</v>
      </c>
    </row>
    <row r="21" spans="2:23">
      <c r="B21" s="1400" t="str" cm="1">
        <f t="array" aca="1" ref="B21" ca="1">IFERROR(INDEX(Décomposition!H24:H294,MATCH(0,COUNTIF($B$1:B20,Décomposition!H24:H294),0)),-1)</f>
        <v>Triple vitrage, U&lt;0.6 W/m2K, épaisseur 40 mm 3</v>
      </c>
      <c r="C21" s="171" cm="1">
        <f t="array" aca="1" ref="C21" ca="1">IFERROR(SUM((Décomposition!$H$4:$H$275='List of materials'!B21)*Décomposition!$S$4:$S$275),0)</f>
        <v>18.579912</v>
      </c>
      <c r="D21" s="1401" t="str">
        <f ca="1">_xlfn.XLOOKUP(B21, Décomposition!H:H, Décomposition!J:J, 0,0,1)</f>
        <v>m2</v>
      </c>
      <c r="E21" s="1402" cm="1">
        <f t="array" aca="1" ref="E21" ca="1">IFERROR(SUM((Décomposition!$H$4:$H$275='List of materials'!$B21)*Décomposition!$K$4:$K$275),0)</f>
        <v>132.2243</v>
      </c>
      <c r="F21" s="171" cm="1">
        <f t="array" aca="1" ref="F21" ca="1">IF($D21=$F$1, IFERROR(SUM((Décomposition!$H$4:$H$275='List of materials'!$B21)*Décomposition!$K$4:$K$275),0), 0)</f>
        <v>132.2243</v>
      </c>
      <c r="G21" cm="1">
        <f t="array" aca="1" ref="G21" ca="1">IF($D21=$G$1, IFERROR(SUM((Décomposition!$H$4:$H$275='List of materials'!$B21)*Décomposition!$K$4:$K$275),0), 0)</f>
        <v>0</v>
      </c>
      <c r="H21">
        <f t="shared" ca="1" si="3"/>
        <v>132.2243</v>
      </c>
      <c r="I21" t="str">
        <f ca="1">_xlfn.XLOOKUP(B21,'Baumaterialien Matériaux'!AD:AD,'Baumaterialien Matériaux'!F:F)</f>
        <v>-</v>
      </c>
      <c r="K21" s="273" t="str">
        <f ca="1"/>
        <v>Parquet, 2 plis, vitrifié d'usine, 11 mm</v>
      </c>
      <c r="L21">
        <f ca="1"/>
        <v>7.2771999999999988</v>
      </c>
      <c r="M21" t="str">
        <f ca="1"/>
        <v>m2</v>
      </c>
      <c r="N21">
        <f ca="1"/>
        <v>450.33333333333331</v>
      </c>
      <c r="P21">
        <f t="shared" ca="1" si="0"/>
        <v>90.84266899942466</v>
      </c>
      <c r="Q21">
        <f t="shared" ca="1" si="1"/>
        <v>6.1</v>
      </c>
      <c r="R21" s="169">
        <f t="shared" ca="1" si="2"/>
        <v>2.747033333333333</v>
      </c>
      <c r="T21" t="str">
        <f ca="1"/>
        <v>Dalle en céramique/grès, 9 mm</v>
      </c>
      <c r="U21">
        <f ca="1"/>
        <v>7.2439999999999998</v>
      </c>
      <c r="V21">
        <f ca="1"/>
        <v>92.139715635547446</v>
      </c>
      <c r="W21" s="169">
        <f ca="1"/>
        <v>3.4740000000000002</v>
      </c>
    </row>
    <row r="22" spans="2:23">
      <c r="B22" s="1400" t="str" cm="1">
        <f t="array" aca="1" ref="B22" ca="1">IFERROR(INDEX(Décomposition!H25:H295,MATCH(0,COUNTIF($B$1:B21,Décomposition!H25:H295),0)),-1)</f>
        <v>Protection solaire, stores vénitiens avec moteur 4</v>
      </c>
      <c r="C22" s="171" cm="1">
        <f t="array" aca="1" ref="C22" ca="1">IFERROR(SUM((Décomposition!$H$4:$H$275='List of materials'!B22)*Décomposition!$S$4:$S$275),0)</f>
        <v>21.069460000000003</v>
      </c>
      <c r="D22" s="1401" t="str">
        <f ca="1">_xlfn.XLOOKUP(B22, Décomposition!H:H, Décomposition!J:J, 0,0,1)</f>
        <v>m2</v>
      </c>
      <c r="E22" s="1402" cm="1">
        <f t="array" aca="1" ref="E22" ca="1">IFERROR(SUM((Décomposition!$H$4:$H$275='List of materials'!$B22)*Décomposition!$K$4:$K$275),0)</f>
        <v>169.51833333333335</v>
      </c>
      <c r="F22" s="171" cm="1">
        <f t="array" aca="1" ref="F22" ca="1">IF($D22=$F$1, IFERROR(SUM((Décomposition!$H$4:$H$275='List of materials'!$B22)*Décomposition!$K$4:$K$275),0), 0)</f>
        <v>169.51833333333335</v>
      </c>
      <c r="G22" cm="1">
        <f t="array" aca="1" ref="G22" ca="1">IF($D22=$G$1, IFERROR(SUM((Décomposition!$H$4:$H$275='List of materials'!$B22)*Décomposition!$K$4:$K$275),0), 0)</f>
        <v>0</v>
      </c>
      <c r="H22">
        <f t="shared" ca="1" si="3"/>
        <v>169.51833333333335</v>
      </c>
      <c r="I22" t="str">
        <f ca="1">_xlfn.XLOOKUP(B22,'Baumaterialien Matériaux'!AD:AD,'Baumaterialien Matériaux'!F:F)</f>
        <v>-</v>
      </c>
      <c r="K22" s="273" t="str">
        <f ca="1"/>
        <v>Dalle en céramique/grès, 9 mm</v>
      </c>
      <c r="L22">
        <f ca="1"/>
        <v>7.2439999999999998</v>
      </c>
      <c r="M22" t="str">
        <f ca="1"/>
        <v>m2</v>
      </c>
      <c r="N22">
        <f ca="1"/>
        <v>193</v>
      </c>
      <c r="P22">
        <f t="shared" ca="1" si="0"/>
        <v>92.139715635547446</v>
      </c>
      <c r="Q22">
        <f t="shared" ca="1" si="1"/>
        <v>18</v>
      </c>
      <c r="R22" s="169">
        <f t="shared" ca="1" si="2"/>
        <v>3.4740000000000002</v>
      </c>
      <c r="T22" t="str">
        <f ca="1"/>
        <v>Plaque de plâtre cartonnée</v>
      </c>
      <c r="U22">
        <f ca="1"/>
        <v>6.4111249999999984</v>
      </c>
      <c r="V22">
        <f ca="1"/>
        <v>93.287635032981569</v>
      </c>
      <c r="W22" s="169">
        <f ca="1"/>
        <v>10.253125000000001</v>
      </c>
    </row>
    <row r="23" spans="2:23">
      <c r="B23" s="1400" t="str" cm="1">
        <f t="array" aca="1" ref="B23" ca="1">IFERROR(INDEX(Décomposition!H26:H296,MATCH(0,COUNTIF($B$1:B22,Décomposition!H26:H296),0)),-1)</f>
        <v>Portes extérieures aluminium, avec vitrage</v>
      </c>
      <c r="C23" s="171" cm="1">
        <f t="array" aca="1" ref="C23" ca="1">IFERROR(SUM((Décomposition!$H$4:$H$275='List of materials'!B23)*Décomposition!$S$4:$S$275),0)</f>
        <v>0.93923316062176165</v>
      </c>
      <c r="D23" s="1401" t="str">
        <f ca="1">_xlfn.XLOOKUP(B23, Décomposition!H:H, Décomposition!J:J, 0,0,1)</f>
        <v>m2</v>
      </c>
      <c r="E23" s="1402" cm="1">
        <f t="array" aca="1" ref="E23" ca="1">IFERROR(SUM((Décomposition!$H$4:$H$275='List of materials'!$B23)*Décomposition!$K$4:$K$275),0)</f>
        <v>2.1</v>
      </c>
      <c r="F23" s="171" cm="1">
        <f t="array" aca="1" ref="F23" ca="1">IF($D23=$F$1, IFERROR(SUM((Décomposition!$H$4:$H$275='List of materials'!$B23)*Décomposition!$K$4:$K$275),0), 0)</f>
        <v>2.1</v>
      </c>
      <c r="G23" cm="1">
        <f t="array" aca="1" ref="G23" ca="1">IF($D23=$G$1, IFERROR(SUM((Décomposition!$H$4:$H$275='List of materials'!$B23)*Décomposition!$K$4:$K$275),0), 0)</f>
        <v>0</v>
      </c>
      <c r="H23">
        <f t="shared" ca="1" si="3"/>
        <v>2.1</v>
      </c>
      <c r="I23" t="str">
        <f ca="1">_xlfn.XLOOKUP(B23,'Baumaterialien Matériaux'!AD:AD,'Baumaterialien Matériaux'!F:F)</f>
        <v>-</v>
      </c>
      <c r="K23" s="273" t="str">
        <f ca="1"/>
        <v>Plaque de plâtre cartonnée</v>
      </c>
      <c r="L23">
        <f ca="1"/>
        <v>6.4111249999999984</v>
      </c>
      <c r="M23" t="str">
        <f ca="1"/>
        <v>kg</v>
      </c>
      <c r="N23">
        <f ca="1"/>
        <v>10253.125</v>
      </c>
      <c r="P23">
        <f t="shared" ca="1" si="0"/>
        <v>93.287635032981569</v>
      </c>
      <c r="Q23">
        <f t="shared" ca="1" si="1"/>
        <v>1</v>
      </c>
      <c r="R23" s="169">
        <f t="shared" ca="1" si="2"/>
        <v>10.253125000000001</v>
      </c>
      <c r="T23" t="str">
        <f ca="1"/>
        <v>Béton maigre (sans armature)</v>
      </c>
      <c r="U23">
        <f ca="1"/>
        <v>4.6556896296296308</v>
      </c>
      <c r="V23">
        <f ca="1"/>
        <v>94.121241683028899</v>
      </c>
      <c r="W23" s="169">
        <f ca="1"/>
        <v>71.540453703703704</v>
      </c>
    </row>
    <row r="24" spans="2:23">
      <c r="B24" s="1400" t="str" cm="1">
        <f t="array" aca="1" ref="B24" ca="1">IFERROR(INDEX(Décomposition!H27:H297,MATCH(0,COUNTIF($B$1:B23,Décomposition!H27:H297),0)),-1)</f>
        <v>Tuile en terre cuite</v>
      </c>
      <c r="C24" s="171" cm="1">
        <f t="array" aca="1" ref="C24" ca="1">IFERROR(SUM((Décomposition!$H$4:$H$275='List of materials'!B24)*Décomposition!$S$4:$S$275),0)</f>
        <v>14.845599921762576</v>
      </c>
      <c r="D24" s="1401" t="str">
        <f ca="1">_xlfn.XLOOKUP(B24, Décomposition!H:H, Décomposition!J:J, 0,0,1)</f>
        <v>kg</v>
      </c>
      <c r="E24" s="1402" cm="1">
        <f t="array" aca="1" ref="E24" ca="1">IFERROR(SUM((Décomposition!$H$4:$H$275='List of materials'!$B24)*Décomposition!$K$4:$K$275),0)</f>
        <v>18571.433658932961</v>
      </c>
      <c r="F24" s="171" cm="1">
        <f t="array" aca="1" ref="F24" ca="1">IF($D24=$F$1, IFERROR(SUM((Décomposition!$H$4:$H$275='List of materials'!$B24)*Décomposition!$K$4:$K$275),0), 0)</f>
        <v>0</v>
      </c>
      <c r="G24" cm="1">
        <f t="array" aca="1" ref="G24" ca="1">IF($D24=$G$1, IFERROR(SUM((Décomposition!$H$4:$H$275='List of materials'!$B24)*Décomposition!$K$4:$K$275),0), 0)</f>
        <v>0</v>
      </c>
      <c r="H24">
        <f t="shared" ca="1" si="3"/>
        <v>18571.433658932961</v>
      </c>
      <c r="I24">
        <f ca="1">_xlfn.XLOOKUP(B24,'Baumaterialien Matériaux'!AD:AD,'Baumaterialien Matériaux'!F:F)</f>
        <v>1700</v>
      </c>
      <c r="K24" s="273" t="str">
        <f ca="1"/>
        <v>Béton maigre (sans armature)</v>
      </c>
      <c r="L24">
        <f ca="1"/>
        <v>4.6556896296296308</v>
      </c>
      <c r="M24" t="str">
        <f ca="1"/>
        <v>kg</v>
      </c>
      <c r="N24">
        <f ca="1"/>
        <v>71540.453703703708</v>
      </c>
      <c r="P24">
        <f t="shared" ca="1" si="0"/>
        <v>94.121241683028899</v>
      </c>
      <c r="Q24">
        <f t="shared" ca="1" si="1"/>
        <v>1</v>
      </c>
      <c r="R24" s="169">
        <f t="shared" ca="1" si="2"/>
        <v>71.540453703703704</v>
      </c>
      <c r="T24" t="str">
        <f ca="1"/>
        <v>Colle bicomposant</v>
      </c>
      <c r="U24">
        <f ca="1"/>
        <v>4.5145333333333326</v>
      </c>
      <c r="V24">
        <f ca="1"/>
        <v>94.929574133838429</v>
      </c>
      <c r="W24" s="169">
        <f ca="1"/>
        <v>0.45033333333333331</v>
      </c>
    </row>
    <row r="25" spans="2:23">
      <c r="B25" s="1400" t="str" cm="1">
        <f t="array" aca="1" ref="B25" ca="1">IFERROR(INDEX(Décomposition!H28:H298,MATCH(0,COUNTIF($B$1:B24,Décomposition!H28:H298),0)),-1)</f>
        <v>Feuille de polyéthylène (PE)</v>
      </c>
      <c r="C25" s="171" cm="1">
        <f t="array" aca="1" ref="C25" ca="1">IFERROR(SUM((Décomposition!$H$4:$H$275='List of materials'!B25)*Décomposition!$S$4:$S$275),0)</f>
        <v>0.75101723016186517</v>
      </c>
      <c r="D25" s="1401" t="str">
        <f ca="1">_xlfn.XLOOKUP(B25, Décomposition!H:H, Décomposition!J:J, 0,0,1)</f>
        <v>kg</v>
      </c>
      <c r="E25" s="1402" cm="1">
        <f t="array" aca="1" ref="E25" ca="1">IFERROR(SUM((Décomposition!$H$4:$H$275='List of materials'!$B25)*Décomposition!$K$4:$K$275),0)</f>
        <v>66.857161172158655</v>
      </c>
      <c r="F25" s="171" cm="1">
        <f t="array" aca="1" ref="F25" ca="1">IF($D25=$F$1, IFERROR(SUM((Décomposition!$H$4:$H$275='List of materials'!$B25)*Décomposition!$K$4:$K$275),0), 0)</f>
        <v>0</v>
      </c>
      <c r="G25" cm="1">
        <f t="array" aca="1" ref="G25" ca="1">IF($D25=$G$1, IFERROR(SUM((Décomposition!$H$4:$H$275='List of materials'!$B25)*Décomposition!$K$4:$K$275),0), 0)</f>
        <v>0</v>
      </c>
      <c r="H25">
        <f t="shared" ca="1" si="3"/>
        <v>66.857161172158655</v>
      </c>
      <c r="I25">
        <f ca="1">_xlfn.XLOOKUP(B25,'Baumaterialien Matériaux'!AD:AD,'Baumaterialien Matériaux'!F:F)</f>
        <v>920</v>
      </c>
      <c r="K25" s="273" t="str">
        <f ca="1"/>
        <v>Colle bicomposant</v>
      </c>
      <c r="L25">
        <f ca="1"/>
        <v>4.5145333333333326</v>
      </c>
      <c r="M25" t="str">
        <f ca="1"/>
        <v>kg</v>
      </c>
      <c r="N25">
        <f ca="1"/>
        <v>450.33333333333331</v>
      </c>
      <c r="P25">
        <f t="shared" ca="1" si="0"/>
        <v>94.929574133838429</v>
      </c>
      <c r="Q25">
        <f t="shared" ca="1" si="1"/>
        <v>1</v>
      </c>
      <c r="R25" s="169">
        <f t="shared" ca="1" si="2"/>
        <v>0.45033333333333331</v>
      </c>
      <c r="T25" t="str">
        <f ca="1"/>
        <v xml:space="preserve">Polyamide (PA) renforcé par des fibres de verre </v>
      </c>
      <c r="U25">
        <f ca="1"/>
        <v>4.035568674666667</v>
      </c>
      <c r="V25">
        <f ca="1"/>
        <v>95.652147404727287</v>
      </c>
      <c r="W25" s="169">
        <f ca="1"/>
        <v>0.16917131933333332</v>
      </c>
    </row>
    <row r="26" spans="2:23">
      <c r="B26" s="1400" t="str" cm="1">
        <f t="array" aca="1" ref="B26" ca="1">IFERROR(INDEX(Décomposition!H29:H299,MATCH(0,COUNTIF($B$1:B25,Décomposition!H29:H299),0)),-1)</f>
        <v>Plaque de plâtre armé de fibres</v>
      </c>
      <c r="C26" s="171" cm="1">
        <f t="array" aca="1" ref="C26" ca="1">IFERROR(SUM((Décomposition!$H$4:$H$275='List of materials'!B26)*Décomposition!$S$4:$S$275),0)</f>
        <v>13.2384</v>
      </c>
      <c r="D26" s="1401" t="str">
        <f ca="1">_xlfn.XLOOKUP(B26, Décomposition!H:H, Décomposition!J:J, 0,0,1)</f>
        <v>kg</v>
      </c>
      <c r="E26" s="1402" cm="1">
        <f t="array" aca="1" ref="E26" ca="1">IFERROR(SUM((Décomposition!$H$4:$H$275='List of materials'!$B26)*Décomposition!$K$4:$K$275),0)</f>
        <v>11580</v>
      </c>
      <c r="F26" s="171" cm="1">
        <f t="array" aca="1" ref="F26" ca="1">IF($D26=$F$1, IFERROR(SUM((Décomposition!$H$4:$H$275='List of materials'!$B26)*Décomposition!$K$4:$K$275),0), 0)</f>
        <v>0</v>
      </c>
      <c r="G26" cm="1">
        <f t="array" aca="1" ref="G26" ca="1">IF($D26=$G$1, IFERROR(SUM((Décomposition!$H$4:$H$275='List of materials'!$B26)*Décomposition!$K$4:$K$275),0), 0)</f>
        <v>0</v>
      </c>
      <c r="H26">
        <f t="shared" ca="1" si="3"/>
        <v>11580</v>
      </c>
      <c r="I26">
        <f ca="1">_xlfn.XLOOKUP(B26,'Baumaterialien Matériaux'!AD:AD,'Baumaterialien Matériaux'!F:F)</f>
        <v>1200</v>
      </c>
      <c r="K26" s="273" t="str">
        <f ca="1"/>
        <v xml:space="preserve">Polyamide (PA) renforcé par des fibres de verre </v>
      </c>
      <c r="L26">
        <f ca="1"/>
        <v>4.035568674666667</v>
      </c>
      <c r="M26" t="str">
        <f ca="1"/>
        <v>kg</v>
      </c>
      <c r="N26">
        <f ca="1"/>
        <v>169.17131933333332</v>
      </c>
      <c r="P26">
        <f t="shared" ca="1" si="0"/>
        <v>95.652147404727287</v>
      </c>
      <c r="Q26">
        <f t="shared" ca="1" si="1"/>
        <v>1</v>
      </c>
      <c r="R26" s="169">
        <f t="shared" ca="1" si="2"/>
        <v>0.16917131933333332</v>
      </c>
      <c r="T26" t="str">
        <f ca="1"/>
        <v>Enduit minéral</v>
      </c>
      <c r="U26">
        <f ca="1"/>
        <v>3.837755350949914</v>
      </c>
      <c r="V26">
        <f ca="1"/>
        <v>96.339301969637816</v>
      </c>
      <c r="W26" s="169">
        <f ca="1"/>
        <v>12.287438333333334</v>
      </c>
    </row>
    <row r="27" spans="2:23">
      <c r="B27" s="1400" t="str" cm="1">
        <f t="array" aca="1" ref="B27" ca="1">IFERROR(INDEX(Décomposition!H30:H300,MATCH(0,COUNTIF($B$1:B26,Décomposition!H30:H300),0)),-1)</f>
        <v>Polystyrène extrudé (XPS)</v>
      </c>
      <c r="C27" s="171" cm="1">
        <f t="array" aca="1" ref="C27" ca="1">IFERROR(SUM((Décomposition!$H$4:$H$275='List of materials'!B27)*Décomposition!$S$4:$S$275),0)</f>
        <v>1.7268000000000001</v>
      </c>
      <c r="D27" s="1401" t="str">
        <f ca="1">_xlfn.XLOOKUP(B27, Décomposition!H:H, Décomposition!J:J, 0,0,1)</f>
        <v>kg</v>
      </c>
      <c r="E27" s="1402" cm="1">
        <f t="array" aca="1" ref="E27" ca="1">IFERROR(SUM((Décomposition!$H$4:$H$275='List of materials'!$B27)*Décomposition!$K$4:$K$275),0)</f>
        <v>57.9</v>
      </c>
      <c r="F27" s="171" cm="1">
        <f t="array" aca="1" ref="F27" ca="1">IF($D27=$F$1, IFERROR(SUM((Décomposition!$H$4:$H$275='List of materials'!$B27)*Décomposition!$K$4:$K$275),0), 0)</f>
        <v>0</v>
      </c>
      <c r="G27" cm="1">
        <f t="array" aca="1" ref="G27" ca="1">IF($D27=$G$1, IFERROR(SUM((Décomposition!$H$4:$H$275='List of materials'!$B27)*Décomposition!$K$4:$K$275),0), 0)</f>
        <v>0</v>
      </c>
      <c r="H27">
        <f t="shared" ca="1" si="3"/>
        <v>57.9</v>
      </c>
      <c r="I27" t="str">
        <f ca="1">_xlfn.XLOOKUP(B27,'Baumaterialien Matériaux'!AD:AD,'Baumaterialien Matériaux'!F:F)</f>
        <v>30-35</v>
      </c>
      <c r="K27" s="273" t="str">
        <f ca="1"/>
        <v>Enduit minéral</v>
      </c>
      <c r="L27">
        <f ca="1"/>
        <v>3.837755350949914</v>
      </c>
      <c r="M27" t="str">
        <f ca="1"/>
        <v>kg</v>
      </c>
      <c r="N27">
        <f ca="1"/>
        <v>12287.438333333334</v>
      </c>
      <c r="P27">
        <f t="shared" ca="1" si="0"/>
        <v>96.339301969637816</v>
      </c>
      <c r="Q27">
        <f t="shared" ca="1" si="1"/>
        <v>1</v>
      </c>
      <c r="R27" s="169">
        <f t="shared" ca="1" si="2"/>
        <v>12.287438333333334</v>
      </c>
      <c r="T27" t="str">
        <f ca="1"/>
        <v>Sondes géothermiques</v>
      </c>
      <c r="U27">
        <f ca="1"/>
        <v>3.613989637305699</v>
      </c>
      <c r="V27">
        <f ca="1"/>
        <v>96.986391022930192</v>
      </c>
      <c r="W27" s="169">
        <f ca="1"/>
        <v>0</v>
      </c>
    </row>
    <row r="28" spans="2:23">
      <c r="B28" s="1400" t="str" cm="1">
        <f t="array" aca="1" ref="B28" ca="1">IFERROR(INDEX(Décomposition!H31:H301,MATCH(0,COUNTIF($B$1:B27,Décomposition!H31:H301),0)),-1)</f>
        <v>Porte intérieure, porte fonctionnelle, bois, cadre en bois</v>
      </c>
      <c r="C28" s="171" cm="1">
        <f t="array" aca="1" ref="C28" ca="1">IFERROR(SUM((Décomposition!$H$4:$H$275='List of materials'!B28)*Décomposition!$S$4:$S$275),0)</f>
        <v>0</v>
      </c>
      <c r="D28" s="1401" t="str">
        <f ca="1">_xlfn.XLOOKUP(B28, Décomposition!H:H, Décomposition!J:J, 0,0,1)</f>
        <v>m2</v>
      </c>
      <c r="E28" s="1402" cm="1">
        <f t="array" aca="1" ref="E28" ca="1">IFERROR(SUM((Décomposition!$H$4:$H$275='List of materials'!$B28)*Décomposition!$K$4:$K$275),0)</f>
        <v>0</v>
      </c>
      <c r="F28" s="171" cm="1">
        <f t="array" aca="1" ref="F28" ca="1">IF($D28=$F$1, IFERROR(SUM((Décomposition!$H$4:$H$275='List of materials'!$B28)*Décomposition!$K$4:$K$275),0), 0)</f>
        <v>0</v>
      </c>
      <c r="G28" cm="1">
        <f t="array" aca="1" ref="G28" ca="1">IF($D28=$G$1, IFERROR(SUM((Décomposition!$H$4:$H$275='List of materials'!$B28)*Décomposition!$K$4:$K$275),0), 0)</f>
        <v>0</v>
      </c>
      <c r="H28" t="e">
        <f t="shared" ca="1" si="3"/>
        <v>#VALUE!</v>
      </c>
      <c r="I28" t="str">
        <f ca="1">_xlfn.XLOOKUP(B28,'Baumaterialien Matériaux'!AD:AD,'Baumaterialien Matériaux'!F:F)</f>
        <v>-</v>
      </c>
      <c r="K28" s="273" t="str">
        <f ca="1"/>
        <v>Sondes géothermiques</v>
      </c>
      <c r="L28">
        <f ca="1"/>
        <v>3.613989637305699</v>
      </c>
      <c r="M28" t="str">
        <f ca="1"/>
        <v>m2</v>
      </c>
      <c r="N28">
        <f ca="1"/>
        <v>150</v>
      </c>
      <c r="P28">
        <f t="shared" ca="1" si="0"/>
        <v>96.986391022930192</v>
      </c>
      <c r="Q28">
        <f t="shared" ca="1" si="1"/>
        <v>0</v>
      </c>
      <c r="R28" s="169">
        <f t="shared" ca="1" si="2"/>
        <v>0</v>
      </c>
      <c r="T28" t="str">
        <f ca="1"/>
        <v>Capteurs solaires</v>
      </c>
      <c r="U28">
        <f ca="1"/>
        <v>3.4818652849740932</v>
      </c>
      <c r="V28">
        <f ca="1"/>
        <v>97.609823057069946</v>
      </c>
      <c r="W28" s="169">
        <f ca="1"/>
        <v>0</v>
      </c>
    </row>
    <row r="29" spans="2:23">
      <c r="B29" s="1400" t="str" cm="1">
        <f t="array" aca="1" ref="B29" ca="1">IFERROR(INDEX(Décomposition!H32:H302,MATCH(0,COUNTIF($B$1:B28,Décomposition!H32:H302),0)),-1)</f>
        <v>Parquet, 2 plis, vitrifié d'usine, 11 mm</v>
      </c>
      <c r="C29" s="171" cm="1">
        <f t="array" aca="1" ref="C29" ca="1">IFERROR(SUM((Décomposition!$H$4:$H$275='List of materials'!B29)*Décomposition!$S$4:$S$275),0)</f>
        <v>7.2771999999999988</v>
      </c>
      <c r="D29" s="1401" t="str">
        <f ca="1">_xlfn.XLOOKUP(B29, Décomposition!H:H, Décomposition!J:J, 0,0,1)</f>
        <v>m2</v>
      </c>
      <c r="E29" s="1402" cm="1">
        <f t="array" aca="1" ref="E29" ca="1">IFERROR(SUM((Décomposition!$H$4:$H$275='List of materials'!$B29)*Décomposition!$K$4:$K$275),0)</f>
        <v>450.33333333333331</v>
      </c>
      <c r="F29" s="171" cm="1">
        <f t="array" aca="1" ref="F29" ca="1">IF($D29=$F$1, IFERROR(SUM((Décomposition!$H$4:$H$275='List of materials'!$B29)*Décomposition!$K$4:$K$275),0), 0)</f>
        <v>450.33333333333331</v>
      </c>
      <c r="G29" cm="1">
        <f t="array" aca="1" ref="G29" ca="1">IF($D29=$G$1, IFERROR(SUM((Décomposition!$H$4:$H$275='List of materials'!$B29)*Décomposition!$K$4:$K$275),0), 0)</f>
        <v>0</v>
      </c>
      <c r="H29">
        <f t="shared" ca="1" si="3"/>
        <v>450.33333333333331</v>
      </c>
      <c r="I29">
        <f ca="1">_xlfn.XLOOKUP(B29,'Baumaterialien Matériaux'!AD:AD,'Baumaterialien Matériaux'!F:F)</f>
        <v>6.1</v>
      </c>
      <c r="K29" s="273" t="str">
        <f ca="1"/>
        <v>Capteurs solaires</v>
      </c>
      <c r="L29">
        <f ca="1"/>
        <v>3.4818652849740932</v>
      </c>
      <c r="M29" t="str">
        <f ca="1"/>
        <v>m2</v>
      </c>
      <c r="N29">
        <f ca="1"/>
        <v>10</v>
      </c>
      <c r="P29">
        <f t="shared" ca="1" si="0"/>
        <v>97.609823057069946</v>
      </c>
      <c r="Q29">
        <f t="shared" ca="1" si="1"/>
        <v>0</v>
      </c>
      <c r="R29" s="169">
        <f t="shared" ca="1" si="2"/>
        <v>0</v>
      </c>
      <c r="T29" t="str">
        <f ca="1"/>
        <v>Voile de polyéthylène (PE)</v>
      </c>
      <c r="U29">
        <f ca="1"/>
        <v>3.2943685095670174</v>
      </c>
      <c r="V29">
        <f ca="1"/>
        <v>98.199683575220519</v>
      </c>
      <c r="W29" s="169">
        <f ca="1"/>
        <v>0.28233264757834559</v>
      </c>
    </row>
    <row r="30" spans="2:23">
      <c r="B30" s="1400" t="str" cm="1">
        <f t="array" aca="1" ref="B30" ca="1">IFERROR(INDEX(Décomposition!H33:H303,MATCH(0,COUNTIF($B$1:B29,Décomposition!H33:H303),0)),-1)</f>
        <v>Colle bicomposant</v>
      </c>
      <c r="C30" s="171" cm="1">
        <f t="array" aca="1" ref="C30" ca="1">IFERROR(SUM((Décomposition!$H$4:$H$275='List of materials'!B30)*Décomposition!$S$4:$S$275),0)</f>
        <v>4.5145333333333326</v>
      </c>
      <c r="D30" s="1401" t="str">
        <f ca="1">_xlfn.XLOOKUP(B30, Décomposition!H:H, Décomposition!J:J, 0,0,1)</f>
        <v>kg</v>
      </c>
      <c r="E30" s="1402" cm="1">
        <f t="array" aca="1" ref="E30" ca="1">IFERROR(SUM((Décomposition!$H$4:$H$275='List of materials'!$B30)*Décomposition!$K$4:$K$275),0)</f>
        <v>450.33333333333331</v>
      </c>
      <c r="F30" s="171" cm="1">
        <f t="array" aca="1" ref="F30" ca="1">IF($D30=$F$1, IFERROR(SUM((Décomposition!$H$4:$H$275='List of materials'!$B30)*Décomposition!$K$4:$K$275),0), 0)</f>
        <v>0</v>
      </c>
      <c r="G30" cm="1">
        <f t="array" aca="1" ref="G30" ca="1">IF($D30=$G$1, IFERROR(SUM((Décomposition!$H$4:$H$275='List of materials'!$B30)*Décomposition!$K$4:$K$275),0), 0)</f>
        <v>0</v>
      </c>
      <c r="H30">
        <f t="shared" ca="1" si="3"/>
        <v>450.33333333333331</v>
      </c>
      <c r="I30">
        <f ca="1">_xlfn.XLOOKUP(B30,'Baumaterialien Matériaux'!AD:AD,'Baumaterialien Matériaux'!F:F)</f>
        <v>1500</v>
      </c>
      <c r="K30" s="273" t="str">
        <f ca="1"/>
        <v>Voile de polyéthylène (PE)</v>
      </c>
      <c r="L30">
        <f ca="1"/>
        <v>3.2943685095670174</v>
      </c>
      <c r="M30" t="str">
        <f ca="1"/>
        <v>kg</v>
      </c>
      <c r="N30">
        <f ca="1"/>
        <v>282.33264757834559</v>
      </c>
      <c r="P30">
        <f t="shared" ca="1" si="0"/>
        <v>98.199683575220519</v>
      </c>
      <c r="Q30">
        <f t="shared" ca="1" si="1"/>
        <v>1</v>
      </c>
      <c r="R30" s="169">
        <f t="shared" ca="1" si="2"/>
        <v>0.28233264757834559</v>
      </c>
      <c r="T30" t="str">
        <f ca="1"/>
        <v>Tôle d'acier nickel-chrome 18/8, nue</v>
      </c>
      <c r="U30">
        <f ca="1"/>
        <v>2.6174959259189996</v>
      </c>
      <c r="V30">
        <f ca="1"/>
        <v>98.668349269005489</v>
      </c>
      <c r="W30" s="169">
        <f ca="1"/>
        <v>0.30676785474999996</v>
      </c>
    </row>
    <row r="31" spans="2:23">
      <c r="B31" s="1400" t="str" cm="1">
        <f t="array" aca="1" ref="B31" ca="1">IFERROR(INDEX(Décomposition!H34:H304,MATCH(0,COUNTIF($B$1:B30,Décomposition!H34:H304),0)),-1)</f>
        <v>Dalle en céramique/grès, 9 mm</v>
      </c>
      <c r="C31" s="171" cm="1">
        <f t="array" aca="1" ref="C31" ca="1">IFERROR(SUM((Décomposition!$H$4:$H$275='List of materials'!B31)*Décomposition!$S$4:$S$275),0)</f>
        <v>7.2439999999999998</v>
      </c>
      <c r="D31" s="1401" t="str">
        <f ca="1">_xlfn.XLOOKUP(B31, Décomposition!H:H, Décomposition!J:J, 0,0,1)</f>
        <v>m2</v>
      </c>
      <c r="E31" s="1402" cm="1">
        <f t="array" aca="1" ref="E31" ca="1">IFERROR(SUM((Décomposition!$H$4:$H$275='List of materials'!$B31)*Décomposition!$K$4:$K$275),0)</f>
        <v>193</v>
      </c>
      <c r="F31" s="171" cm="1">
        <f t="array" aca="1" ref="F31" ca="1">IF($D31=$F$1, IFERROR(SUM((Décomposition!$H$4:$H$275='List of materials'!$B31)*Décomposition!$K$4:$K$275),0), 0)</f>
        <v>193</v>
      </c>
      <c r="G31" cm="1">
        <f t="array" aca="1" ref="G31" ca="1">IF($D31=$G$1, IFERROR(SUM((Décomposition!$H$4:$H$275='List of materials'!$B31)*Décomposition!$K$4:$K$275),0), 0)</f>
        <v>0</v>
      </c>
      <c r="H31">
        <f t="shared" ca="1" si="3"/>
        <v>193</v>
      </c>
      <c r="I31">
        <f ca="1">_xlfn.XLOOKUP(B31,'Baumaterialien Matériaux'!AD:AD,'Baumaterialien Matériaux'!F:F)</f>
        <v>18</v>
      </c>
      <c r="K31" s="273" t="str">
        <f ca="1"/>
        <v>Tôle d'acier nickel-chrome 18/8, nue</v>
      </c>
      <c r="L31">
        <f ca="1"/>
        <v>2.6174959259189996</v>
      </c>
      <c r="M31" t="str">
        <f ca="1"/>
        <v>kg</v>
      </c>
      <c r="N31">
        <f ca="1"/>
        <v>306.76785474999997</v>
      </c>
      <c r="P31">
        <f t="shared" ca="1" si="0"/>
        <v>98.668349269005489</v>
      </c>
      <c r="Q31">
        <f t="shared" ca="1" si="1"/>
        <v>1</v>
      </c>
      <c r="R31" s="169">
        <f t="shared" ca="1" si="2"/>
        <v>0.30676785474999996</v>
      </c>
      <c r="T31" t="str">
        <f ca="1"/>
        <v xml:space="preserve">Colle de construction/mortier d'enrobage minéral(e) </v>
      </c>
      <c r="U31">
        <f ca="1"/>
        <v>2.1096400000000002</v>
      </c>
      <c r="V31">
        <f ca="1"/>
        <v>99.046082767822455</v>
      </c>
      <c r="W31" s="169">
        <f ca="1"/>
        <v>2.5089999999999999</v>
      </c>
    </row>
    <row r="32" spans="2:23">
      <c r="B32" s="1400" t="str" cm="1">
        <f t="array" aca="1" ref="B32" ca="1">IFERROR(INDEX(Décomposition!H35:H305,MATCH(0,COUNTIF($B$1:B31,Décomposition!H35:H305),0)),-1)</f>
        <v xml:space="preserve">Colle de construction/mortier d'enrobage minéral(e) </v>
      </c>
      <c r="C32" s="171" cm="1">
        <f t="array" aca="1" ref="C32" ca="1">IFERROR(SUM((Décomposition!$H$4:$H$275='List of materials'!B32)*Décomposition!$S$4:$S$275),0)</f>
        <v>2.1096400000000002</v>
      </c>
      <c r="D32" s="1401" t="str">
        <f ca="1">_xlfn.XLOOKUP(B32, Décomposition!H:H, Décomposition!J:J, 0,0,1)</f>
        <v>kg</v>
      </c>
      <c r="E32" s="1402" cm="1">
        <f t="array" aca="1" ref="E32" ca="1">IFERROR(SUM((Décomposition!$H$4:$H$275='List of materials'!$B32)*Décomposition!$K$4:$K$275),0)</f>
        <v>2509</v>
      </c>
      <c r="F32" s="171" cm="1">
        <f t="array" aca="1" ref="F32" ca="1">IF($D32=$F$1, IFERROR(SUM((Décomposition!$H$4:$H$275='List of materials'!$B32)*Décomposition!$K$4:$K$275),0), 0)</f>
        <v>0</v>
      </c>
      <c r="G32" cm="1">
        <f t="array" aca="1" ref="G32" ca="1">IF($D32=$G$1, IFERROR(SUM((Décomposition!$H$4:$H$275='List of materials'!$B32)*Décomposition!$K$4:$K$275),0), 0)</f>
        <v>0</v>
      </c>
      <c r="H32">
        <f t="shared" ca="1" si="3"/>
        <v>2509</v>
      </c>
      <c r="I32">
        <f ca="1">_xlfn.XLOOKUP(B32,'Baumaterialien Matériaux'!AD:AD,'Baumaterialien Matériaux'!F:F)</f>
        <v>1400</v>
      </c>
      <c r="K32" s="273" t="str">
        <f ca="1"/>
        <v xml:space="preserve">Colle de construction/mortier d'enrobage minéral(e) </v>
      </c>
      <c r="L32">
        <f ca="1"/>
        <v>2.1096400000000002</v>
      </c>
      <c r="M32" t="str">
        <f ca="1"/>
        <v>kg</v>
      </c>
      <c r="N32">
        <f ca="1"/>
        <v>2509</v>
      </c>
      <c r="P32">
        <f t="shared" ca="1" si="0"/>
        <v>99.046082767822455</v>
      </c>
      <c r="Q32">
        <f t="shared" ca="1" si="1"/>
        <v>1</v>
      </c>
      <c r="R32" s="169">
        <f t="shared" ca="1" si="2"/>
        <v>2.5089999999999999</v>
      </c>
      <c r="T32" t="str">
        <f ca="1"/>
        <v>Enduit en plâtre et chaux</v>
      </c>
      <c r="U32">
        <f ca="1"/>
        <v>1.7662400000000003</v>
      </c>
      <c r="V32">
        <f ca="1"/>
        <v>99.362330096727135</v>
      </c>
      <c r="W32" s="169">
        <f ca="1"/>
        <v>5.4040000000000008</v>
      </c>
    </row>
    <row r="33" spans="2:23">
      <c r="B33" s="1400" t="str" cm="1">
        <f t="array" aca="1" ref="B33" ca="1">IFERROR(INDEX(Décomposition!H36:H306,MATCH(0,COUNTIF($B$1:B32,Décomposition!H36:H306),0)),-1)</f>
        <v>Chape de ciment, 85 mm</v>
      </c>
      <c r="C33" s="171" cm="1">
        <f t="array" aca="1" ref="C33" ca="1">IFERROR(SUM((Décomposition!$H$4:$H$275='List of materials'!B33)*Décomposition!$S$4:$S$275),0)</f>
        <v>0</v>
      </c>
      <c r="D33" s="1401" t="str">
        <f ca="1">_xlfn.XLOOKUP(B33, Décomposition!H:H, Décomposition!J:J, 0,0,1)</f>
        <v>kg</v>
      </c>
      <c r="E33" s="1402" cm="1">
        <f t="array" aca="1" ref="E33" ca="1">IFERROR(SUM((Décomposition!$H$4:$H$275='List of materials'!$B33)*Décomposition!$K$4:$K$275),0)</f>
        <v>0</v>
      </c>
      <c r="F33" s="171" cm="1">
        <f t="array" aca="1" ref="F33" ca="1">IF($D33=$F$1, IFERROR(SUM((Décomposition!$H$4:$H$275='List of materials'!$B33)*Décomposition!$K$4:$K$275),0), 0)</f>
        <v>0</v>
      </c>
      <c r="G33" cm="1">
        <f t="array" aca="1" ref="G33" ca="1">IF($D33=$G$1, IFERROR(SUM((Décomposition!$H$4:$H$275='List of materials'!$B33)*Décomposition!$K$4:$K$275),0), 0)</f>
        <v>0</v>
      </c>
      <c r="H33">
        <f t="shared" ca="1" si="3"/>
        <v>0</v>
      </c>
      <c r="I33">
        <f ca="1">_xlfn.XLOOKUP(B33,'Baumaterialien Matériaux'!AD:AD,'Baumaterialien Matériaux'!F:F)</f>
        <v>1850</v>
      </c>
      <c r="K33" s="273" t="str">
        <f ca="1"/>
        <v>Enduit en plâtre et chaux</v>
      </c>
      <c r="L33">
        <f ca="1"/>
        <v>1.7662400000000003</v>
      </c>
      <c r="M33" t="str">
        <f ca="1"/>
        <v>kg</v>
      </c>
      <c r="N33">
        <f ca="1"/>
        <v>5404.0000000000009</v>
      </c>
      <c r="P33">
        <f t="shared" ca="1" si="0"/>
        <v>99.362330096727135</v>
      </c>
      <c r="Q33">
        <f t="shared" ca="1" si="1"/>
        <v>1</v>
      </c>
      <c r="R33" s="169">
        <f t="shared" ca="1" si="2"/>
        <v>5.4040000000000008</v>
      </c>
      <c r="T33" t="str">
        <f ca="1"/>
        <v>Polystyrène extrudé (XPS)</v>
      </c>
      <c r="U33">
        <f ca="1"/>
        <v>1.7268000000000001</v>
      </c>
      <c r="V33">
        <f ca="1"/>
        <v>99.671515647701298</v>
      </c>
      <c r="W33" s="169">
        <f ca="1"/>
        <v>5.79E-2</v>
      </c>
    </row>
    <row r="34" spans="2:23">
      <c r="B34" s="1400" t="str" cm="1">
        <f t="array" aca="1" ref="B34" ca="1">IFERROR(INDEX(Décomposition!H37:H307,MATCH(0,COUNTIF($B$1:B33,Décomposition!H37:H307),0)),-1)</f>
        <v>Enduit en plâtre et en ciment</v>
      </c>
      <c r="C34" s="171" cm="1">
        <f t="array" aca="1" ref="C34" ca="1">IFERROR(SUM((Décomposition!$H$4:$H$275='List of materials'!B34)*Décomposition!$S$4:$S$275),0)</f>
        <v>34.536523933678751</v>
      </c>
      <c r="D34" s="1401" t="str">
        <f ca="1">_xlfn.XLOOKUP(B34, Décomposition!H:H, Décomposition!J:J, 0,0,1)</f>
        <v>kg</v>
      </c>
      <c r="E34" s="1402" cm="1">
        <f t="array" aca="1" ref="E34" ca="1">IFERROR(SUM((Décomposition!$H$4:$H$275='List of materials'!$B34)*Décomposition!$K$4:$K$275),0)</f>
        <v>63192.540000000008</v>
      </c>
      <c r="F34" s="171" cm="1">
        <f t="array" aca="1" ref="F34" ca="1">IF($D34=$F$1, IFERROR(SUM((Décomposition!$H$4:$H$275='List of materials'!$B34)*Décomposition!$K$4:$K$275),0), 0)</f>
        <v>0</v>
      </c>
      <c r="G34" cm="1">
        <f t="array" aca="1" ref="G34" ca="1">IF($D34=$G$1, IFERROR(SUM((Décomposition!$H$4:$H$275='List of materials'!$B34)*Décomposition!$K$4:$K$275),0), 0)</f>
        <v>0</v>
      </c>
      <c r="H34">
        <f t="shared" ca="1" si="3"/>
        <v>63192.540000000008</v>
      </c>
      <c r="I34">
        <f ca="1">_xlfn.XLOOKUP(B34,'Baumaterialien Matériaux'!AD:AD,'Baumaterialien Matériaux'!F:F)</f>
        <v>1550</v>
      </c>
      <c r="K34" s="273" t="str">
        <f ca="1"/>
        <v>Polystyrène extrudé (XPS)</v>
      </c>
      <c r="L34">
        <f ca="1"/>
        <v>1.7268000000000001</v>
      </c>
      <c r="M34" t="str">
        <f ca="1"/>
        <v>kg</v>
      </c>
      <c r="N34">
        <f ca="1"/>
        <v>57.9</v>
      </c>
      <c r="P34">
        <f t="shared" ca="1" si="0"/>
        <v>99.671515647701298</v>
      </c>
      <c r="Q34">
        <f t="shared" ca="1" si="1"/>
        <v>1</v>
      </c>
      <c r="R34" s="169">
        <f t="shared" ca="1" si="2"/>
        <v>5.79E-2</v>
      </c>
      <c r="T34" t="str">
        <f ca="1"/>
        <v>Portes extérieures aluminium, avec vitrage</v>
      </c>
      <c r="U34">
        <f ca="1"/>
        <v>0.93923316062176165</v>
      </c>
      <c r="V34">
        <f ca="1"/>
        <v>99.839686438910491</v>
      </c>
      <c r="W34" s="169">
        <f ca="1"/>
        <v>0</v>
      </c>
    </row>
    <row r="35" spans="2:23">
      <c r="B35" s="1400" t="str" cm="1">
        <f t="array" aca="1" ref="B35" ca="1">IFERROR(INDEX(Décomposition!H38:H308,MATCH(0,COUNTIF($B$1:B34,Décomposition!H38:H308),0)),-1)</f>
        <v>Enduit minéral</v>
      </c>
      <c r="C35" s="171" cm="1">
        <f t="array" aca="1" ref="C35" ca="1">IFERROR(SUM((Décomposition!$H$4:$H$275='List of materials'!B35)*Décomposition!$S$4:$S$275),0)</f>
        <v>3.837755350949914</v>
      </c>
      <c r="D35" s="1401" t="str">
        <f ca="1">_xlfn.XLOOKUP(B35, Décomposition!H:H, Décomposition!J:J, 0,0,1)</f>
        <v>kg</v>
      </c>
      <c r="E35" s="1402" cm="1">
        <f t="array" aca="1" ref="E35" ca="1">IFERROR(SUM((Décomposition!$H$4:$H$275='List of materials'!$B35)*Décomposition!$K$4:$K$275),0)</f>
        <v>12287.438333333334</v>
      </c>
      <c r="F35" s="171" cm="1">
        <f t="array" aca="1" ref="F35" ca="1">IF($D35=$F$1, IFERROR(SUM((Décomposition!$H$4:$H$275='List of materials'!$B35)*Décomposition!$K$4:$K$275),0), 0)</f>
        <v>0</v>
      </c>
      <c r="G35" cm="1">
        <f t="array" aca="1" ref="G35" ca="1">IF($D35=$G$1, IFERROR(SUM((Décomposition!$H$4:$H$275='List of materials'!$B35)*Décomposition!$K$4:$K$275),0), 0)</f>
        <v>0</v>
      </c>
      <c r="H35">
        <f t="shared" ca="1" si="3"/>
        <v>12287.438333333334</v>
      </c>
      <c r="I35">
        <f ca="1">_xlfn.XLOOKUP(B35,'Baumaterialien Matériaux'!AD:AD,'Baumaterialien Matériaux'!F:F)</f>
        <v>1100</v>
      </c>
      <c r="K35" s="273" t="str">
        <f ca="1"/>
        <v>Portes extérieures aluminium, avec vitrage</v>
      </c>
      <c r="L35">
        <f ca="1"/>
        <v>0.93923316062176165</v>
      </c>
      <c r="M35" t="str">
        <f ca="1"/>
        <v>m2</v>
      </c>
      <c r="N35">
        <f ca="1"/>
        <v>2.1</v>
      </c>
      <c r="P35">
        <f t="shared" ca="1" si="0"/>
        <v>99.839686438910491</v>
      </c>
      <c r="Q35">
        <f t="shared" ca="1" si="1"/>
        <v>0</v>
      </c>
      <c r="R35" s="169">
        <f t="shared" ca="1" si="2"/>
        <v>0</v>
      </c>
      <c r="T35" t="str">
        <f ca="1"/>
        <v>Feuille de polyéthylène (PE)</v>
      </c>
      <c r="U35">
        <f ca="1"/>
        <v>0.75101723016186517</v>
      </c>
      <c r="V35">
        <f ca="1"/>
        <v>99.974156948580799</v>
      </c>
      <c r="W35" s="169">
        <f ca="1"/>
        <v>6.6857161172158661E-2</v>
      </c>
    </row>
    <row r="36" spans="2:23">
      <c r="B36" s="1400" t="str" cm="1">
        <f t="array" aca="1" ref="B36" ca="1">IFERROR(INDEX(Décomposition!H39:H309,MATCH(0,COUNTIF($B$1:B35,Décomposition!H39:H309),0)),-1)</f>
        <v>Plaque de plâtre cartonnée</v>
      </c>
      <c r="C36" s="171" cm="1">
        <f t="array" aca="1" ref="C36" ca="1">IFERROR(SUM((Décomposition!$H$4:$H$275='List of materials'!B36)*Décomposition!$S$4:$S$275),0)</f>
        <v>6.4111249999999984</v>
      </c>
      <c r="D36" s="1401" t="str">
        <f ca="1">_xlfn.XLOOKUP(B36, Décomposition!H:H, Décomposition!J:J, 0,0,1)</f>
        <v>kg</v>
      </c>
      <c r="E36" s="1402" cm="1">
        <f t="array" aca="1" ref="E36" ca="1">IFERROR(SUM((Décomposition!$H$4:$H$275='List of materials'!$B36)*Décomposition!$K$4:$K$275),0)</f>
        <v>10253.125</v>
      </c>
      <c r="F36" s="171" cm="1">
        <f t="array" aca="1" ref="F36" ca="1">IF($D36=$F$1, IFERROR(SUM((Décomposition!$H$4:$H$275='List of materials'!$B36)*Décomposition!$K$4:$K$275),0), 0)</f>
        <v>0</v>
      </c>
      <c r="G36" cm="1">
        <f t="array" aca="1" ref="G36" ca="1">IF($D36=$G$1, IFERROR(SUM((Décomposition!$H$4:$H$275='List of materials'!$B36)*Décomposition!$K$4:$K$275),0), 0)</f>
        <v>0</v>
      </c>
      <c r="H36">
        <f t="shared" ca="1" si="3"/>
        <v>10253.125</v>
      </c>
      <c r="I36">
        <f ca="1">_xlfn.XLOOKUP(B36,'Baumaterialien Matériaux'!AD:AD,'Baumaterialien Matériaux'!F:F)</f>
        <v>850</v>
      </c>
      <c r="K36" s="273" t="str">
        <f ca="1"/>
        <v>Feuille de polyéthylène (PE)</v>
      </c>
      <c r="L36">
        <f ca="1"/>
        <v>0.75101723016186517</v>
      </c>
      <c r="M36" t="str">
        <f ca="1"/>
        <v>kg</v>
      </c>
      <c r="N36">
        <f ca="1"/>
        <v>66.857161172158655</v>
      </c>
      <c r="P36">
        <f t="shared" ca="1" si="0"/>
        <v>99.974156948580799</v>
      </c>
      <c r="Q36">
        <f t="shared" ca="1" si="1"/>
        <v>1</v>
      </c>
      <c r="R36" s="169">
        <f t="shared" ca="1" si="2"/>
        <v>6.6857161172158661E-2</v>
      </c>
      <c r="T36" t="str">
        <f ca="1"/>
        <v>Vol.excavation</v>
      </c>
      <c r="U36">
        <f ca="1"/>
        <v>0.14433333333333334</v>
      </c>
      <c r="V36">
        <f ca="1"/>
        <v>99.999999999999957</v>
      </c>
      <c r="W36" s="169">
        <f ca="1"/>
        <v>386</v>
      </c>
    </row>
    <row r="37" spans="2:23">
      <c r="B37" s="1400" t="str" cm="1">
        <f t="array" aca="1" ref="B37" ca="1">IFERROR(INDEX(Décomposition!H40:H310,MATCH(0,COUNTIF($B$1:B36,Décomposition!H40:H310),0)),-1)</f>
        <v>Enduit en plâtre et chaux</v>
      </c>
      <c r="C37" s="171" cm="1">
        <f t="array" aca="1" ref="C37" ca="1">IFERROR(SUM((Décomposition!$H$4:$H$275='List of materials'!B37)*Décomposition!$S$4:$S$275),0)</f>
        <v>1.7662400000000003</v>
      </c>
      <c r="D37" s="1401" t="str">
        <f ca="1">_xlfn.XLOOKUP(B37, Décomposition!H:H, Décomposition!J:J, 0,0,1)</f>
        <v>kg</v>
      </c>
      <c r="E37" s="1402" cm="1">
        <f t="array" aca="1" ref="E37" ca="1">IFERROR(SUM((Décomposition!$H$4:$H$275='List of materials'!$B37)*Décomposition!$K$4:$K$275),0)</f>
        <v>5404.0000000000009</v>
      </c>
      <c r="F37" s="171" cm="1">
        <f t="array" aca="1" ref="F37" ca="1">IF($D37=$F$1, IFERROR(SUM((Décomposition!$H$4:$H$275='List of materials'!$B37)*Décomposition!$K$4:$K$275),0), 0)</f>
        <v>0</v>
      </c>
      <c r="G37" cm="1">
        <f t="array" aca="1" ref="G37" ca="1">IF($D37=$G$1, IFERROR(SUM((Décomposition!$H$4:$H$275='List of materials'!$B37)*Décomposition!$K$4:$K$275),0), 0)</f>
        <v>0</v>
      </c>
      <c r="H37">
        <f t="shared" ca="1" si="3"/>
        <v>5404.0000000000009</v>
      </c>
      <c r="I37">
        <f ca="1">_xlfn.XLOOKUP(B37,'Baumaterialien Matériaux'!AD:AD,'Baumaterialien Matériaux'!F:F)</f>
        <v>925</v>
      </c>
      <c r="K37" s="273" t="str">
        <f ca="1"/>
        <v>Vol.excavation</v>
      </c>
      <c r="L37">
        <f ca="1"/>
        <v>0.14433333333333334</v>
      </c>
      <c r="M37" t="str">
        <f ca="1"/>
        <v>m3</v>
      </c>
      <c r="N37">
        <f ca="1"/>
        <v>321.66666666666669</v>
      </c>
      <c r="P37">
        <f t="shared" ca="1" si="0"/>
        <v>99.999999999999957</v>
      </c>
      <c r="Q37">
        <f t="shared" ca="1" si="1"/>
        <v>1200</v>
      </c>
      <c r="R37" s="169">
        <f t="shared" ca="1" si="2"/>
        <v>386</v>
      </c>
      <c r="T37">
        <f ca="1"/>
        <v>0</v>
      </c>
      <c r="U37">
        <f ca="1"/>
        <v>0</v>
      </c>
      <c r="V37">
        <f ca="1"/>
        <v>99.999999999999957</v>
      </c>
      <c r="W37" s="169">
        <f ca="1"/>
        <v>0</v>
      </c>
    </row>
    <row r="38" spans="2:23">
      <c r="B38" s="1400" t="str" cm="1">
        <f t="array" aca="1" ref="B38" ca="1">IFERROR(INDEX(Décomposition!H41:H311,MATCH(0,COUNTIF($B$1:B37,Décomposition!H41:H311),0)),-1)</f>
        <v>Installation électrique</v>
      </c>
      <c r="C38" s="171" cm="1">
        <f t="array" aca="1" ref="C38" ca="1">IFERROR(SUM((Décomposition!$H$4:$H$275='List of materials'!B38)*Décomposition!$S$4:$S$275),0)</f>
        <v>25.9</v>
      </c>
      <c r="D38" s="1401" t="str">
        <f ca="1">_xlfn.XLOOKUP(B38, Décomposition!H:H, Décomposition!J:J, 0,0,1)</f>
        <v>m2</v>
      </c>
      <c r="E38" s="1402" cm="1">
        <f t="array" aca="1" ref="E38" ca="1">IFERROR(SUM((Décomposition!$H$4:$H$275='List of materials'!$B38)*Décomposition!$K$4:$K$275),0)</f>
        <v>965</v>
      </c>
      <c r="F38" s="171" cm="1">
        <f t="array" aca="1" ref="F38" ca="1">IF($D38=$F$1, IFERROR(SUM((Décomposition!$H$4:$H$275='List of materials'!$B38)*Décomposition!$K$4:$K$275),0), 0)</f>
        <v>965</v>
      </c>
      <c r="G38" cm="1">
        <f t="array" aca="1" ref="G38" ca="1">IF($D38=$G$1, IFERROR(SUM((Décomposition!$H$4:$H$275='List of materials'!$B38)*Décomposition!$K$4:$K$275),0), 0)</f>
        <v>0</v>
      </c>
      <c r="H38">
        <f t="shared" ca="1" si="3"/>
        <v>965</v>
      </c>
      <c r="I38" t="e">
        <f ca="1">_xlfn.XLOOKUP(B38,'Baumaterialien Matériaux'!AD:AD,'Baumaterialien Matériaux'!F:F)</f>
        <v>#N/A</v>
      </c>
      <c r="P38">
        <f t="shared" ca="1" si="0"/>
        <v>99.999999999999957</v>
      </c>
      <c r="Q38">
        <f t="shared" si="1"/>
        <v>0</v>
      </c>
      <c r="R38" s="169">
        <f t="shared" si="2"/>
        <v>0</v>
      </c>
    </row>
    <row r="39" spans="2:23">
      <c r="B39" s="1400" t="str" cm="1">
        <f t="array" aca="1" ref="B39" ca="1">IFERROR(INDEX(Décomposition!H42:H312,MATCH(0,COUNTIF($B$1:B38,Décomposition!H42:H312),0)),-1)</f>
        <v>PV</v>
      </c>
      <c r="C39" s="171" cm="1">
        <f t="array" aca="1" ref="C39" ca="1">IFERROR(SUM((Décomposition!$H$4:$H$275='List of materials'!B39)*Décomposition!$S$4:$S$275),0)</f>
        <v>66.15544041450778</v>
      </c>
      <c r="D39" s="1401" t="str">
        <f ca="1">_xlfn.XLOOKUP(B39, Décomposition!H:H, Décomposition!J:J, 0,0,1)</f>
        <v>kWp</v>
      </c>
      <c r="E39" s="1402" cm="1">
        <f t="array" aca="1" ref="E39" ca="1">IFERROR(SUM((Décomposition!$H$4:$H$275='List of materials'!$B39)*Décomposition!$K$4:$K$275),0)</f>
        <v>28.000000000000004</v>
      </c>
      <c r="F39" s="171" cm="1">
        <f t="array" aca="1" ref="F39" ca="1">IF($D39=$F$1, IFERROR(SUM((Décomposition!$H$4:$H$275='List of materials'!$B39)*Décomposition!$K$4:$K$275),0), 0)</f>
        <v>0</v>
      </c>
      <c r="G39" cm="1">
        <f t="array" aca="1" ref="G39" ca="1">IF($D39=$G$1, IFERROR(SUM((Décomposition!$H$4:$H$275='List of materials'!$B39)*Décomposition!$K$4:$K$275),0), 0)</f>
        <v>0</v>
      </c>
      <c r="H39">
        <f t="shared" ca="1" si="3"/>
        <v>28.000000000000004</v>
      </c>
      <c r="I39" t="e">
        <f ca="1">_xlfn.XLOOKUP(B39,'Baumaterialien Matériaux'!AD:AD,'Baumaterialien Matériaux'!F:F)</f>
        <v>#N/A</v>
      </c>
      <c r="P39">
        <f t="shared" ca="1" si="0"/>
        <v>99.999999999999957</v>
      </c>
      <c r="Q39">
        <f t="shared" si="1"/>
        <v>0</v>
      </c>
      <c r="R39" s="169">
        <f t="shared" si="2"/>
        <v>0</v>
      </c>
    </row>
    <row r="40" spans="2:23">
      <c r="B40" s="1400" t="str" cm="1">
        <f t="array" aca="1" ref="B40" ca="1">IFERROR(INDEX(Décomposition!H43:H313,MATCH(0,COUNTIF($B$1:B39,Décomposition!H43:H313),0)),-1)</f>
        <v>Installation CVC</v>
      </c>
      <c r="C40" s="171" cm="1">
        <f t="array" aca="1" ref="C40" ca="1">IFERROR(SUM((Décomposition!$H$4:$H$275='List of materials'!B40)*Décomposition!$S$4:$S$275),0)</f>
        <v>61.952399999999997</v>
      </c>
      <c r="D40" s="1401" t="str">
        <f ca="1">_xlfn.XLOOKUP(B40, Décomposition!H:H, Décomposition!J:J, 0,0,1)</f>
        <v>m2</v>
      </c>
      <c r="E40" s="1402" cm="1">
        <f t="array" aca="1" ref="E40" ca="1">IFERROR(SUM((Décomposition!$H$4:$H$275='List of materials'!$B40)*Décomposition!$K$4:$K$275),0)</f>
        <v>4825</v>
      </c>
      <c r="F40" s="171" cm="1">
        <f t="array" aca="1" ref="F40" ca="1">IF($D40=$F$1, IFERROR(SUM((Décomposition!$H$4:$H$275='List of materials'!$B40)*Décomposition!$K$4:$K$275),0), 0)</f>
        <v>4825</v>
      </c>
      <c r="G40" cm="1">
        <f t="array" aca="1" ref="G40" ca="1">IF($D40=$G$1, IFERROR(SUM((Décomposition!$H$4:$H$275='List of materials'!$B40)*Décomposition!$K$4:$K$275),0), 0)</f>
        <v>0</v>
      </c>
      <c r="H40">
        <f t="shared" ca="1" si="3"/>
        <v>4825</v>
      </c>
      <c r="I40" t="e">
        <f ca="1">_xlfn.XLOOKUP(B40,'Baumaterialien Matériaux'!AD:AD,'Baumaterialien Matériaux'!F:F)</f>
        <v>#N/A</v>
      </c>
      <c r="P40">
        <f t="shared" ca="1" si="0"/>
        <v>99.999999999999957</v>
      </c>
      <c r="Q40">
        <f t="shared" si="1"/>
        <v>0</v>
      </c>
      <c r="R40" s="169">
        <f t="shared" si="2"/>
        <v>0</v>
      </c>
    </row>
    <row r="41" spans="2:23">
      <c r="B41" s="1400" t="str" cm="1">
        <f t="array" aca="1" ref="B41" ca="1">IFERROR(INDEX(Décomposition!H44:H314,MATCH(0,COUNTIF($B$1:B40,Décomposition!H44:H314),0)),-1)</f>
        <v>Sondes géothermiques</v>
      </c>
      <c r="C41" s="171" cm="1">
        <f t="array" aca="1" ref="C41" ca="1">IFERROR(SUM((Décomposition!$H$4:$H$275='List of materials'!B41)*Décomposition!$S$4:$S$275),0)</f>
        <v>3.613989637305699</v>
      </c>
      <c r="D41" s="1401" t="str">
        <f ca="1">_xlfn.XLOOKUP(B41, Décomposition!H:H, Décomposition!J:J, 0,0,1)</f>
        <v>m2</v>
      </c>
      <c r="E41" s="1402" cm="1">
        <f t="array" aca="1" ref="E41" ca="1">IFERROR(SUM((Décomposition!$H$4:$H$275='List of materials'!$B41)*Décomposition!$K$4:$K$275),0)</f>
        <v>150</v>
      </c>
      <c r="F41" s="171" cm="1">
        <f t="array" aca="1" ref="F41" ca="1">IF($D41=$F$1, IFERROR(SUM((Décomposition!$H$4:$H$275='List of materials'!$B41)*Décomposition!$K$4:$K$275),0), 0)</f>
        <v>150</v>
      </c>
      <c r="G41" cm="1">
        <f t="array" aca="1" ref="G41" ca="1">IF($D41=$G$1, IFERROR(SUM((Décomposition!$H$4:$H$275='List of materials'!$B41)*Décomposition!$K$4:$K$275),0), 0)</f>
        <v>0</v>
      </c>
      <c r="H41">
        <f t="shared" ca="1" si="3"/>
        <v>150</v>
      </c>
      <c r="I41" t="e">
        <f ca="1">_xlfn.XLOOKUP(B41,'Baumaterialien Matériaux'!AD:AD,'Baumaterialien Matériaux'!F:F)</f>
        <v>#N/A</v>
      </c>
      <c r="P41">
        <f t="shared" ca="1" si="0"/>
        <v>99.999999999999957</v>
      </c>
      <c r="Q41">
        <f t="shared" si="1"/>
        <v>0</v>
      </c>
      <c r="R41" s="169">
        <f t="shared" si="2"/>
        <v>0</v>
      </c>
    </row>
    <row r="42" spans="2:23">
      <c r="B42" s="1400" t="str" cm="1">
        <f t="array" aca="1" ref="B42" ca="1">IFERROR(INDEX(Décomposition!H45:H315,MATCH(0,COUNTIF($B$1:B41,Décomposition!H45:H315),0)),-1)</f>
        <v>Capteurs solaires</v>
      </c>
      <c r="C42" s="171" cm="1">
        <f t="array" aca="1" ref="C42" ca="1">IFERROR(SUM((Décomposition!$H$4:$H$275='List of materials'!B42)*Décomposition!$S$4:$S$275),0)</f>
        <v>3.4818652849740932</v>
      </c>
      <c r="D42" s="1401" t="str">
        <f ca="1">_xlfn.XLOOKUP(B42, Décomposition!H:H, Décomposition!J:J, 0,0,1)</f>
        <v>m2</v>
      </c>
      <c r="E42" s="1402" cm="1">
        <f t="array" aca="1" ref="E42" ca="1">IFERROR(SUM((Décomposition!$H$4:$H$275='List of materials'!$B42)*Décomposition!$K$4:$K$275),0)</f>
        <v>10</v>
      </c>
      <c r="F42" s="171" cm="1">
        <f t="array" aca="1" ref="F42" ca="1">IF($D42=$F$1, IFERROR(SUM((Décomposition!$H$4:$H$275='List of materials'!$B42)*Décomposition!$K$4:$K$275),0), 0)</f>
        <v>10</v>
      </c>
      <c r="G42" cm="1">
        <f t="array" aca="1" ref="G42" ca="1">IF($D42=$G$1, IFERROR(SUM((Décomposition!$H$4:$H$275='List of materials'!$B42)*Décomposition!$K$4:$K$275),0), 0)</f>
        <v>0</v>
      </c>
      <c r="H42">
        <f t="shared" ca="1" si="3"/>
        <v>10</v>
      </c>
      <c r="I42" t="e">
        <f ca="1">_xlfn.XLOOKUP(B42,'Baumaterialien Matériaux'!AD:AD,'Baumaterialien Matériaux'!F:F)</f>
        <v>#N/A</v>
      </c>
      <c r="P42">
        <f t="shared" ca="1" si="0"/>
        <v>99.999999999999957</v>
      </c>
      <c r="Q42">
        <f t="shared" si="1"/>
        <v>0</v>
      </c>
      <c r="R42" s="169">
        <f t="shared" si="2"/>
        <v>0</v>
      </c>
    </row>
    <row r="43" spans="2:23">
      <c r="B43" s="1400" t="str" cm="1">
        <f t="array" aca="1" ref="B43" ca="1">IFERROR(INDEX(Décomposition!H46:H316,MATCH(0,COUNTIF($B$1:B42,Décomposition!H46:H316),0)),-1)</f>
        <v>Installation sanitaire</v>
      </c>
      <c r="C43" s="171" cm="1">
        <f t="array" aca="1" ref="C43" ca="1">IFERROR(SUM((Décomposition!$H$4:$H$275='List of materials'!B43)*Décomposition!$S$4:$S$275),0)</f>
        <v>25.08</v>
      </c>
      <c r="D43" s="1401" t="str">
        <f ca="1">_xlfn.XLOOKUP(B43, Décomposition!H:H, Décomposition!J:J, 0,0,1)</f>
        <v>m2</v>
      </c>
      <c r="E43" s="1402" cm="1">
        <f t="array" aca="1" ref="E43" ca="1">IFERROR(SUM((Décomposition!$H$4:$H$275='List of materials'!$B43)*Décomposition!$K$4:$K$275),0)</f>
        <v>965</v>
      </c>
      <c r="F43" s="171" cm="1">
        <f t="array" aca="1" ref="F43" ca="1">IF($D43=$F$1, IFERROR(SUM((Décomposition!$H$4:$H$275='List of materials'!$B43)*Décomposition!$K$4:$K$275),0), 0)</f>
        <v>965</v>
      </c>
      <c r="G43" cm="1">
        <f t="array" aca="1" ref="G43" ca="1">IF($D43=$G$1, IFERROR(SUM((Décomposition!$H$4:$H$275='List of materials'!$B43)*Décomposition!$K$4:$K$275),0), 0)</f>
        <v>0</v>
      </c>
      <c r="H43">
        <f t="shared" ca="1" si="3"/>
        <v>965</v>
      </c>
      <c r="I43" t="e">
        <f ca="1">_xlfn.XLOOKUP(B43,'Baumaterialien Matériaux'!AD:AD,'Baumaterialien Matériaux'!F:F)</f>
        <v>#N/A</v>
      </c>
      <c r="P43">
        <f t="shared" ca="1" si="0"/>
        <v>99.999999999999957</v>
      </c>
      <c r="Q43">
        <f t="shared" si="1"/>
        <v>0</v>
      </c>
      <c r="R43" s="169">
        <f t="shared" si="2"/>
        <v>0</v>
      </c>
    </row>
    <row r="44" spans="2:23">
      <c r="B44" s="1400" cm="1">
        <f t="array" aca="1" ref="B44" ca="1">IFERROR(INDEX(Décomposition!H47:H317,MATCH(0,COUNTIF($B$1:B43,Décomposition!H47:H317),0)),-1)</f>
        <v>-1</v>
      </c>
      <c r="C44" s="171" cm="1">
        <f t="array" aca="1" ref="C44" ca="1">IFERROR(SUM((Décomposition!$H$4:$H$275='List of materials'!B44)*Décomposition!$S$4:$S$275),0)</f>
        <v>0</v>
      </c>
      <c r="D44" s="1401">
        <f ca="1">_xlfn.XLOOKUP(B44, Décomposition!H:H, Décomposition!J:J, 0,0,1)</f>
        <v>0</v>
      </c>
      <c r="E44" s="1402" cm="1">
        <f t="array" aca="1" ref="E44" ca="1">IFERROR(SUM((Décomposition!$H$4:$H$275='List of materials'!$B44)*Décomposition!$K$4:$K$275),0)</f>
        <v>0</v>
      </c>
      <c r="F44" s="171" cm="1">
        <f t="array" aca="1" ref="F44" ca="1">IF($D44=$F$1, IFERROR(SUM((Décomposition!$H$4:$H$275='List of materials'!$B44)*Décomposition!$K$4:$K$275),0), 0)</f>
        <v>0</v>
      </c>
      <c r="G44" cm="1">
        <f t="array" aca="1" ref="G44" ca="1">IF($D44=$G$1, IFERROR(SUM((Décomposition!$H$4:$H$275='List of materials'!$B44)*Décomposition!$K$4:$K$275),0), 0)</f>
        <v>0</v>
      </c>
      <c r="H44" t="e">
        <f t="shared" ca="1" si="3"/>
        <v>#N/A</v>
      </c>
      <c r="I44" t="e">
        <f ca="1">_xlfn.XLOOKUP(B44,'Baumaterialien Matériaux'!AD:AD,'Baumaterialien Matériaux'!F:F)</f>
        <v>#N/A</v>
      </c>
      <c r="P44">
        <f t="shared" ca="1" si="0"/>
        <v>99.999999999999957</v>
      </c>
      <c r="Q44">
        <f t="shared" si="1"/>
        <v>0</v>
      </c>
      <c r="R44" s="169">
        <f t="shared" si="2"/>
        <v>0</v>
      </c>
    </row>
    <row r="45" spans="2:23">
      <c r="B45" s="1400" cm="1">
        <f t="array" aca="1" ref="B45" ca="1">IFERROR(INDEX(Décomposition!H48:H318,MATCH(0,COUNTIF($B$1:B44,Décomposition!H48:H318),0)),-1)</f>
        <v>-1</v>
      </c>
      <c r="C45" s="171" cm="1">
        <f t="array" aca="1" ref="C45" ca="1">IFERROR(SUM((Décomposition!$H$4:$H$275='List of materials'!B45)*Décomposition!$S$4:$S$275),0)</f>
        <v>0</v>
      </c>
      <c r="D45" s="1401">
        <f ca="1">_xlfn.XLOOKUP(B45, Décomposition!H:H, Décomposition!J:J, 0,0,1)</f>
        <v>0</v>
      </c>
      <c r="E45" s="1402" cm="1">
        <f t="array" aca="1" ref="E45" ca="1">IFERROR(SUM((Décomposition!$H$4:$H$275='List of materials'!$B45)*Décomposition!$K$4:$K$275),0)</f>
        <v>0</v>
      </c>
      <c r="F45" s="171" cm="1">
        <f t="array" aca="1" ref="F45" ca="1">IF($D45=$F$1, IFERROR(SUM((Décomposition!$H$4:$H$275='List of materials'!$B45)*Décomposition!$K$4:$K$275),0), 0)</f>
        <v>0</v>
      </c>
      <c r="G45" cm="1">
        <f t="array" aca="1" ref="G45" ca="1">IF($D45=$G$1, IFERROR(SUM((Décomposition!$H$4:$H$275='List of materials'!$B45)*Décomposition!$K$4:$K$275),0), 0)</f>
        <v>0</v>
      </c>
      <c r="H45" t="e">
        <f t="shared" ref="H45:H69" ca="1" si="4">IF(E45&gt;0,E45,IF(F45&gt;0,F45*I45,G45*I45))</f>
        <v>#N/A</v>
      </c>
      <c r="I45" t="e">
        <f ca="1">_xlfn.XLOOKUP(B45,'Baumaterialien Matériaux'!AD:AD,'Baumaterialien Matériaux'!F:F)</f>
        <v>#N/A</v>
      </c>
      <c r="P45">
        <f t="shared" ca="1" si="0"/>
        <v>99.999999999999957</v>
      </c>
      <c r="Q45">
        <f t="shared" si="1"/>
        <v>0</v>
      </c>
      <c r="R45" s="169">
        <f t="shared" si="2"/>
        <v>0</v>
      </c>
    </row>
    <row r="46" spans="2:23">
      <c r="B46" s="1400" cm="1">
        <f t="array" aca="1" ref="B46" ca="1">IFERROR(INDEX(Décomposition!H49:H319,MATCH(0,COUNTIF($B$1:B45,Décomposition!H49:H319),0)),-1)</f>
        <v>-1</v>
      </c>
      <c r="C46" s="171" cm="1">
        <f t="array" aca="1" ref="C46" ca="1">IFERROR(SUM((Décomposition!$H$4:$H$275='List of materials'!B46)*Décomposition!$S$4:$S$275),0)</f>
        <v>0</v>
      </c>
      <c r="D46" s="1401">
        <f ca="1">_xlfn.XLOOKUP(B46, Décomposition!H:H, Décomposition!J:J, 0,0,1)</f>
        <v>0</v>
      </c>
      <c r="E46" s="1402" cm="1">
        <f t="array" aca="1" ref="E46" ca="1">IFERROR(SUM((Décomposition!$H$4:$H$275='List of materials'!$B46)*Décomposition!$K$4:$K$275),0)</f>
        <v>0</v>
      </c>
      <c r="F46" s="171" cm="1">
        <f t="array" aca="1" ref="F46" ca="1">IF($D46=$F$1, IFERROR(SUM((Décomposition!$H$4:$H$275='List of materials'!$B46)*Décomposition!$K$4:$K$275),0), 0)</f>
        <v>0</v>
      </c>
      <c r="G46" cm="1">
        <f t="array" aca="1" ref="G46" ca="1">IF($D46=$G$1, IFERROR(SUM((Décomposition!$H$4:$H$275='List of materials'!$B46)*Décomposition!$K$4:$K$275),0), 0)</f>
        <v>0</v>
      </c>
      <c r="H46" t="e">
        <f t="shared" ca="1" si="4"/>
        <v>#N/A</v>
      </c>
      <c r="I46" t="e">
        <f ca="1">_xlfn.XLOOKUP(B46,'Baumaterialien Matériaux'!AD:AD,'Baumaterialien Matériaux'!F:F)</f>
        <v>#N/A</v>
      </c>
      <c r="P46">
        <f t="shared" ca="1" si="0"/>
        <v>99.999999999999957</v>
      </c>
      <c r="Q46">
        <f t="shared" si="1"/>
        <v>0</v>
      </c>
      <c r="R46" s="169">
        <f t="shared" si="2"/>
        <v>0</v>
      </c>
    </row>
    <row r="47" spans="2:23">
      <c r="B47" s="1400" cm="1">
        <f t="array" aca="1" ref="B47" ca="1">IFERROR(INDEX(Décomposition!H50:H320,MATCH(0,COUNTIF($B$1:B46,Décomposition!H50:H320),0)),-1)</f>
        <v>-1</v>
      </c>
      <c r="C47" s="171" cm="1">
        <f t="array" aca="1" ref="C47" ca="1">IFERROR(SUM((Décomposition!$H$4:$H$275='List of materials'!B47)*Décomposition!$S$4:$S$275),0)</f>
        <v>0</v>
      </c>
      <c r="D47" s="1401">
        <f ca="1">_xlfn.XLOOKUP(B47, Décomposition!H:H, Décomposition!J:J, 0,0,1)</f>
        <v>0</v>
      </c>
      <c r="E47" s="1402" cm="1">
        <f t="array" aca="1" ref="E47" ca="1">IFERROR(SUM((Décomposition!$H$4:$H$275='List of materials'!$B47)*Décomposition!$K$4:$K$275),0)</f>
        <v>0</v>
      </c>
      <c r="F47" s="171" cm="1">
        <f t="array" aca="1" ref="F47" ca="1">IF($D47=$F$1, IFERROR(SUM((Décomposition!$H$4:$H$275='List of materials'!$B47)*Décomposition!$K$4:$K$275),0), 0)</f>
        <v>0</v>
      </c>
      <c r="G47" cm="1">
        <f t="array" aca="1" ref="G47" ca="1">IF($D47=$G$1, IFERROR(SUM((Décomposition!$H$4:$H$275='List of materials'!$B47)*Décomposition!$K$4:$K$275),0), 0)</f>
        <v>0</v>
      </c>
      <c r="H47" t="e">
        <f t="shared" ca="1" si="4"/>
        <v>#N/A</v>
      </c>
      <c r="I47" t="e">
        <f ca="1">_xlfn.XLOOKUP(B47,'Baumaterialien Matériaux'!AD:AD,'Baumaterialien Matériaux'!F:F)</f>
        <v>#N/A</v>
      </c>
      <c r="P47">
        <f t="shared" ca="1" si="0"/>
        <v>99.999999999999957</v>
      </c>
      <c r="Q47">
        <f t="shared" si="1"/>
        <v>0</v>
      </c>
      <c r="R47" s="169">
        <f t="shared" si="2"/>
        <v>0</v>
      </c>
    </row>
    <row r="48" spans="2:23">
      <c r="B48" s="1400" cm="1">
        <f t="array" aca="1" ref="B48" ca="1">IFERROR(INDEX(Décomposition!H51:H321,MATCH(0,COUNTIF($B$1:B47,Décomposition!H51:H321),0)),-1)</f>
        <v>-1</v>
      </c>
      <c r="C48" s="171" cm="1">
        <f t="array" aca="1" ref="C48" ca="1">IFERROR(SUM((Décomposition!$H$4:$H$275='List of materials'!B48)*Décomposition!$S$4:$S$275),0)</f>
        <v>0</v>
      </c>
      <c r="D48" s="1401">
        <f ca="1">_xlfn.XLOOKUP(B48, Décomposition!H:H, Décomposition!J:J, 0,0,1)</f>
        <v>0</v>
      </c>
      <c r="E48" s="1402" cm="1">
        <f t="array" aca="1" ref="E48" ca="1">IFERROR(SUM((Décomposition!$H$4:$H$275='List of materials'!$B48)*Décomposition!$K$4:$K$275),0)</f>
        <v>0</v>
      </c>
      <c r="F48" s="171" cm="1">
        <f t="array" aca="1" ref="F48" ca="1">IF($D48=$F$1, IFERROR(SUM((Décomposition!$H$4:$H$275='List of materials'!$B48)*Décomposition!$K$4:$K$275),0), 0)</f>
        <v>0</v>
      </c>
      <c r="G48" cm="1">
        <f t="array" aca="1" ref="G48" ca="1">IF($D48=$G$1, IFERROR(SUM((Décomposition!$H$4:$H$275='List of materials'!$B48)*Décomposition!$K$4:$K$275),0), 0)</f>
        <v>0</v>
      </c>
      <c r="H48" t="e">
        <f t="shared" ca="1" si="4"/>
        <v>#N/A</v>
      </c>
      <c r="I48" t="e">
        <f ca="1">_xlfn.XLOOKUP(B48,'Baumaterialien Matériaux'!AD:AD,'Baumaterialien Matériaux'!F:F)</f>
        <v>#N/A</v>
      </c>
      <c r="P48">
        <f t="shared" ca="1" si="0"/>
        <v>99.999999999999957</v>
      </c>
      <c r="Q48">
        <f t="shared" si="1"/>
        <v>0</v>
      </c>
      <c r="R48" s="169">
        <f t="shared" si="2"/>
        <v>0</v>
      </c>
    </row>
    <row r="49" spans="2:18">
      <c r="B49" s="1400" cm="1">
        <f t="array" aca="1" ref="B49" ca="1">IFERROR(INDEX(Décomposition!H52:H322,MATCH(0,COUNTIF($B$1:B48,Décomposition!H52:H322),0)),-1)</f>
        <v>-1</v>
      </c>
      <c r="C49" s="171" cm="1">
        <f t="array" aca="1" ref="C49" ca="1">IFERROR(SUM((Décomposition!$H$4:$H$275='List of materials'!B49)*Décomposition!$S$4:$S$275),0)</f>
        <v>0</v>
      </c>
      <c r="D49" s="1401">
        <f ca="1">_xlfn.XLOOKUP(B49, Décomposition!H:H, Décomposition!J:J, 0,0,1)</f>
        <v>0</v>
      </c>
      <c r="E49" s="1402" cm="1">
        <f t="array" aca="1" ref="E49" ca="1">IFERROR(SUM((Décomposition!$H$4:$H$275='List of materials'!$B49)*Décomposition!$K$4:$K$275),0)</f>
        <v>0</v>
      </c>
      <c r="F49" s="171" cm="1">
        <f t="array" aca="1" ref="F49" ca="1">IF($D49=$F$1, IFERROR(SUM((Décomposition!$H$4:$H$275='List of materials'!$B49)*Décomposition!$K$4:$K$275),0), 0)</f>
        <v>0</v>
      </c>
      <c r="G49" cm="1">
        <f t="array" aca="1" ref="G49" ca="1">IF($D49=$G$1, IFERROR(SUM((Décomposition!$H$4:$H$275='List of materials'!$B49)*Décomposition!$K$4:$K$275),0), 0)</f>
        <v>0</v>
      </c>
      <c r="H49" t="e">
        <f t="shared" ca="1" si="4"/>
        <v>#N/A</v>
      </c>
      <c r="I49" t="e">
        <f ca="1">_xlfn.XLOOKUP(B49,'Baumaterialien Matériaux'!AD:AD,'Baumaterialien Matériaux'!F:F)</f>
        <v>#N/A</v>
      </c>
      <c r="P49">
        <f t="shared" ca="1" si="0"/>
        <v>99.999999999999957</v>
      </c>
      <c r="Q49">
        <f t="shared" si="1"/>
        <v>0</v>
      </c>
      <c r="R49" s="169">
        <f t="shared" si="2"/>
        <v>0</v>
      </c>
    </row>
    <row r="50" spans="2:18">
      <c r="B50" s="1400" cm="1">
        <f t="array" aca="1" ref="B50" ca="1">IFERROR(INDEX(Décomposition!H53:H323,MATCH(0,COUNTIF($B$1:B49,Décomposition!H53:H323),0)),-1)</f>
        <v>-1</v>
      </c>
      <c r="C50" s="171" cm="1">
        <f t="array" aca="1" ref="C50" ca="1">IFERROR(SUM((Décomposition!$H$4:$H$275='List of materials'!B50)*Décomposition!$S$4:$S$275),0)</f>
        <v>0</v>
      </c>
      <c r="D50" s="1401">
        <f ca="1">_xlfn.XLOOKUP(B50, Décomposition!H:H, Décomposition!J:J, 0,0,1)</f>
        <v>0</v>
      </c>
      <c r="E50" s="1402" cm="1">
        <f t="array" aca="1" ref="E50" ca="1">IFERROR(SUM((Décomposition!$H$4:$H$275='List of materials'!$B50)*Décomposition!$K$4:$K$275),0)</f>
        <v>0</v>
      </c>
      <c r="F50" s="171" cm="1">
        <f t="array" aca="1" ref="F50" ca="1">IF($D50=$F$1, IFERROR(SUM((Décomposition!$H$4:$H$275='List of materials'!$B50)*Décomposition!$K$4:$K$275),0), 0)</f>
        <v>0</v>
      </c>
      <c r="G50" cm="1">
        <f t="array" aca="1" ref="G50" ca="1">IF($D50=$G$1, IFERROR(SUM((Décomposition!$H$4:$H$275='List of materials'!$B50)*Décomposition!$K$4:$K$275),0), 0)</f>
        <v>0</v>
      </c>
      <c r="H50" t="e">
        <f t="shared" ca="1" si="4"/>
        <v>#N/A</v>
      </c>
      <c r="I50" t="e">
        <f ca="1">_xlfn.XLOOKUP(B50,'Baumaterialien Matériaux'!AD:AD,'Baumaterialien Matériaux'!F:F)</f>
        <v>#N/A</v>
      </c>
      <c r="P50">
        <f t="shared" ca="1" si="0"/>
        <v>99.999999999999957</v>
      </c>
      <c r="Q50">
        <f t="shared" si="1"/>
        <v>0</v>
      </c>
      <c r="R50" s="169">
        <f t="shared" si="2"/>
        <v>0</v>
      </c>
    </row>
    <row r="51" spans="2:18">
      <c r="B51" s="1400" cm="1">
        <f t="array" aca="1" ref="B51" ca="1">IFERROR(INDEX(Décomposition!H54:H324,MATCH(0,COUNTIF($B$1:B50,Décomposition!H54:H324),0)),-1)</f>
        <v>-1</v>
      </c>
      <c r="C51" s="171" cm="1">
        <f t="array" aca="1" ref="C51" ca="1">IFERROR(SUM((Décomposition!$H$4:$H$275='List of materials'!B51)*Décomposition!$S$4:$S$275),0)</f>
        <v>0</v>
      </c>
      <c r="D51" s="1401">
        <f ca="1">_xlfn.XLOOKUP(B51, Décomposition!H:H, Décomposition!J:J, 0,0,1)</f>
        <v>0</v>
      </c>
      <c r="E51" s="1402" cm="1">
        <f t="array" aca="1" ref="E51" ca="1">IFERROR(SUM((Décomposition!$H$4:$H$275='List of materials'!$B51)*Décomposition!$K$4:$K$275),0)</f>
        <v>0</v>
      </c>
      <c r="F51" s="171" cm="1">
        <f t="array" aca="1" ref="F51" ca="1">IF($D51=$F$1, IFERROR(SUM((Décomposition!$H$4:$H$275='List of materials'!$B51)*Décomposition!$K$4:$K$275),0), 0)</f>
        <v>0</v>
      </c>
      <c r="G51" cm="1">
        <f t="array" aca="1" ref="G51" ca="1">IF($D51=$G$1, IFERROR(SUM((Décomposition!$H$4:$H$275='List of materials'!$B51)*Décomposition!$K$4:$K$275),0), 0)</f>
        <v>0</v>
      </c>
      <c r="H51" t="e">
        <f t="shared" ca="1" si="4"/>
        <v>#N/A</v>
      </c>
      <c r="I51" t="e">
        <f ca="1">_xlfn.XLOOKUP(B51,'Baumaterialien Matériaux'!AD:AD,'Baumaterialien Matériaux'!F:F)</f>
        <v>#N/A</v>
      </c>
      <c r="P51">
        <f t="shared" ca="1" si="0"/>
        <v>99.999999999999957</v>
      </c>
      <c r="Q51">
        <f t="shared" si="1"/>
        <v>0</v>
      </c>
      <c r="R51" s="169">
        <f t="shared" si="2"/>
        <v>0</v>
      </c>
    </row>
    <row r="52" spans="2:18">
      <c r="B52" s="1400" cm="1">
        <f t="array" aca="1" ref="B52" ca="1">IFERROR(INDEX(Décomposition!H55:H325,MATCH(0,COUNTIF($B$1:B51,Décomposition!H55:H325),0)),-1)</f>
        <v>-1</v>
      </c>
      <c r="C52" s="171" cm="1">
        <f t="array" aca="1" ref="C52" ca="1">IFERROR(SUM((Décomposition!$H$4:$H$275='List of materials'!B52)*Décomposition!$S$4:$S$275),0)</f>
        <v>0</v>
      </c>
      <c r="D52" s="1401">
        <f ca="1">_xlfn.XLOOKUP(B52, Décomposition!H:H, Décomposition!J:J, 0,0,1)</f>
        <v>0</v>
      </c>
      <c r="E52" s="1402" cm="1">
        <f t="array" aca="1" ref="E52" ca="1">IFERROR(SUM((Décomposition!$H$4:$H$275='List of materials'!$B52)*Décomposition!$K$4:$K$275),0)</f>
        <v>0</v>
      </c>
      <c r="F52" s="171" cm="1">
        <f t="array" aca="1" ref="F52" ca="1">IF($D52=$F$1, IFERROR(SUM((Décomposition!$H$4:$H$275='List of materials'!$B52)*Décomposition!$K$4:$K$275),0), 0)</f>
        <v>0</v>
      </c>
      <c r="G52" cm="1">
        <f t="array" aca="1" ref="G52" ca="1">IF($D52=$G$1, IFERROR(SUM((Décomposition!$H$4:$H$275='List of materials'!$B52)*Décomposition!$K$4:$K$275),0), 0)</f>
        <v>0</v>
      </c>
      <c r="H52" t="e">
        <f t="shared" ca="1" si="4"/>
        <v>#N/A</v>
      </c>
      <c r="I52" t="e">
        <f ca="1">_xlfn.XLOOKUP(B52,'Baumaterialien Matériaux'!AD:AD,'Baumaterialien Matériaux'!F:F)</f>
        <v>#N/A</v>
      </c>
      <c r="P52">
        <f t="shared" ca="1" si="0"/>
        <v>99.999999999999957</v>
      </c>
      <c r="Q52">
        <f t="shared" si="1"/>
        <v>0</v>
      </c>
      <c r="R52" s="169">
        <f t="shared" si="2"/>
        <v>0</v>
      </c>
    </row>
    <row r="53" spans="2:18">
      <c r="B53" s="1400" cm="1">
        <f t="array" aca="1" ref="B53" ca="1">IFERROR(INDEX(Décomposition!H56:H326,MATCH(0,COUNTIF($B$1:B52,Décomposition!H56:H326),0)),-1)</f>
        <v>-1</v>
      </c>
      <c r="C53" s="171" cm="1">
        <f t="array" aca="1" ref="C53" ca="1">IFERROR(SUM((Décomposition!$H$4:$H$275='List of materials'!B53)*Décomposition!$S$4:$S$275),0)</f>
        <v>0</v>
      </c>
      <c r="D53" s="1401">
        <f ca="1">_xlfn.XLOOKUP(B53, Décomposition!H:H, Décomposition!J:J, 0,0,1)</f>
        <v>0</v>
      </c>
      <c r="E53" s="1402" cm="1">
        <f t="array" aca="1" ref="E53" ca="1">IFERROR(SUM((Décomposition!$H$4:$H$275='List of materials'!$B53)*Décomposition!$K$4:$K$275),0)</f>
        <v>0</v>
      </c>
      <c r="F53" s="171" cm="1">
        <f t="array" aca="1" ref="F53" ca="1">IF($D53=$F$1, IFERROR(SUM((Décomposition!$H$4:$H$275='List of materials'!$B53)*Décomposition!$K$4:$K$275),0), 0)</f>
        <v>0</v>
      </c>
      <c r="G53" cm="1">
        <f t="array" aca="1" ref="G53" ca="1">IF($D53=$G$1, IFERROR(SUM((Décomposition!$H$4:$H$275='List of materials'!$B53)*Décomposition!$K$4:$K$275),0), 0)</f>
        <v>0</v>
      </c>
      <c r="H53" t="e">
        <f t="shared" ca="1" si="4"/>
        <v>#N/A</v>
      </c>
      <c r="I53" t="e">
        <f ca="1">_xlfn.XLOOKUP(B53,'Baumaterialien Matériaux'!AD:AD,'Baumaterialien Matériaux'!F:F)</f>
        <v>#N/A</v>
      </c>
      <c r="P53">
        <f t="shared" ca="1" si="0"/>
        <v>99.999999999999957</v>
      </c>
      <c r="Q53">
        <f t="shared" si="1"/>
        <v>0</v>
      </c>
      <c r="R53" s="169">
        <f t="shared" si="2"/>
        <v>0</v>
      </c>
    </row>
    <row r="54" spans="2:18">
      <c r="B54" s="1400" cm="1">
        <f t="array" aca="1" ref="B54" ca="1">IFERROR(INDEX(Décomposition!H57:H327,MATCH(0,COUNTIF($B$1:B53,Décomposition!H57:H327),0)),-1)</f>
        <v>-1</v>
      </c>
      <c r="C54" s="171" cm="1">
        <f t="array" aca="1" ref="C54" ca="1">IFERROR(SUM((Décomposition!$H$4:$H$275='List of materials'!B54)*Décomposition!$S$4:$S$275),0)</f>
        <v>0</v>
      </c>
      <c r="D54" s="1401">
        <f ca="1">_xlfn.XLOOKUP(B54, Décomposition!H:H, Décomposition!J:J, 0,0,1)</f>
        <v>0</v>
      </c>
      <c r="E54" s="1402" cm="1">
        <f t="array" aca="1" ref="E54" ca="1">IFERROR(SUM((Décomposition!$H$4:$H$275='List of materials'!$B54)*Décomposition!$K$4:$K$275),0)</f>
        <v>0</v>
      </c>
      <c r="F54" s="171" cm="1">
        <f t="array" aca="1" ref="F54" ca="1">IF($D54=$F$1, IFERROR(SUM((Décomposition!$H$4:$H$275='List of materials'!$B54)*Décomposition!$K$4:$K$275),0), 0)</f>
        <v>0</v>
      </c>
      <c r="G54" cm="1">
        <f t="array" aca="1" ref="G54" ca="1">IF($D54=$G$1, IFERROR(SUM((Décomposition!$H$4:$H$275='List of materials'!$B54)*Décomposition!$K$4:$K$275),0), 0)</f>
        <v>0</v>
      </c>
      <c r="H54" t="e">
        <f t="shared" ca="1" si="4"/>
        <v>#N/A</v>
      </c>
      <c r="I54" t="e">
        <f ca="1">_xlfn.XLOOKUP(B54,'Baumaterialien Matériaux'!AD:AD,'Baumaterialien Matériaux'!F:F)</f>
        <v>#N/A</v>
      </c>
      <c r="P54">
        <f t="shared" ca="1" si="0"/>
        <v>99.999999999999957</v>
      </c>
      <c r="Q54">
        <f t="shared" si="1"/>
        <v>0</v>
      </c>
      <c r="R54" s="169">
        <f t="shared" si="2"/>
        <v>0</v>
      </c>
    </row>
    <row r="55" spans="2:18">
      <c r="B55" s="1400" cm="1">
        <f t="array" aca="1" ref="B55" ca="1">IFERROR(INDEX(Décomposition!H58:H328,MATCH(0,COUNTIF($B$1:B54,Décomposition!H58:H328),0)),-1)</f>
        <v>-1</v>
      </c>
      <c r="C55" s="171" cm="1">
        <f t="array" aca="1" ref="C55" ca="1">IFERROR(SUM((Décomposition!$H$4:$H$275='List of materials'!B55)*Décomposition!$S$4:$S$275),0)</f>
        <v>0</v>
      </c>
      <c r="D55" s="1401">
        <f ca="1">_xlfn.XLOOKUP(B55, Décomposition!H:H, Décomposition!J:J, 0,0,1)</f>
        <v>0</v>
      </c>
      <c r="E55" s="1402" cm="1">
        <f t="array" aca="1" ref="E55" ca="1">IFERROR(SUM((Décomposition!$H$4:$H$275='List of materials'!$B55)*Décomposition!$K$4:$K$275),0)</f>
        <v>0</v>
      </c>
      <c r="F55" s="171" cm="1">
        <f t="array" aca="1" ref="F55" ca="1">IF($D55=$F$1, IFERROR(SUM((Décomposition!$H$4:$H$275='List of materials'!$B55)*Décomposition!$K$4:$K$275),0), 0)</f>
        <v>0</v>
      </c>
      <c r="G55" cm="1">
        <f t="array" aca="1" ref="G55" ca="1">IF($D55=$G$1, IFERROR(SUM((Décomposition!$H$4:$H$275='List of materials'!$B55)*Décomposition!$K$4:$K$275),0), 0)</f>
        <v>0</v>
      </c>
      <c r="H55" t="e">
        <f t="shared" ca="1" si="4"/>
        <v>#N/A</v>
      </c>
      <c r="I55" t="e">
        <f ca="1">_xlfn.XLOOKUP(B55,'Baumaterialien Matériaux'!AD:AD,'Baumaterialien Matériaux'!F:F)</f>
        <v>#N/A</v>
      </c>
      <c r="P55">
        <f t="shared" ca="1" si="0"/>
        <v>99.999999999999957</v>
      </c>
      <c r="Q55">
        <f t="shared" si="1"/>
        <v>0</v>
      </c>
      <c r="R55" s="169">
        <f t="shared" si="2"/>
        <v>0</v>
      </c>
    </row>
    <row r="56" spans="2:18">
      <c r="B56" s="1400" cm="1">
        <f t="array" aca="1" ref="B56" ca="1">IFERROR(INDEX(Décomposition!H59:H329,MATCH(0,COUNTIF($B$1:B55,Décomposition!H59:H329),0)),-1)</f>
        <v>-1</v>
      </c>
      <c r="C56" s="171" cm="1">
        <f t="array" aca="1" ref="C56" ca="1">IFERROR(SUM((Décomposition!$H$4:$H$275='List of materials'!B56)*Décomposition!$S$4:$S$275),0)</f>
        <v>0</v>
      </c>
      <c r="D56" s="1401">
        <f ca="1">_xlfn.XLOOKUP(B56, Décomposition!H:H, Décomposition!J:J, 0,0,1)</f>
        <v>0</v>
      </c>
      <c r="E56" s="1402" cm="1">
        <f t="array" aca="1" ref="E56" ca="1">IFERROR(SUM((Décomposition!$H$4:$H$275='List of materials'!$B56)*Décomposition!$K$4:$K$275),0)</f>
        <v>0</v>
      </c>
      <c r="F56" s="171" cm="1">
        <f t="array" aca="1" ref="F56" ca="1">IF($D56=$F$1, IFERROR(SUM((Décomposition!$H$4:$H$275='List of materials'!$B56)*Décomposition!$K$4:$K$275),0), 0)</f>
        <v>0</v>
      </c>
      <c r="G56" cm="1">
        <f t="array" aca="1" ref="G56" ca="1">IF($D56=$G$1, IFERROR(SUM((Décomposition!$H$4:$H$275='List of materials'!$B56)*Décomposition!$K$4:$K$275),0), 0)</f>
        <v>0</v>
      </c>
      <c r="H56" t="e">
        <f t="shared" ca="1" si="4"/>
        <v>#N/A</v>
      </c>
      <c r="I56" t="e">
        <f ca="1">_xlfn.XLOOKUP(B56,'Baumaterialien Matériaux'!AD:AD,'Baumaterialien Matériaux'!F:F)</f>
        <v>#N/A</v>
      </c>
      <c r="P56">
        <f t="shared" ca="1" si="0"/>
        <v>99.999999999999957</v>
      </c>
      <c r="Q56">
        <f t="shared" si="1"/>
        <v>0</v>
      </c>
      <c r="R56" s="169">
        <f t="shared" si="2"/>
        <v>0</v>
      </c>
    </row>
    <row r="57" spans="2:18">
      <c r="B57" s="1400" cm="1">
        <f t="array" aca="1" ref="B57" ca="1">IFERROR(INDEX(Décomposition!H60:H330,MATCH(0,COUNTIF($B$1:B56,Décomposition!H60:H330),0)),-1)</f>
        <v>-1</v>
      </c>
      <c r="C57" s="171" cm="1">
        <f t="array" aca="1" ref="C57" ca="1">IFERROR(SUM((Décomposition!$H$4:$H$275='List of materials'!B57)*Décomposition!$S$4:$S$275),0)</f>
        <v>0</v>
      </c>
      <c r="D57" s="1401">
        <f ca="1">_xlfn.XLOOKUP(B57, Décomposition!H:H, Décomposition!J:J, 0,0,1)</f>
        <v>0</v>
      </c>
      <c r="E57" s="1402" cm="1">
        <f t="array" aca="1" ref="E57" ca="1">IFERROR(SUM((Décomposition!$H$4:$H$275='List of materials'!$B57)*Décomposition!$K$4:$K$275),0)</f>
        <v>0</v>
      </c>
      <c r="F57" s="171" cm="1">
        <f t="array" aca="1" ref="F57" ca="1">IF($D57=$F$1, IFERROR(SUM((Décomposition!$H$4:$H$275='List of materials'!$B57)*Décomposition!$K$4:$K$275),0), 0)</f>
        <v>0</v>
      </c>
      <c r="G57" cm="1">
        <f t="array" aca="1" ref="G57" ca="1">IF($D57=$G$1, IFERROR(SUM((Décomposition!$H$4:$H$275='List of materials'!$B57)*Décomposition!$K$4:$K$275),0), 0)</f>
        <v>0</v>
      </c>
      <c r="H57" t="e">
        <f t="shared" ca="1" si="4"/>
        <v>#N/A</v>
      </c>
      <c r="I57" t="e">
        <f ca="1">_xlfn.XLOOKUP(B57,'Baumaterialien Matériaux'!AD:AD,'Baumaterialien Matériaux'!F:F)</f>
        <v>#N/A</v>
      </c>
      <c r="P57">
        <f t="shared" ca="1" si="0"/>
        <v>99.999999999999957</v>
      </c>
      <c r="Q57">
        <f t="shared" si="1"/>
        <v>0</v>
      </c>
      <c r="R57" s="169">
        <f t="shared" si="2"/>
        <v>0</v>
      </c>
    </row>
    <row r="58" spans="2:18">
      <c r="B58" s="1400" cm="1">
        <f t="array" aca="1" ref="B58" ca="1">IFERROR(INDEX(Décomposition!H61:H331,MATCH(0,COUNTIF($B$1:B57,Décomposition!H61:H331),0)),-1)</f>
        <v>-1</v>
      </c>
      <c r="C58" s="171" cm="1">
        <f t="array" aca="1" ref="C58" ca="1">IFERROR(SUM((Décomposition!$H$4:$H$275='List of materials'!B58)*Décomposition!$S$4:$S$275),0)</f>
        <v>0</v>
      </c>
      <c r="D58" s="1401">
        <f ca="1">_xlfn.XLOOKUP(B58, Décomposition!H:H, Décomposition!J:J, 0,0,1)</f>
        <v>0</v>
      </c>
      <c r="E58" s="1402" cm="1">
        <f t="array" aca="1" ref="E58" ca="1">IFERROR(SUM((Décomposition!$H$4:$H$275='List of materials'!$B58)*Décomposition!$K$4:$K$275),0)</f>
        <v>0</v>
      </c>
      <c r="F58" s="171" cm="1">
        <f t="array" aca="1" ref="F58" ca="1">IF($D58=$F$1, IFERROR(SUM((Décomposition!$H$4:$H$275='List of materials'!$B58)*Décomposition!$K$4:$K$275),0), 0)</f>
        <v>0</v>
      </c>
      <c r="G58" cm="1">
        <f t="array" aca="1" ref="G58" ca="1">IF($D58=$G$1, IFERROR(SUM((Décomposition!$H$4:$H$275='List of materials'!$B58)*Décomposition!$K$4:$K$275),0), 0)</f>
        <v>0</v>
      </c>
      <c r="H58" t="e">
        <f t="shared" ca="1" si="4"/>
        <v>#N/A</v>
      </c>
      <c r="I58" t="e">
        <f ca="1">_xlfn.XLOOKUP(B58,'Baumaterialien Matériaux'!AD:AD,'Baumaterialien Matériaux'!F:F)</f>
        <v>#N/A</v>
      </c>
      <c r="P58">
        <f t="shared" ca="1" si="0"/>
        <v>99.999999999999957</v>
      </c>
      <c r="Q58">
        <f t="shared" si="1"/>
        <v>0</v>
      </c>
      <c r="R58" s="169">
        <f t="shared" si="2"/>
        <v>0</v>
      </c>
    </row>
    <row r="59" spans="2:18">
      <c r="B59" s="1400" cm="1">
        <f t="array" aca="1" ref="B59" ca="1">IFERROR(INDEX(Décomposition!H62:H332,MATCH(0,COUNTIF($B$1:B58,Décomposition!H62:H332),0)),-1)</f>
        <v>-1</v>
      </c>
      <c r="C59" s="171" cm="1">
        <f t="array" aca="1" ref="C59" ca="1">IFERROR(SUM((Décomposition!$H$4:$H$275='List of materials'!B59)*Décomposition!$S$4:$S$275),0)</f>
        <v>0</v>
      </c>
      <c r="D59" s="1401">
        <f ca="1">_xlfn.XLOOKUP(B59, Décomposition!H:H, Décomposition!J:J, 0,0,1)</f>
        <v>0</v>
      </c>
      <c r="E59" s="1402" cm="1">
        <f t="array" aca="1" ref="E59" ca="1">IFERROR(SUM((Décomposition!$H$4:$H$275='List of materials'!$B59)*Décomposition!$K$4:$K$275),0)</f>
        <v>0</v>
      </c>
      <c r="F59" s="171" cm="1">
        <f t="array" aca="1" ref="F59" ca="1">IF($D59=$F$1, IFERROR(SUM((Décomposition!$H$4:$H$275='List of materials'!$B59)*Décomposition!$K$4:$K$275),0), 0)</f>
        <v>0</v>
      </c>
      <c r="G59" cm="1">
        <f t="array" aca="1" ref="G59" ca="1">IF($D59=$G$1, IFERROR(SUM((Décomposition!$H$4:$H$275='List of materials'!$B59)*Décomposition!$K$4:$K$275),0), 0)</f>
        <v>0</v>
      </c>
      <c r="H59" t="e">
        <f t="shared" ca="1" si="4"/>
        <v>#N/A</v>
      </c>
      <c r="I59" t="e">
        <f ca="1">_xlfn.XLOOKUP(B59,'Baumaterialien Matériaux'!AD:AD,'Baumaterialien Matériaux'!F:F)</f>
        <v>#N/A</v>
      </c>
      <c r="P59">
        <f t="shared" ca="1" si="0"/>
        <v>99.999999999999957</v>
      </c>
      <c r="Q59">
        <f t="shared" si="1"/>
        <v>0</v>
      </c>
      <c r="R59" s="169">
        <f t="shared" si="2"/>
        <v>0</v>
      </c>
    </row>
    <row r="60" spans="2:18">
      <c r="B60" s="1400" cm="1">
        <f t="array" aca="1" ref="B60" ca="1">IFERROR(INDEX(Décomposition!H63:H333,MATCH(0,COUNTIF($B$1:B59,Décomposition!H63:H333),0)),-1)</f>
        <v>-1</v>
      </c>
      <c r="C60" s="171" cm="1">
        <f t="array" aca="1" ref="C60" ca="1">IFERROR(SUM((Décomposition!$H$4:$H$275='List of materials'!B60)*Décomposition!$S$4:$S$275),0)</f>
        <v>0</v>
      </c>
      <c r="D60" s="1401">
        <f ca="1">_xlfn.XLOOKUP(B60, Décomposition!H:H, Décomposition!J:J, 0,0,1)</f>
        <v>0</v>
      </c>
      <c r="E60" s="1402" cm="1">
        <f t="array" aca="1" ref="E60" ca="1">IFERROR(SUM((Décomposition!$H$4:$H$275='List of materials'!$B60)*Décomposition!$K$4:$K$275),0)</f>
        <v>0</v>
      </c>
      <c r="F60" s="171" cm="1">
        <f t="array" aca="1" ref="F60" ca="1">IF($D60=$F$1, IFERROR(SUM((Décomposition!$H$4:$H$275='List of materials'!$B60)*Décomposition!$K$4:$K$275),0), 0)</f>
        <v>0</v>
      </c>
      <c r="G60" cm="1">
        <f t="array" aca="1" ref="G60" ca="1">IF($D60=$G$1, IFERROR(SUM((Décomposition!$H$4:$H$275='List of materials'!$B60)*Décomposition!$K$4:$K$275),0), 0)</f>
        <v>0</v>
      </c>
      <c r="H60" t="e">
        <f t="shared" ca="1" si="4"/>
        <v>#N/A</v>
      </c>
      <c r="I60" t="e">
        <f ca="1">_xlfn.XLOOKUP(B60,'Baumaterialien Matériaux'!AD:AD,'Baumaterialien Matériaux'!F:F)</f>
        <v>#N/A</v>
      </c>
      <c r="P60">
        <f t="shared" ca="1" si="0"/>
        <v>99.999999999999957</v>
      </c>
      <c r="Q60">
        <f t="shared" si="1"/>
        <v>0</v>
      </c>
      <c r="R60" s="169">
        <f t="shared" si="2"/>
        <v>0</v>
      </c>
    </row>
    <row r="61" spans="2:18">
      <c r="B61" s="1400" cm="1">
        <f t="array" aca="1" ref="B61" ca="1">IFERROR(INDEX(Décomposition!H64:H334,MATCH(0,COUNTIF($B$1:B60,Décomposition!H64:H334),0)),-1)</f>
        <v>-1</v>
      </c>
      <c r="C61" s="171" cm="1">
        <f t="array" aca="1" ref="C61" ca="1">IFERROR(SUM((Décomposition!$H$4:$H$275='List of materials'!B61)*Décomposition!$S$4:$S$275),0)</f>
        <v>0</v>
      </c>
      <c r="D61" s="1401">
        <f ca="1">_xlfn.XLOOKUP(B61, Décomposition!H:H, Décomposition!J:J, 0,0,1)</f>
        <v>0</v>
      </c>
      <c r="E61" s="1402" cm="1">
        <f t="array" aca="1" ref="E61" ca="1">IFERROR(SUM((Décomposition!$H$4:$H$275='List of materials'!$B61)*Décomposition!$K$4:$K$275),0)</f>
        <v>0</v>
      </c>
      <c r="F61" s="171" cm="1">
        <f t="array" aca="1" ref="F61" ca="1">IF($D61=$F$1, IFERROR(SUM((Décomposition!$H$4:$H$275='List of materials'!$B61)*Décomposition!$K$4:$K$275),0), 0)</f>
        <v>0</v>
      </c>
      <c r="G61" cm="1">
        <f t="array" aca="1" ref="G61" ca="1">IF($D61=$G$1, IFERROR(SUM((Décomposition!$H$4:$H$275='List of materials'!$B61)*Décomposition!$K$4:$K$275),0), 0)</f>
        <v>0</v>
      </c>
      <c r="H61" t="e">
        <f t="shared" ca="1" si="4"/>
        <v>#N/A</v>
      </c>
      <c r="I61" t="e">
        <f ca="1">_xlfn.XLOOKUP(B61,'Baumaterialien Matériaux'!AD:AD,'Baumaterialien Matériaux'!F:F)</f>
        <v>#N/A</v>
      </c>
      <c r="P61">
        <f t="shared" ca="1" si="0"/>
        <v>99.999999999999957</v>
      </c>
      <c r="Q61">
        <f t="shared" si="1"/>
        <v>0</v>
      </c>
      <c r="R61" s="169">
        <f t="shared" si="2"/>
        <v>0</v>
      </c>
    </row>
    <row r="62" spans="2:18">
      <c r="B62" s="1400" cm="1">
        <f t="array" aca="1" ref="B62" ca="1">IFERROR(INDEX(Décomposition!H65:H335,MATCH(0,COUNTIF($B$1:B61,Décomposition!H65:H335),0)),-1)</f>
        <v>-1</v>
      </c>
      <c r="C62" s="171" cm="1">
        <f t="array" aca="1" ref="C62" ca="1">IFERROR(SUM((Décomposition!$H$4:$H$275='List of materials'!B62)*Décomposition!$S$4:$S$275),0)</f>
        <v>0</v>
      </c>
      <c r="D62" s="1401">
        <f ca="1">_xlfn.XLOOKUP(B62, Décomposition!H:H, Décomposition!J:J, 0,0,1)</f>
        <v>0</v>
      </c>
      <c r="E62" s="1402" cm="1">
        <f t="array" aca="1" ref="E62" ca="1">IFERROR(SUM((Décomposition!$H$4:$H$275='List of materials'!$B62)*Décomposition!$K$4:$K$275),0)</f>
        <v>0</v>
      </c>
      <c r="F62" s="171" cm="1">
        <f t="array" aca="1" ref="F62" ca="1">IF($D62=$F$1, IFERROR(SUM((Décomposition!$H$4:$H$275='List of materials'!$B62)*Décomposition!$K$4:$K$275),0), 0)</f>
        <v>0</v>
      </c>
      <c r="G62" cm="1">
        <f t="array" aca="1" ref="G62" ca="1">IF($D62=$G$1, IFERROR(SUM((Décomposition!$H$4:$H$275='List of materials'!$B62)*Décomposition!$K$4:$K$275),0), 0)</f>
        <v>0</v>
      </c>
      <c r="H62" t="e">
        <f t="shared" ca="1" si="4"/>
        <v>#N/A</v>
      </c>
      <c r="I62" t="e">
        <f ca="1">_xlfn.XLOOKUP(B62,'Baumaterialien Matériaux'!AD:AD,'Baumaterialien Matériaux'!F:F)</f>
        <v>#N/A</v>
      </c>
      <c r="P62">
        <f t="shared" ca="1" si="0"/>
        <v>99.999999999999957</v>
      </c>
      <c r="Q62">
        <f t="shared" si="1"/>
        <v>0</v>
      </c>
      <c r="R62" s="169">
        <f t="shared" si="2"/>
        <v>0</v>
      </c>
    </row>
    <row r="63" spans="2:18">
      <c r="B63" s="1400" cm="1">
        <f t="array" aca="1" ref="B63" ca="1">IFERROR(INDEX(Décomposition!H66:H336,MATCH(0,COUNTIF($B$1:B62,Décomposition!H66:H336),0)),-1)</f>
        <v>-1</v>
      </c>
      <c r="C63" s="171" cm="1">
        <f t="array" aca="1" ref="C63" ca="1">IFERROR(SUM((Décomposition!$H$4:$H$275='List of materials'!B63)*Décomposition!$S$4:$S$275),0)</f>
        <v>0</v>
      </c>
      <c r="D63" s="1401">
        <f ca="1">_xlfn.XLOOKUP(B63, Décomposition!H:H, Décomposition!J:J, 0,0,1)</f>
        <v>0</v>
      </c>
      <c r="E63" s="1402" cm="1">
        <f t="array" aca="1" ref="E63" ca="1">IFERROR(SUM((Décomposition!$H$4:$H$275='List of materials'!$B63)*Décomposition!$K$4:$K$275),0)</f>
        <v>0</v>
      </c>
      <c r="F63" s="171" cm="1">
        <f t="array" aca="1" ref="F63" ca="1">IF($D63=$F$1, IFERROR(SUM((Décomposition!$H$4:$H$275='List of materials'!$B63)*Décomposition!$K$4:$K$275),0), 0)</f>
        <v>0</v>
      </c>
      <c r="G63" cm="1">
        <f t="array" aca="1" ref="G63" ca="1">IF($D63=$G$1, IFERROR(SUM((Décomposition!$H$4:$H$275='List of materials'!$B63)*Décomposition!$K$4:$K$275),0), 0)</f>
        <v>0</v>
      </c>
      <c r="H63" t="e">
        <f t="shared" ca="1" si="4"/>
        <v>#N/A</v>
      </c>
      <c r="I63" t="e">
        <f ca="1">_xlfn.XLOOKUP(B63,'Baumaterialien Matériaux'!AD:AD,'Baumaterialien Matériaux'!F:F)</f>
        <v>#N/A</v>
      </c>
      <c r="P63">
        <f t="shared" ca="1" si="0"/>
        <v>99.999999999999957</v>
      </c>
      <c r="Q63">
        <f t="shared" si="1"/>
        <v>0</v>
      </c>
      <c r="R63" s="169">
        <f t="shared" si="2"/>
        <v>0</v>
      </c>
    </row>
    <row r="64" spans="2:18">
      <c r="B64" s="1400" cm="1">
        <f t="array" aca="1" ref="B64" ca="1">IFERROR(INDEX(Décomposition!H67:H337,MATCH(0,COUNTIF($B$1:B63,Décomposition!H67:H337),0)),-1)</f>
        <v>-1</v>
      </c>
      <c r="C64" s="171" cm="1">
        <f t="array" aca="1" ref="C64" ca="1">IFERROR(SUM((Décomposition!$H$4:$H$275='List of materials'!B64)*Décomposition!$S$4:$S$275),0)</f>
        <v>0</v>
      </c>
      <c r="D64" s="1401">
        <f ca="1">_xlfn.XLOOKUP(B64, Décomposition!H:H, Décomposition!J:J, 0,0,1)</f>
        <v>0</v>
      </c>
      <c r="E64" s="1402" cm="1">
        <f t="array" aca="1" ref="E64" ca="1">IFERROR(SUM((Décomposition!$H$4:$H$275='List of materials'!$B64)*Décomposition!$K$4:$K$275),0)</f>
        <v>0</v>
      </c>
      <c r="F64" s="171" cm="1">
        <f t="array" aca="1" ref="F64" ca="1">IF($D64=$F$1, IFERROR(SUM((Décomposition!$H$4:$H$275='List of materials'!$B64)*Décomposition!$K$4:$K$275),0), 0)</f>
        <v>0</v>
      </c>
      <c r="G64" cm="1">
        <f t="array" aca="1" ref="G64" ca="1">IF($D64=$G$1, IFERROR(SUM((Décomposition!$H$4:$H$275='List of materials'!$B64)*Décomposition!$K$4:$K$275),0), 0)</f>
        <v>0</v>
      </c>
      <c r="H64" t="e">
        <f t="shared" ca="1" si="4"/>
        <v>#N/A</v>
      </c>
      <c r="I64" t="e">
        <f ca="1">_xlfn.XLOOKUP(B64,'Baumaterialien Matériaux'!AD:AD,'Baumaterialien Matériaux'!F:F)</f>
        <v>#N/A</v>
      </c>
      <c r="P64">
        <f t="shared" ca="1" si="0"/>
        <v>99.999999999999957</v>
      </c>
      <c r="Q64">
        <f t="shared" si="1"/>
        <v>0</v>
      </c>
      <c r="R64" s="169">
        <f t="shared" si="2"/>
        <v>0</v>
      </c>
    </row>
    <row r="65" spans="2:18">
      <c r="B65" s="1400" cm="1">
        <f t="array" aca="1" ref="B65" ca="1">IFERROR(INDEX(Décomposition!H68:H338,MATCH(0,COUNTIF($B$1:B64,Décomposition!H68:H338),0)),-1)</f>
        <v>-1</v>
      </c>
      <c r="C65" s="171" cm="1">
        <f t="array" aca="1" ref="C65" ca="1">IFERROR(SUM((Décomposition!$H$4:$H$275='List of materials'!B65)*Décomposition!$S$4:$S$275),0)</f>
        <v>0</v>
      </c>
      <c r="D65" s="1401">
        <f ca="1">_xlfn.XLOOKUP(B65, Décomposition!H:H, Décomposition!J:J, 0,0,1)</f>
        <v>0</v>
      </c>
      <c r="E65" s="1402" cm="1">
        <f t="array" aca="1" ref="E65" ca="1">IFERROR(SUM((Décomposition!$H$4:$H$275='List of materials'!$B65)*Décomposition!$K$4:$K$275),0)</f>
        <v>0</v>
      </c>
      <c r="F65" s="171" cm="1">
        <f t="array" aca="1" ref="F65" ca="1">IF($D65=$F$1, IFERROR(SUM((Décomposition!$H$4:$H$275='List of materials'!$B65)*Décomposition!$K$4:$K$275),0), 0)</f>
        <v>0</v>
      </c>
      <c r="G65" cm="1">
        <f t="array" aca="1" ref="G65" ca="1">IF($D65=$G$1, IFERROR(SUM((Décomposition!$H$4:$H$275='List of materials'!$B65)*Décomposition!$K$4:$K$275),0), 0)</f>
        <v>0</v>
      </c>
      <c r="H65" t="e">
        <f t="shared" ca="1" si="4"/>
        <v>#N/A</v>
      </c>
      <c r="I65" t="e">
        <f ca="1">_xlfn.XLOOKUP(B65,'Baumaterialien Matériaux'!AD:AD,'Baumaterialien Matériaux'!F:F)</f>
        <v>#N/A</v>
      </c>
      <c r="P65">
        <f t="shared" ca="1" si="0"/>
        <v>99.999999999999957</v>
      </c>
      <c r="Q65">
        <f t="shared" si="1"/>
        <v>0</v>
      </c>
      <c r="R65" s="169">
        <f t="shared" si="2"/>
        <v>0</v>
      </c>
    </row>
    <row r="66" spans="2:18">
      <c r="B66" s="1400" cm="1">
        <f t="array" aca="1" ref="B66" ca="1">IFERROR(INDEX(Décomposition!H69:H339,MATCH(0,COUNTIF($B$1:B65,Décomposition!H69:H339),0)),-1)</f>
        <v>-1</v>
      </c>
      <c r="C66" s="171" cm="1">
        <f t="array" aca="1" ref="C66" ca="1">IFERROR(SUM((Décomposition!$H$4:$H$275='List of materials'!B66)*Décomposition!$S$4:$S$275),0)</f>
        <v>0</v>
      </c>
      <c r="D66" s="1401">
        <f ca="1">_xlfn.XLOOKUP(B66, Décomposition!H:H, Décomposition!J:J, 0,0,1)</f>
        <v>0</v>
      </c>
      <c r="E66" s="1402" cm="1">
        <f t="array" aca="1" ref="E66" ca="1">IFERROR(SUM((Décomposition!$H$4:$H$275='List of materials'!$B66)*Décomposition!$K$4:$K$275),0)</f>
        <v>0</v>
      </c>
      <c r="F66" s="171" cm="1">
        <f t="array" aca="1" ref="F66" ca="1">IF($D66=$F$1, IFERROR(SUM((Décomposition!$H$4:$H$275='List of materials'!$B66)*Décomposition!$K$4:$K$275),0), 0)</f>
        <v>0</v>
      </c>
      <c r="G66" cm="1">
        <f t="array" aca="1" ref="G66" ca="1">IF($D66=$G$1, IFERROR(SUM((Décomposition!$H$4:$H$275='List of materials'!$B66)*Décomposition!$K$4:$K$275),0), 0)</f>
        <v>0</v>
      </c>
      <c r="H66" t="e">
        <f t="shared" ca="1" si="4"/>
        <v>#N/A</v>
      </c>
      <c r="I66" t="e">
        <f ca="1">_xlfn.XLOOKUP(B66,'Baumaterialien Matériaux'!AD:AD,'Baumaterialien Matériaux'!F:F)</f>
        <v>#N/A</v>
      </c>
      <c r="P66">
        <f t="shared" ca="1" si="0"/>
        <v>99.999999999999957</v>
      </c>
      <c r="Q66">
        <f t="shared" si="1"/>
        <v>0</v>
      </c>
      <c r="R66" s="169">
        <f t="shared" si="2"/>
        <v>0</v>
      </c>
    </row>
    <row r="67" spans="2:18">
      <c r="B67" s="1400" cm="1">
        <f t="array" aca="1" ref="B67" ca="1">IFERROR(INDEX(Décomposition!H70:H340,MATCH(0,COUNTIF($B$1:B66,Décomposition!H70:H340),0)),-1)</f>
        <v>-1</v>
      </c>
      <c r="C67" s="171" cm="1">
        <f t="array" aca="1" ref="C67" ca="1">IFERROR(SUM((Décomposition!$H$4:$H$275='List of materials'!B67)*Décomposition!$S$4:$S$275),0)</f>
        <v>0</v>
      </c>
      <c r="D67" s="1401">
        <f ca="1">_xlfn.XLOOKUP(B67, Décomposition!H:H, Décomposition!J:J, 0,0,1)</f>
        <v>0</v>
      </c>
      <c r="E67" s="1402" cm="1">
        <f t="array" aca="1" ref="E67" ca="1">IFERROR(SUM((Décomposition!$H$4:$H$275='List of materials'!$B67)*Décomposition!$K$4:$K$275),0)</f>
        <v>0</v>
      </c>
      <c r="F67" s="171" cm="1">
        <f t="array" aca="1" ref="F67" ca="1">IF($D67=$F$1, IFERROR(SUM((Décomposition!$H$4:$H$275='List of materials'!$B67)*Décomposition!$K$4:$K$275),0), 0)</f>
        <v>0</v>
      </c>
      <c r="G67" cm="1">
        <f t="array" aca="1" ref="G67" ca="1">IF($D67=$G$1, IFERROR(SUM((Décomposition!$H$4:$H$275='List of materials'!$B67)*Décomposition!$K$4:$K$275),0), 0)</f>
        <v>0</v>
      </c>
      <c r="H67" t="e">
        <f t="shared" ca="1" si="4"/>
        <v>#N/A</v>
      </c>
      <c r="I67" t="e">
        <f ca="1">_xlfn.XLOOKUP(B67,'Baumaterialien Matériaux'!AD:AD,'Baumaterialien Matériaux'!F:F)</f>
        <v>#N/A</v>
      </c>
      <c r="P67">
        <f t="shared" ref="P67:P130" ca="1" si="5">(L67/O$2*100+P66)</f>
        <v>99.999999999999957</v>
      </c>
      <c r="Q67">
        <f t="shared" ref="Q67:Q130" si="6">IF(M67="kg",1,_xlfn.XLOOKUP(K67,Y:Y,Z:Z,0))</f>
        <v>0</v>
      </c>
      <c r="R67" s="169">
        <f t="shared" si="2"/>
        <v>0</v>
      </c>
    </row>
    <row r="68" spans="2:18">
      <c r="B68" s="1400" cm="1">
        <f t="array" aca="1" ref="B68" ca="1">IFERROR(INDEX(Décomposition!H71:H341,MATCH(0,COUNTIF($B$1:B67,Décomposition!H71:H341),0)),-1)</f>
        <v>-1</v>
      </c>
      <c r="C68" s="171" cm="1">
        <f t="array" aca="1" ref="C68" ca="1">IFERROR(SUM((Décomposition!$H$4:$H$275='List of materials'!B68)*Décomposition!$S$4:$S$275),0)</f>
        <v>0</v>
      </c>
      <c r="D68" s="1401">
        <f ca="1">_xlfn.XLOOKUP(B68, Décomposition!H:H, Décomposition!J:J, 0,0,1)</f>
        <v>0</v>
      </c>
      <c r="E68" s="1402" cm="1">
        <f t="array" aca="1" ref="E68" ca="1">IFERROR(SUM((Décomposition!$H$4:$H$275='List of materials'!$B68)*Décomposition!$K$4:$K$275),0)</f>
        <v>0</v>
      </c>
      <c r="F68" s="171" cm="1">
        <f t="array" aca="1" ref="F68" ca="1">IF($D68=$F$1, IFERROR(SUM((Décomposition!$H$4:$H$275='List of materials'!$B68)*Décomposition!$K$4:$K$275),0), 0)</f>
        <v>0</v>
      </c>
      <c r="G68" cm="1">
        <f t="array" aca="1" ref="G68" ca="1">IF($D68=$G$1, IFERROR(SUM((Décomposition!$H$4:$H$275='List of materials'!$B68)*Décomposition!$K$4:$K$275),0), 0)</f>
        <v>0</v>
      </c>
      <c r="H68" t="e">
        <f t="shared" ca="1" si="4"/>
        <v>#N/A</v>
      </c>
      <c r="I68" t="e">
        <f ca="1">_xlfn.XLOOKUP(B68,'Baumaterialien Matériaux'!AD:AD,'Baumaterialien Matériaux'!F:F)</f>
        <v>#N/A</v>
      </c>
      <c r="P68">
        <f t="shared" ca="1" si="5"/>
        <v>99.999999999999957</v>
      </c>
      <c r="Q68">
        <f t="shared" si="6"/>
        <v>0</v>
      </c>
      <c r="R68" s="169">
        <f t="shared" ref="R68:R131" si="7">N68*Q68/1000</f>
        <v>0</v>
      </c>
    </row>
    <row r="69" spans="2:18">
      <c r="B69" s="1400" cm="1">
        <f t="array" aca="1" ref="B69" ca="1">IFERROR(INDEX(Décomposition!H72:H342,MATCH(0,COUNTIF($B$1:B68,Décomposition!H72:H342),0)),-1)</f>
        <v>-1</v>
      </c>
      <c r="C69" s="171" cm="1">
        <f t="array" aca="1" ref="C69" ca="1">IFERROR(SUM((Décomposition!$H$4:$H$275='List of materials'!B69)*Décomposition!$S$4:$S$275),0)</f>
        <v>0</v>
      </c>
      <c r="D69" s="1401">
        <f ca="1">_xlfn.XLOOKUP(B69, Décomposition!H:H, Décomposition!J:J, 0,0,1)</f>
        <v>0</v>
      </c>
      <c r="E69" s="1402" cm="1">
        <f t="array" aca="1" ref="E69" ca="1">IFERROR(SUM((Décomposition!$H$4:$H$275='List of materials'!$B69)*Décomposition!$K$4:$K$275),0)</f>
        <v>0</v>
      </c>
      <c r="F69" s="171" cm="1">
        <f t="array" aca="1" ref="F69" ca="1">IF($D69=$F$1, IFERROR(SUM((Décomposition!$H$4:$H$275='List of materials'!$B69)*Décomposition!$K$4:$K$275),0), 0)</f>
        <v>0</v>
      </c>
      <c r="G69" cm="1">
        <f t="array" aca="1" ref="G69" ca="1">IF($D69=$G$1, IFERROR(SUM((Décomposition!$H$4:$H$275='List of materials'!$B69)*Décomposition!$K$4:$K$275),0), 0)</f>
        <v>0</v>
      </c>
      <c r="H69" t="e">
        <f t="shared" ca="1" si="4"/>
        <v>#N/A</v>
      </c>
      <c r="I69" t="e">
        <f ca="1">_xlfn.XLOOKUP(B69,'Baumaterialien Matériaux'!AD:AD,'Baumaterialien Matériaux'!F:F)</f>
        <v>#N/A</v>
      </c>
      <c r="P69">
        <f t="shared" ca="1" si="5"/>
        <v>99.999999999999957</v>
      </c>
      <c r="Q69">
        <f t="shared" si="6"/>
        <v>0</v>
      </c>
      <c r="R69" s="169">
        <f t="shared" si="7"/>
        <v>0</v>
      </c>
    </row>
    <row r="70" spans="2:18">
      <c r="B70" s="1400"/>
      <c r="P70">
        <f t="shared" ca="1" si="5"/>
        <v>99.999999999999957</v>
      </c>
      <c r="Q70">
        <f t="shared" si="6"/>
        <v>0</v>
      </c>
      <c r="R70" s="169">
        <f t="shared" si="7"/>
        <v>0</v>
      </c>
    </row>
    <row r="71" spans="2:18">
      <c r="B71" s="1400"/>
      <c r="P71">
        <f t="shared" ca="1" si="5"/>
        <v>99.999999999999957</v>
      </c>
      <c r="Q71">
        <f t="shared" si="6"/>
        <v>0</v>
      </c>
      <c r="R71" s="169">
        <f t="shared" si="7"/>
        <v>0</v>
      </c>
    </row>
    <row r="72" spans="2:18">
      <c r="B72" s="1400"/>
      <c r="P72">
        <f t="shared" ca="1" si="5"/>
        <v>99.999999999999957</v>
      </c>
      <c r="Q72">
        <f t="shared" si="6"/>
        <v>0</v>
      </c>
      <c r="R72" s="169">
        <f t="shared" si="7"/>
        <v>0</v>
      </c>
    </row>
    <row r="73" spans="2:18">
      <c r="B73" s="1400"/>
      <c r="P73">
        <f t="shared" ca="1" si="5"/>
        <v>99.999999999999957</v>
      </c>
      <c r="Q73">
        <f t="shared" si="6"/>
        <v>0</v>
      </c>
      <c r="R73" s="169">
        <f t="shared" si="7"/>
        <v>0</v>
      </c>
    </row>
    <row r="74" spans="2:18">
      <c r="B74" s="1400"/>
      <c r="P74">
        <f t="shared" ca="1" si="5"/>
        <v>99.999999999999957</v>
      </c>
      <c r="Q74">
        <f t="shared" si="6"/>
        <v>0</v>
      </c>
      <c r="R74" s="169">
        <f t="shared" si="7"/>
        <v>0</v>
      </c>
    </row>
    <row r="75" spans="2:18">
      <c r="B75" s="1400"/>
      <c r="P75">
        <f t="shared" ca="1" si="5"/>
        <v>99.999999999999957</v>
      </c>
      <c r="Q75">
        <f t="shared" si="6"/>
        <v>0</v>
      </c>
      <c r="R75" s="169">
        <f t="shared" si="7"/>
        <v>0</v>
      </c>
    </row>
    <row r="76" spans="2:18">
      <c r="B76" s="1400"/>
      <c r="P76">
        <f t="shared" ca="1" si="5"/>
        <v>99.999999999999957</v>
      </c>
      <c r="Q76">
        <f t="shared" si="6"/>
        <v>0</v>
      </c>
      <c r="R76" s="169">
        <f t="shared" si="7"/>
        <v>0</v>
      </c>
    </row>
    <row r="77" spans="2:18">
      <c r="B77" s="1400"/>
      <c r="P77">
        <f t="shared" ca="1" si="5"/>
        <v>99.999999999999957</v>
      </c>
      <c r="Q77">
        <f t="shared" si="6"/>
        <v>0</v>
      </c>
      <c r="R77" s="169">
        <f t="shared" si="7"/>
        <v>0</v>
      </c>
    </row>
    <row r="78" spans="2:18">
      <c r="B78" s="1400"/>
      <c r="P78">
        <f t="shared" ca="1" si="5"/>
        <v>99.999999999999957</v>
      </c>
      <c r="Q78">
        <f t="shared" si="6"/>
        <v>0</v>
      </c>
      <c r="R78" s="169">
        <f t="shared" si="7"/>
        <v>0</v>
      </c>
    </row>
    <row r="79" spans="2:18">
      <c r="B79" s="1400"/>
      <c r="P79">
        <f t="shared" ca="1" si="5"/>
        <v>99.999999999999957</v>
      </c>
      <c r="Q79">
        <f t="shared" si="6"/>
        <v>0</v>
      </c>
      <c r="R79" s="169">
        <f t="shared" si="7"/>
        <v>0</v>
      </c>
    </row>
    <row r="80" spans="2:18">
      <c r="B80" s="1400"/>
      <c r="P80">
        <f t="shared" ca="1" si="5"/>
        <v>99.999999999999957</v>
      </c>
      <c r="Q80">
        <f t="shared" si="6"/>
        <v>0</v>
      </c>
      <c r="R80" s="169">
        <f t="shared" si="7"/>
        <v>0</v>
      </c>
    </row>
    <row r="81" spans="2:18">
      <c r="B81" s="1400"/>
      <c r="P81">
        <f t="shared" ca="1" si="5"/>
        <v>99.999999999999957</v>
      </c>
      <c r="Q81">
        <f t="shared" si="6"/>
        <v>0</v>
      </c>
      <c r="R81" s="169">
        <f t="shared" si="7"/>
        <v>0</v>
      </c>
    </row>
    <row r="82" spans="2:18">
      <c r="B82" s="1400"/>
      <c r="P82">
        <f t="shared" ca="1" si="5"/>
        <v>99.999999999999957</v>
      </c>
      <c r="Q82">
        <f t="shared" si="6"/>
        <v>0</v>
      </c>
      <c r="R82" s="169">
        <f t="shared" si="7"/>
        <v>0</v>
      </c>
    </row>
    <row r="83" spans="2:18">
      <c r="B83" s="1400"/>
      <c r="P83">
        <f t="shared" ca="1" si="5"/>
        <v>99.999999999999957</v>
      </c>
      <c r="Q83">
        <f t="shared" si="6"/>
        <v>0</v>
      </c>
      <c r="R83" s="169">
        <f t="shared" si="7"/>
        <v>0</v>
      </c>
    </row>
    <row r="84" spans="2:18">
      <c r="B84" s="1400"/>
      <c r="P84">
        <f t="shared" ca="1" si="5"/>
        <v>99.999999999999957</v>
      </c>
      <c r="Q84">
        <f t="shared" si="6"/>
        <v>0</v>
      </c>
      <c r="R84" s="169">
        <f t="shared" si="7"/>
        <v>0</v>
      </c>
    </row>
    <row r="85" spans="2:18">
      <c r="B85" s="1400"/>
      <c r="P85">
        <f t="shared" ca="1" si="5"/>
        <v>99.999999999999957</v>
      </c>
      <c r="Q85">
        <f t="shared" si="6"/>
        <v>0</v>
      </c>
      <c r="R85" s="169">
        <f t="shared" si="7"/>
        <v>0</v>
      </c>
    </row>
    <row r="86" spans="2:18">
      <c r="B86" s="1400"/>
      <c r="P86">
        <f t="shared" ca="1" si="5"/>
        <v>99.999999999999957</v>
      </c>
      <c r="Q86">
        <f t="shared" si="6"/>
        <v>0</v>
      </c>
      <c r="R86" s="169">
        <f t="shared" si="7"/>
        <v>0</v>
      </c>
    </row>
    <row r="87" spans="2:18">
      <c r="B87" s="1400"/>
      <c r="P87">
        <f t="shared" ca="1" si="5"/>
        <v>99.999999999999957</v>
      </c>
      <c r="Q87">
        <f t="shared" si="6"/>
        <v>0</v>
      </c>
      <c r="R87" s="169">
        <f t="shared" si="7"/>
        <v>0</v>
      </c>
    </row>
    <row r="88" spans="2:18">
      <c r="B88" s="1400"/>
      <c r="P88">
        <f t="shared" ca="1" si="5"/>
        <v>99.999999999999957</v>
      </c>
      <c r="Q88">
        <f t="shared" si="6"/>
        <v>0</v>
      </c>
      <c r="R88" s="169">
        <f t="shared" si="7"/>
        <v>0</v>
      </c>
    </row>
    <row r="89" spans="2:18">
      <c r="B89" s="1400"/>
      <c r="P89">
        <f t="shared" ca="1" si="5"/>
        <v>99.999999999999957</v>
      </c>
      <c r="Q89">
        <f t="shared" si="6"/>
        <v>0</v>
      </c>
      <c r="R89" s="169">
        <f t="shared" si="7"/>
        <v>0</v>
      </c>
    </row>
    <row r="90" spans="2:18">
      <c r="B90" s="1400"/>
      <c r="P90">
        <f t="shared" ca="1" si="5"/>
        <v>99.999999999999957</v>
      </c>
      <c r="Q90">
        <f t="shared" si="6"/>
        <v>0</v>
      </c>
      <c r="R90" s="169">
        <f t="shared" si="7"/>
        <v>0</v>
      </c>
    </row>
    <row r="91" spans="2:18">
      <c r="B91" s="1400"/>
      <c r="P91">
        <f t="shared" ca="1" si="5"/>
        <v>99.999999999999957</v>
      </c>
      <c r="Q91">
        <f t="shared" si="6"/>
        <v>0</v>
      </c>
      <c r="R91" s="169">
        <f t="shared" si="7"/>
        <v>0</v>
      </c>
    </row>
    <row r="92" spans="2:18">
      <c r="B92" s="1400"/>
      <c r="P92">
        <f t="shared" ca="1" si="5"/>
        <v>99.999999999999957</v>
      </c>
      <c r="Q92">
        <f t="shared" si="6"/>
        <v>0</v>
      </c>
      <c r="R92" s="169">
        <f t="shared" si="7"/>
        <v>0</v>
      </c>
    </row>
    <row r="93" spans="2:18">
      <c r="B93" s="1400"/>
      <c r="P93">
        <f t="shared" ca="1" si="5"/>
        <v>99.999999999999957</v>
      </c>
      <c r="Q93">
        <f t="shared" si="6"/>
        <v>0</v>
      </c>
      <c r="R93" s="169">
        <f t="shared" si="7"/>
        <v>0</v>
      </c>
    </row>
    <row r="94" spans="2:18">
      <c r="B94" s="1400"/>
      <c r="P94">
        <f t="shared" ca="1" si="5"/>
        <v>99.999999999999957</v>
      </c>
      <c r="Q94">
        <f t="shared" si="6"/>
        <v>0</v>
      </c>
      <c r="R94" s="169">
        <f t="shared" si="7"/>
        <v>0</v>
      </c>
    </row>
    <row r="95" spans="2:18">
      <c r="B95" s="1400"/>
      <c r="P95">
        <f t="shared" ca="1" si="5"/>
        <v>99.999999999999957</v>
      </c>
      <c r="Q95">
        <f t="shared" si="6"/>
        <v>0</v>
      </c>
      <c r="R95" s="169">
        <f t="shared" si="7"/>
        <v>0</v>
      </c>
    </row>
    <row r="96" spans="2:18">
      <c r="B96" s="1400"/>
      <c r="P96">
        <f t="shared" ca="1" si="5"/>
        <v>99.999999999999957</v>
      </c>
      <c r="Q96">
        <f t="shared" si="6"/>
        <v>0</v>
      </c>
      <c r="R96" s="169">
        <f t="shared" si="7"/>
        <v>0</v>
      </c>
    </row>
    <row r="97" spans="2:18">
      <c r="B97" s="1400"/>
      <c r="P97">
        <f t="shared" ca="1" si="5"/>
        <v>99.999999999999957</v>
      </c>
      <c r="Q97">
        <f t="shared" si="6"/>
        <v>0</v>
      </c>
      <c r="R97" s="169">
        <f t="shared" si="7"/>
        <v>0</v>
      </c>
    </row>
    <row r="98" spans="2:18">
      <c r="B98" s="1400"/>
      <c r="P98">
        <f t="shared" ca="1" si="5"/>
        <v>99.999999999999957</v>
      </c>
      <c r="Q98">
        <f t="shared" si="6"/>
        <v>0</v>
      </c>
      <c r="R98" s="169">
        <f t="shared" si="7"/>
        <v>0</v>
      </c>
    </row>
    <row r="99" spans="2:18">
      <c r="B99" s="1400"/>
      <c r="P99">
        <f t="shared" ca="1" si="5"/>
        <v>99.999999999999957</v>
      </c>
      <c r="Q99">
        <f t="shared" si="6"/>
        <v>0</v>
      </c>
      <c r="R99" s="169">
        <f t="shared" si="7"/>
        <v>0</v>
      </c>
    </row>
    <row r="100" spans="2:18">
      <c r="B100" s="1400"/>
      <c r="P100">
        <f t="shared" ca="1" si="5"/>
        <v>99.999999999999957</v>
      </c>
      <c r="Q100">
        <f t="shared" si="6"/>
        <v>0</v>
      </c>
      <c r="R100" s="169">
        <f t="shared" si="7"/>
        <v>0</v>
      </c>
    </row>
    <row r="101" spans="2:18">
      <c r="B101" s="1400"/>
      <c r="P101">
        <f t="shared" ca="1" si="5"/>
        <v>99.999999999999957</v>
      </c>
      <c r="Q101">
        <f t="shared" si="6"/>
        <v>0</v>
      </c>
      <c r="R101" s="169">
        <f t="shared" si="7"/>
        <v>0</v>
      </c>
    </row>
    <row r="102" spans="2:18">
      <c r="B102" s="1400"/>
      <c r="P102">
        <f t="shared" ca="1" si="5"/>
        <v>99.999999999999957</v>
      </c>
      <c r="Q102">
        <f t="shared" si="6"/>
        <v>0</v>
      </c>
      <c r="R102" s="169">
        <f t="shared" si="7"/>
        <v>0</v>
      </c>
    </row>
    <row r="103" spans="2:18">
      <c r="B103" s="1400"/>
      <c r="P103">
        <f t="shared" ca="1" si="5"/>
        <v>99.999999999999957</v>
      </c>
      <c r="Q103">
        <f t="shared" si="6"/>
        <v>0</v>
      </c>
      <c r="R103" s="169">
        <f t="shared" si="7"/>
        <v>0</v>
      </c>
    </row>
    <row r="104" spans="2:18">
      <c r="B104" s="1400"/>
      <c r="P104">
        <f t="shared" ca="1" si="5"/>
        <v>99.999999999999957</v>
      </c>
      <c r="Q104">
        <f t="shared" si="6"/>
        <v>0</v>
      </c>
      <c r="R104" s="169">
        <f t="shared" si="7"/>
        <v>0</v>
      </c>
    </row>
    <row r="105" spans="2:18">
      <c r="B105" s="1400"/>
      <c r="P105">
        <f t="shared" ca="1" si="5"/>
        <v>99.999999999999957</v>
      </c>
      <c r="Q105">
        <f t="shared" si="6"/>
        <v>0</v>
      </c>
      <c r="R105" s="169">
        <f t="shared" si="7"/>
        <v>0</v>
      </c>
    </row>
    <row r="106" spans="2:18">
      <c r="B106" s="1400"/>
      <c r="P106">
        <f t="shared" ca="1" si="5"/>
        <v>99.999999999999957</v>
      </c>
      <c r="Q106">
        <f t="shared" si="6"/>
        <v>0</v>
      </c>
      <c r="R106" s="169">
        <f t="shared" si="7"/>
        <v>0</v>
      </c>
    </row>
    <row r="107" spans="2:18">
      <c r="B107" s="1400"/>
      <c r="P107">
        <f t="shared" ca="1" si="5"/>
        <v>99.999999999999957</v>
      </c>
      <c r="Q107">
        <f t="shared" si="6"/>
        <v>0</v>
      </c>
      <c r="R107" s="169">
        <f t="shared" si="7"/>
        <v>0</v>
      </c>
    </row>
    <row r="108" spans="2:18">
      <c r="B108" s="1400"/>
      <c r="P108">
        <f t="shared" ca="1" si="5"/>
        <v>99.999999999999957</v>
      </c>
      <c r="Q108">
        <f t="shared" si="6"/>
        <v>0</v>
      </c>
      <c r="R108" s="169">
        <f t="shared" si="7"/>
        <v>0</v>
      </c>
    </row>
    <row r="109" spans="2:18">
      <c r="B109" s="1400"/>
      <c r="P109">
        <f t="shared" ca="1" si="5"/>
        <v>99.999999999999957</v>
      </c>
      <c r="Q109">
        <f t="shared" si="6"/>
        <v>0</v>
      </c>
      <c r="R109" s="169">
        <f t="shared" si="7"/>
        <v>0</v>
      </c>
    </row>
    <row r="110" spans="2:18">
      <c r="B110" s="1400"/>
      <c r="P110">
        <f t="shared" ca="1" si="5"/>
        <v>99.999999999999957</v>
      </c>
      <c r="Q110">
        <f t="shared" si="6"/>
        <v>0</v>
      </c>
      <c r="R110" s="169">
        <f t="shared" si="7"/>
        <v>0</v>
      </c>
    </row>
    <row r="111" spans="2:18">
      <c r="B111" s="1400"/>
      <c r="P111">
        <f t="shared" ca="1" si="5"/>
        <v>99.999999999999957</v>
      </c>
      <c r="Q111">
        <f t="shared" si="6"/>
        <v>0</v>
      </c>
      <c r="R111" s="169">
        <f t="shared" si="7"/>
        <v>0</v>
      </c>
    </row>
    <row r="112" spans="2:18">
      <c r="B112" s="1400"/>
      <c r="P112">
        <f t="shared" ca="1" si="5"/>
        <v>99.999999999999957</v>
      </c>
      <c r="Q112">
        <f t="shared" si="6"/>
        <v>0</v>
      </c>
      <c r="R112" s="169">
        <f t="shared" si="7"/>
        <v>0</v>
      </c>
    </row>
    <row r="113" spans="2:18">
      <c r="B113" s="1400"/>
      <c r="P113">
        <f t="shared" ca="1" si="5"/>
        <v>99.999999999999957</v>
      </c>
      <c r="Q113">
        <f t="shared" si="6"/>
        <v>0</v>
      </c>
      <c r="R113" s="169">
        <f t="shared" si="7"/>
        <v>0</v>
      </c>
    </row>
    <row r="114" spans="2:18">
      <c r="B114" s="1400"/>
      <c r="P114">
        <f t="shared" ca="1" si="5"/>
        <v>99.999999999999957</v>
      </c>
      <c r="Q114">
        <f t="shared" si="6"/>
        <v>0</v>
      </c>
      <c r="R114" s="169">
        <f t="shared" si="7"/>
        <v>0</v>
      </c>
    </row>
    <row r="115" spans="2:18">
      <c r="B115" s="1400"/>
      <c r="P115">
        <f t="shared" ca="1" si="5"/>
        <v>99.999999999999957</v>
      </c>
      <c r="Q115">
        <f t="shared" si="6"/>
        <v>0</v>
      </c>
      <c r="R115" s="169">
        <f t="shared" si="7"/>
        <v>0</v>
      </c>
    </row>
    <row r="116" spans="2:18">
      <c r="B116" s="1400"/>
      <c r="P116">
        <f t="shared" ca="1" si="5"/>
        <v>99.999999999999957</v>
      </c>
      <c r="Q116">
        <f t="shared" si="6"/>
        <v>0</v>
      </c>
      <c r="R116" s="169">
        <f t="shared" si="7"/>
        <v>0</v>
      </c>
    </row>
    <row r="117" spans="2:18">
      <c r="B117" s="1400"/>
      <c r="P117">
        <f t="shared" ca="1" si="5"/>
        <v>99.999999999999957</v>
      </c>
      <c r="Q117">
        <f t="shared" si="6"/>
        <v>0</v>
      </c>
      <c r="R117" s="169">
        <f t="shared" si="7"/>
        <v>0</v>
      </c>
    </row>
    <row r="118" spans="2:18">
      <c r="B118" s="1400"/>
      <c r="P118">
        <f t="shared" ca="1" si="5"/>
        <v>99.999999999999957</v>
      </c>
      <c r="Q118">
        <f t="shared" si="6"/>
        <v>0</v>
      </c>
      <c r="R118" s="169">
        <f t="shared" si="7"/>
        <v>0</v>
      </c>
    </row>
    <row r="119" spans="2:18">
      <c r="B119" s="1400"/>
      <c r="P119">
        <f t="shared" ca="1" si="5"/>
        <v>99.999999999999957</v>
      </c>
      <c r="Q119">
        <f t="shared" si="6"/>
        <v>0</v>
      </c>
      <c r="R119" s="169">
        <f t="shared" si="7"/>
        <v>0</v>
      </c>
    </row>
    <row r="120" spans="2:18">
      <c r="B120" s="1400"/>
      <c r="P120">
        <f t="shared" ca="1" si="5"/>
        <v>99.999999999999957</v>
      </c>
      <c r="Q120">
        <f t="shared" si="6"/>
        <v>0</v>
      </c>
      <c r="R120" s="169">
        <f t="shared" si="7"/>
        <v>0</v>
      </c>
    </row>
    <row r="121" spans="2:18">
      <c r="B121" s="1400"/>
      <c r="P121">
        <f t="shared" ca="1" si="5"/>
        <v>99.999999999999957</v>
      </c>
      <c r="Q121">
        <f t="shared" si="6"/>
        <v>0</v>
      </c>
      <c r="R121" s="169">
        <f t="shared" si="7"/>
        <v>0</v>
      </c>
    </row>
    <row r="122" spans="2:18">
      <c r="B122" s="1400"/>
      <c r="P122">
        <f t="shared" ca="1" si="5"/>
        <v>99.999999999999957</v>
      </c>
      <c r="Q122">
        <f t="shared" si="6"/>
        <v>0</v>
      </c>
      <c r="R122" s="169">
        <f t="shared" si="7"/>
        <v>0</v>
      </c>
    </row>
    <row r="123" spans="2:18">
      <c r="B123" s="1400"/>
      <c r="P123">
        <f t="shared" ca="1" si="5"/>
        <v>99.999999999999957</v>
      </c>
      <c r="Q123">
        <f t="shared" si="6"/>
        <v>0</v>
      </c>
      <c r="R123" s="169">
        <f t="shared" si="7"/>
        <v>0</v>
      </c>
    </row>
    <row r="124" spans="2:18">
      <c r="B124" s="1400"/>
      <c r="P124">
        <f t="shared" ca="1" si="5"/>
        <v>99.999999999999957</v>
      </c>
      <c r="Q124">
        <f t="shared" si="6"/>
        <v>0</v>
      </c>
      <c r="R124" s="169">
        <f t="shared" si="7"/>
        <v>0</v>
      </c>
    </row>
    <row r="125" spans="2:18">
      <c r="B125" s="1400"/>
      <c r="P125">
        <f t="shared" ca="1" si="5"/>
        <v>99.999999999999957</v>
      </c>
      <c r="Q125">
        <f t="shared" si="6"/>
        <v>0</v>
      </c>
      <c r="R125" s="169">
        <f t="shared" si="7"/>
        <v>0</v>
      </c>
    </row>
    <row r="126" spans="2:18">
      <c r="B126" s="1400"/>
      <c r="P126">
        <f t="shared" ca="1" si="5"/>
        <v>99.999999999999957</v>
      </c>
      <c r="Q126">
        <f t="shared" si="6"/>
        <v>0</v>
      </c>
      <c r="R126" s="169">
        <f t="shared" si="7"/>
        <v>0</v>
      </c>
    </row>
    <row r="127" spans="2:18">
      <c r="B127" s="1400"/>
      <c r="P127">
        <f t="shared" ca="1" si="5"/>
        <v>99.999999999999957</v>
      </c>
      <c r="Q127">
        <f t="shared" si="6"/>
        <v>0</v>
      </c>
      <c r="R127" s="169">
        <f t="shared" si="7"/>
        <v>0</v>
      </c>
    </row>
    <row r="128" spans="2:18">
      <c r="B128" s="1400"/>
      <c r="P128">
        <f t="shared" ca="1" si="5"/>
        <v>99.999999999999957</v>
      </c>
      <c r="Q128">
        <f t="shared" si="6"/>
        <v>0</v>
      </c>
      <c r="R128" s="169">
        <f t="shared" si="7"/>
        <v>0</v>
      </c>
    </row>
    <row r="129" spans="2:18">
      <c r="B129" s="1400"/>
      <c r="P129">
        <f t="shared" ca="1" si="5"/>
        <v>99.999999999999957</v>
      </c>
      <c r="Q129">
        <f t="shared" si="6"/>
        <v>0</v>
      </c>
      <c r="R129" s="169">
        <f t="shared" si="7"/>
        <v>0</v>
      </c>
    </row>
    <row r="130" spans="2:18">
      <c r="B130" s="1400"/>
      <c r="P130">
        <f t="shared" ca="1" si="5"/>
        <v>99.999999999999957</v>
      </c>
      <c r="Q130">
        <f t="shared" si="6"/>
        <v>0</v>
      </c>
      <c r="R130" s="169">
        <f t="shared" si="7"/>
        <v>0</v>
      </c>
    </row>
    <row r="131" spans="2:18">
      <c r="B131" s="1400"/>
      <c r="P131">
        <f t="shared" ref="P131:P194" ca="1" si="8">(L131/O$2*100+P130)</f>
        <v>99.999999999999957</v>
      </c>
      <c r="Q131">
        <f t="shared" ref="Q131:Q194" si="9">IF(M131="kg",1,_xlfn.XLOOKUP(K131,Y:Y,Z:Z,0))</f>
        <v>0</v>
      </c>
      <c r="R131" s="169">
        <f t="shared" si="7"/>
        <v>0</v>
      </c>
    </row>
    <row r="132" spans="2:18">
      <c r="B132" s="1400"/>
      <c r="P132">
        <f t="shared" ca="1" si="8"/>
        <v>99.999999999999957</v>
      </c>
      <c r="Q132">
        <f t="shared" si="9"/>
        <v>0</v>
      </c>
      <c r="R132" s="169">
        <f t="shared" ref="R132:R195" si="10">N132*Q132/1000</f>
        <v>0</v>
      </c>
    </row>
    <row r="133" spans="2:18">
      <c r="B133" s="1400"/>
      <c r="P133">
        <f t="shared" ca="1" si="8"/>
        <v>99.999999999999957</v>
      </c>
      <c r="Q133">
        <f t="shared" si="9"/>
        <v>0</v>
      </c>
      <c r="R133" s="169">
        <f t="shared" si="10"/>
        <v>0</v>
      </c>
    </row>
    <row r="134" spans="2:18">
      <c r="B134" s="1400"/>
      <c r="P134">
        <f t="shared" ca="1" si="8"/>
        <v>99.999999999999957</v>
      </c>
      <c r="Q134">
        <f t="shared" si="9"/>
        <v>0</v>
      </c>
      <c r="R134" s="169">
        <f t="shared" si="10"/>
        <v>0</v>
      </c>
    </row>
    <row r="135" spans="2:18">
      <c r="B135" s="1400"/>
      <c r="P135">
        <f t="shared" ca="1" si="8"/>
        <v>99.999999999999957</v>
      </c>
      <c r="Q135">
        <f t="shared" si="9"/>
        <v>0</v>
      </c>
      <c r="R135" s="169">
        <f t="shared" si="10"/>
        <v>0</v>
      </c>
    </row>
    <row r="136" spans="2:18">
      <c r="B136" s="1400"/>
      <c r="P136">
        <f t="shared" ca="1" si="8"/>
        <v>99.999999999999957</v>
      </c>
      <c r="Q136">
        <f t="shared" si="9"/>
        <v>0</v>
      </c>
      <c r="R136" s="169">
        <f t="shared" si="10"/>
        <v>0</v>
      </c>
    </row>
    <row r="137" spans="2:18">
      <c r="B137" s="1400"/>
      <c r="P137">
        <f t="shared" ca="1" si="8"/>
        <v>99.999999999999957</v>
      </c>
      <c r="Q137">
        <f t="shared" si="9"/>
        <v>0</v>
      </c>
      <c r="R137" s="169">
        <f t="shared" si="10"/>
        <v>0</v>
      </c>
    </row>
    <row r="138" spans="2:18">
      <c r="B138" s="1400"/>
      <c r="P138">
        <f t="shared" ca="1" si="8"/>
        <v>99.999999999999957</v>
      </c>
      <c r="Q138">
        <f t="shared" si="9"/>
        <v>0</v>
      </c>
      <c r="R138" s="169">
        <f t="shared" si="10"/>
        <v>0</v>
      </c>
    </row>
    <row r="139" spans="2:18">
      <c r="B139" s="1400"/>
      <c r="P139">
        <f t="shared" ca="1" si="8"/>
        <v>99.999999999999957</v>
      </c>
      <c r="Q139">
        <f t="shared" si="9"/>
        <v>0</v>
      </c>
      <c r="R139" s="169">
        <f t="shared" si="10"/>
        <v>0</v>
      </c>
    </row>
    <row r="140" spans="2:18">
      <c r="B140" s="1400"/>
      <c r="P140">
        <f t="shared" ca="1" si="8"/>
        <v>99.999999999999957</v>
      </c>
      <c r="Q140">
        <f t="shared" si="9"/>
        <v>0</v>
      </c>
      <c r="R140" s="169">
        <f t="shared" si="10"/>
        <v>0</v>
      </c>
    </row>
    <row r="141" spans="2:18">
      <c r="B141" s="1400"/>
      <c r="P141">
        <f t="shared" ca="1" si="8"/>
        <v>99.999999999999957</v>
      </c>
      <c r="Q141">
        <f t="shared" si="9"/>
        <v>0</v>
      </c>
      <c r="R141" s="169">
        <f t="shared" si="10"/>
        <v>0</v>
      </c>
    </row>
    <row r="142" spans="2:18">
      <c r="B142" s="1400"/>
      <c r="P142">
        <f t="shared" ca="1" si="8"/>
        <v>99.999999999999957</v>
      </c>
      <c r="Q142">
        <f t="shared" si="9"/>
        <v>0</v>
      </c>
      <c r="R142" s="169">
        <f t="shared" si="10"/>
        <v>0</v>
      </c>
    </row>
    <row r="143" spans="2:18">
      <c r="B143" s="1400"/>
      <c r="P143">
        <f t="shared" ca="1" si="8"/>
        <v>99.999999999999957</v>
      </c>
      <c r="Q143">
        <f t="shared" si="9"/>
        <v>0</v>
      </c>
      <c r="R143" s="169">
        <f t="shared" si="10"/>
        <v>0</v>
      </c>
    </row>
    <row r="144" spans="2:18">
      <c r="B144" s="1400"/>
      <c r="P144">
        <f t="shared" ca="1" si="8"/>
        <v>99.999999999999957</v>
      </c>
      <c r="Q144">
        <f t="shared" si="9"/>
        <v>0</v>
      </c>
      <c r="R144" s="169">
        <f t="shared" si="10"/>
        <v>0</v>
      </c>
    </row>
    <row r="145" spans="2:18">
      <c r="B145" s="1400"/>
      <c r="P145">
        <f t="shared" ca="1" si="8"/>
        <v>99.999999999999957</v>
      </c>
      <c r="Q145">
        <f t="shared" si="9"/>
        <v>0</v>
      </c>
      <c r="R145" s="169">
        <f t="shared" si="10"/>
        <v>0</v>
      </c>
    </row>
    <row r="146" spans="2:18">
      <c r="B146" s="1400"/>
      <c r="P146">
        <f t="shared" ca="1" si="8"/>
        <v>99.999999999999957</v>
      </c>
      <c r="Q146">
        <f t="shared" si="9"/>
        <v>0</v>
      </c>
      <c r="R146" s="169">
        <f t="shared" si="10"/>
        <v>0</v>
      </c>
    </row>
    <row r="147" spans="2:18">
      <c r="B147" s="1400"/>
      <c r="P147">
        <f t="shared" ca="1" si="8"/>
        <v>99.999999999999957</v>
      </c>
      <c r="Q147">
        <f t="shared" si="9"/>
        <v>0</v>
      </c>
      <c r="R147" s="169">
        <f t="shared" si="10"/>
        <v>0</v>
      </c>
    </row>
    <row r="148" spans="2:18">
      <c r="B148" s="1400"/>
      <c r="P148">
        <f t="shared" ca="1" si="8"/>
        <v>99.999999999999957</v>
      </c>
      <c r="Q148">
        <f t="shared" si="9"/>
        <v>0</v>
      </c>
      <c r="R148" s="169">
        <f t="shared" si="10"/>
        <v>0</v>
      </c>
    </row>
    <row r="149" spans="2:18">
      <c r="B149" s="1400"/>
      <c r="P149">
        <f t="shared" ca="1" si="8"/>
        <v>99.999999999999957</v>
      </c>
      <c r="Q149">
        <f t="shared" si="9"/>
        <v>0</v>
      </c>
      <c r="R149" s="169">
        <f t="shared" si="10"/>
        <v>0</v>
      </c>
    </row>
    <row r="150" spans="2:18">
      <c r="B150" s="1400"/>
      <c r="P150">
        <f t="shared" ca="1" si="8"/>
        <v>99.999999999999957</v>
      </c>
      <c r="Q150">
        <f t="shared" si="9"/>
        <v>0</v>
      </c>
      <c r="R150" s="169">
        <f t="shared" si="10"/>
        <v>0</v>
      </c>
    </row>
    <row r="151" spans="2:18">
      <c r="B151" s="1400"/>
      <c r="P151">
        <f t="shared" ca="1" si="8"/>
        <v>99.999999999999957</v>
      </c>
      <c r="Q151">
        <f t="shared" si="9"/>
        <v>0</v>
      </c>
      <c r="R151" s="169">
        <f t="shared" si="10"/>
        <v>0</v>
      </c>
    </row>
    <row r="152" spans="2:18">
      <c r="B152" s="1400"/>
      <c r="P152">
        <f t="shared" ca="1" si="8"/>
        <v>99.999999999999957</v>
      </c>
      <c r="Q152">
        <f t="shared" si="9"/>
        <v>0</v>
      </c>
      <c r="R152" s="169">
        <f t="shared" si="10"/>
        <v>0</v>
      </c>
    </row>
    <row r="153" spans="2:18">
      <c r="B153" s="1400"/>
      <c r="P153">
        <f t="shared" ca="1" si="8"/>
        <v>99.999999999999957</v>
      </c>
      <c r="Q153">
        <f t="shared" si="9"/>
        <v>0</v>
      </c>
      <c r="R153" s="169">
        <f t="shared" si="10"/>
        <v>0</v>
      </c>
    </row>
    <row r="154" spans="2:18">
      <c r="B154" s="1400"/>
      <c r="P154">
        <f t="shared" ca="1" si="8"/>
        <v>99.999999999999957</v>
      </c>
      <c r="Q154">
        <f t="shared" si="9"/>
        <v>0</v>
      </c>
      <c r="R154" s="169">
        <f t="shared" si="10"/>
        <v>0</v>
      </c>
    </row>
    <row r="155" spans="2:18">
      <c r="B155" s="1400"/>
      <c r="P155">
        <f t="shared" ca="1" si="8"/>
        <v>99.999999999999957</v>
      </c>
      <c r="Q155">
        <f t="shared" si="9"/>
        <v>0</v>
      </c>
      <c r="R155" s="169">
        <f t="shared" si="10"/>
        <v>0</v>
      </c>
    </row>
    <row r="156" spans="2:18">
      <c r="B156" s="1400"/>
      <c r="P156">
        <f t="shared" ca="1" si="8"/>
        <v>99.999999999999957</v>
      </c>
      <c r="Q156">
        <f t="shared" si="9"/>
        <v>0</v>
      </c>
      <c r="R156" s="169">
        <f t="shared" si="10"/>
        <v>0</v>
      </c>
    </row>
    <row r="157" spans="2:18">
      <c r="B157" s="1400"/>
      <c r="P157">
        <f t="shared" ca="1" si="8"/>
        <v>99.999999999999957</v>
      </c>
      <c r="Q157">
        <f t="shared" si="9"/>
        <v>0</v>
      </c>
      <c r="R157" s="169">
        <f t="shared" si="10"/>
        <v>0</v>
      </c>
    </row>
    <row r="158" spans="2:18">
      <c r="B158" s="1400"/>
      <c r="P158">
        <f t="shared" ca="1" si="8"/>
        <v>99.999999999999957</v>
      </c>
      <c r="Q158">
        <f t="shared" si="9"/>
        <v>0</v>
      </c>
      <c r="R158" s="169">
        <f t="shared" si="10"/>
        <v>0</v>
      </c>
    </row>
    <row r="159" spans="2:18">
      <c r="B159" s="1400"/>
      <c r="P159">
        <f t="shared" ca="1" si="8"/>
        <v>99.999999999999957</v>
      </c>
      <c r="Q159">
        <f t="shared" si="9"/>
        <v>0</v>
      </c>
      <c r="R159" s="169">
        <f t="shared" si="10"/>
        <v>0</v>
      </c>
    </row>
    <row r="160" spans="2:18">
      <c r="B160" s="1400"/>
      <c r="P160">
        <f t="shared" ca="1" si="8"/>
        <v>99.999999999999957</v>
      </c>
      <c r="Q160">
        <f t="shared" si="9"/>
        <v>0</v>
      </c>
      <c r="R160" s="169">
        <f t="shared" si="10"/>
        <v>0</v>
      </c>
    </row>
    <row r="161" spans="2:18">
      <c r="B161" s="1400"/>
      <c r="P161">
        <f t="shared" ca="1" si="8"/>
        <v>99.999999999999957</v>
      </c>
      <c r="Q161">
        <f t="shared" si="9"/>
        <v>0</v>
      </c>
      <c r="R161" s="169">
        <f t="shared" si="10"/>
        <v>0</v>
      </c>
    </row>
    <row r="162" spans="2:18">
      <c r="B162" s="1400"/>
      <c r="P162">
        <f t="shared" ca="1" si="8"/>
        <v>99.999999999999957</v>
      </c>
      <c r="Q162">
        <f t="shared" si="9"/>
        <v>0</v>
      </c>
      <c r="R162" s="169">
        <f t="shared" si="10"/>
        <v>0</v>
      </c>
    </row>
    <row r="163" spans="2:18">
      <c r="B163" s="1400"/>
      <c r="P163">
        <f t="shared" ca="1" si="8"/>
        <v>99.999999999999957</v>
      </c>
      <c r="Q163">
        <f t="shared" si="9"/>
        <v>0</v>
      </c>
      <c r="R163" s="169">
        <f t="shared" si="10"/>
        <v>0</v>
      </c>
    </row>
    <row r="164" spans="2:18">
      <c r="B164" s="1400"/>
      <c r="P164">
        <f t="shared" ca="1" si="8"/>
        <v>99.999999999999957</v>
      </c>
      <c r="Q164">
        <f t="shared" si="9"/>
        <v>0</v>
      </c>
      <c r="R164" s="169">
        <f t="shared" si="10"/>
        <v>0</v>
      </c>
    </row>
    <row r="165" spans="2:18">
      <c r="B165" s="1400"/>
      <c r="P165">
        <f t="shared" ca="1" si="8"/>
        <v>99.999999999999957</v>
      </c>
      <c r="Q165">
        <f t="shared" si="9"/>
        <v>0</v>
      </c>
      <c r="R165" s="169">
        <f t="shared" si="10"/>
        <v>0</v>
      </c>
    </row>
    <row r="166" spans="2:18">
      <c r="B166" s="1400"/>
      <c r="P166">
        <f t="shared" ca="1" si="8"/>
        <v>99.999999999999957</v>
      </c>
      <c r="Q166">
        <f t="shared" si="9"/>
        <v>0</v>
      </c>
      <c r="R166" s="169">
        <f t="shared" si="10"/>
        <v>0</v>
      </c>
    </row>
    <row r="167" spans="2:18">
      <c r="B167" s="1400"/>
      <c r="P167">
        <f t="shared" ca="1" si="8"/>
        <v>99.999999999999957</v>
      </c>
      <c r="Q167">
        <f t="shared" si="9"/>
        <v>0</v>
      </c>
      <c r="R167" s="169">
        <f t="shared" si="10"/>
        <v>0</v>
      </c>
    </row>
    <row r="168" spans="2:18">
      <c r="B168" s="1400"/>
      <c r="P168">
        <f t="shared" ca="1" si="8"/>
        <v>99.999999999999957</v>
      </c>
      <c r="Q168">
        <f t="shared" si="9"/>
        <v>0</v>
      </c>
      <c r="R168" s="169">
        <f t="shared" si="10"/>
        <v>0</v>
      </c>
    </row>
    <row r="169" spans="2:18">
      <c r="B169" s="1400"/>
      <c r="P169">
        <f t="shared" ca="1" si="8"/>
        <v>99.999999999999957</v>
      </c>
      <c r="Q169">
        <f t="shared" si="9"/>
        <v>0</v>
      </c>
      <c r="R169" s="169">
        <f t="shared" si="10"/>
        <v>0</v>
      </c>
    </row>
    <row r="170" spans="2:18">
      <c r="B170" s="1400"/>
      <c r="P170">
        <f t="shared" ca="1" si="8"/>
        <v>99.999999999999957</v>
      </c>
      <c r="Q170">
        <f t="shared" si="9"/>
        <v>0</v>
      </c>
      <c r="R170" s="169">
        <f t="shared" si="10"/>
        <v>0</v>
      </c>
    </row>
    <row r="171" spans="2:18">
      <c r="B171" s="1400"/>
      <c r="P171">
        <f t="shared" ca="1" si="8"/>
        <v>99.999999999999957</v>
      </c>
      <c r="Q171">
        <f t="shared" si="9"/>
        <v>0</v>
      </c>
      <c r="R171" s="169">
        <f t="shared" si="10"/>
        <v>0</v>
      </c>
    </row>
    <row r="172" spans="2:18">
      <c r="B172" s="1400"/>
      <c r="P172">
        <f t="shared" ca="1" si="8"/>
        <v>99.999999999999957</v>
      </c>
      <c r="Q172">
        <f t="shared" si="9"/>
        <v>0</v>
      </c>
      <c r="R172" s="169">
        <f t="shared" si="10"/>
        <v>0</v>
      </c>
    </row>
    <row r="173" spans="2:18">
      <c r="B173" s="1400"/>
      <c r="P173">
        <f t="shared" ca="1" si="8"/>
        <v>99.999999999999957</v>
      </c>
      <c r="Q173">
        <f t="shared" si="9"/>
        <v>0</v>
      </c>
      <c r="R173" s="169">
        <f t="shared" si="10"/>
        <v>0</v>
      </c>
    </row>
    <row r="174" spans="2:18">
      <c r="B174" s="1400"/>
      <c r="P174">
        <f t="shared" ca="1" si="8"/>
        <v>99.999999999999957</v>
      </c>
      <c r="Q174">
        <f t="shared" si="9"/>
        <v>0</v>
      </c>
      <c r="R174" s="169">
        <f t="shared" si="10"/>
        <v>0</v>
      </c>
    </row>
    <row r="175" spans="2:18">
      <c r="B175" s="1400"/>
      <c r="P175">
        <f t="shared" ca="1" si="8"/>
        <v>99.999999999999957</v>
      </c>
      <c r="Q175">
        <f t="shared" si="9"/>
        <v>0</v>
      </c>
      <c r="R175" s="169">
        <f t="shared" si="10"/>
        <v>0</v>
      </c>
    </row>
    <row r="176" spans="2:18">
      <c r="B176" s="1400"/>
      <c r="P176">
        <f t="shared" ca="1" si="8"/>
        <v>99.999999999999957</v>
      </c>
      <c r="Q176">
        <f t="shared" si="9"/>
        <v>0</v>
      </c>
      <c r="R176" s="169">
        <f t="shared" si="10"/>
        <v>0</v>
      </c>
    </row>
    <row r="177" spans="2:18">
      <c r="B177" s="1400"/>
      <c r="P177">
        <f t="shared" ca="1" si="8"/>
        <v>99.999999999999957</v>
      </c>
      <c r="Q177">
        <f t="shared" si="9"/>
        <v>0</v>
      </c>
      <c r="R177" s="169">
        <f t="shared" si="10"/>
        <v>0</v>
      </c>
    </row>
    <row r="178" spans="2:18">
      <c r="B178" s="1400"/>
      <c r="P178">
        <f t="shared" ca="1" si="8"/>
        <v>99.999999999999957</v>
      </c>
      <c r="Q178">
        <f t="shared" si="9"/>
        <v>0</v>
      </c>
      <c r="R178" s="169">
        <f t="shared" si="10"/>
        <v>0</v>
      </c>
    </row>
    <row r="179" spans="2:18">
      <c r="B179" s="1400"/>
      <c r="P179">
        <f t="shared" ca="1" si="8"/>
        <v>99.999999999999957</v>
      </c>
      <c r="Q179">
        <f t="shared" si="9"/>
        <v>0</v>
      </c>
      <c r="R179" s="169">
        <f t="shared" si="10"/>
        <v>0</v>
      </c>
    </row>
    <row r="180" spans="2:18">
      <c r="B180" s="1400"/>
      <c r="P180">
        <f t="shared" ca="1" si="8"/>
        <v>99.999999999999957</v>
      </c>
      <c r="Q180">
        <f t="shared" si="9"/>
        <v>0</v>
      </c>
      <c r="R180" s="169">
        <f t="shared" si="10"/>
        <v>0</v>
      </c>
    </row>
    <row r="181" spans="2:18">
      <c r="B181" s="1400"/>
      <c r="P181">
        <f t="shared" ca="1" si="8"/>
        <v>99.999999999999957</v>
      </c>
      <c r="Q181">
        <f t="shared" si="9"/>
        <v>0</v>
      </c>
      <c r="R181" s="169">
        <f t="shared" si="10"/>
        <v>0</v>
      </c>
    </row>
    <row r="182" spans="2:18">
      <c r="B182" s="1400"/>
      <c r="P182">
        <f t="shared" ca="1" si="8"/>
        <v>99.999999999999957</v>
      </c>
      <c r="Q182">
        <f t="shared" si="9"/>
        <v>0</v>
      </c>
      <c r="R182" s="169">
        <f t="shared" si="10"/>
        <v>0</v>
      </c>
    </row>
    <row r="183" spans="2:18">
      <c r="B183" s="1400"/>
      <c r="P183">
        <f t="shared" ca="1" si="8"/>
        <v>99.999999999999957</v>
      </c>
      <c r="Q183">
        <f t="shared" si="9"/>
        <v>0</v>
      </c>
      <c r="R183" s="169">
        <f t="shared" si="10"/>
        <v>0</v>
      </c>
    </row>
    <row r="184" spans="2:18">
      <c r="B184" s="1400"/>
      <c r="P184">
        <f t="shared" ca="1" si="8"/>
        <v>99.999999999999957</v>
      </c>
      <c r="Q184">
        <f t="shared" si="9"/>
        <v>0</v>
      </c>
      <c r="R184" s="169">
        <f t="shared" si="10"/>
        <v>0</v>
      </c>
    </row>
    <row r="185" spans="2:18">
      <c r="B185" s="1400"/>
      <c r="P185">
        <f t="shared" ca="1" si="8"/>
        <v>99.999999999999957</v>
      </c>
      <c r="Q185">
        <f t="shared" si="9"/>
        <v>0</v>
      </c>
      <c r="R185" s="169">
        <f t="shared" si="10"/>
        <v>0</v>
      </c>
    </row>
    <row r="186" spans="2:18">
      <c r="B186" s="1400"/>
      <c r="P186">
        <f t="shared" ca="1" si="8"/>
        <v>99.999999999999957</v>
      </c>
      <c r="Q186">
        <f t="shared" si="9"/>
        <v>0</v>
      </c>
      <c r="R186" s="169">
        <f t="shared" si="10"/>
        <v>0</v>
      </c>
    </row>
    <row r="187" spans="2:18">
      <c r="B187" s="1400"/>
      <c r="P187">
        <f t="shared" ca="1" si="8"/>
        <v>99.999999999999957</v>
      </c>
      <c r="Q187">
        <f t="shared" si="9"/>
        <v>0</v>
      </c>
      <c r="R187" s="169">
        <f t="shared" si="10"/>
        <v>0</v>
      </c>
    </row>
    <row r="188" spans="2:18">
      <c r="B188" s="1400"/>
      <c r="P188">
        <f t="shared" ca="1" si="8"/>
        <v>99.999999999999957</v>
      </c>
      <c r="Q188">
        <f t="shared" si="9"/>
        <v>0</v>
      </c>
      <c r="R188" s="169">
        <f t="shared" si="10"/>
        <v>0</v>
      </c>
    </row>
    <row r="189" spans="2:18">
      <c r="B189" s="1400"/>
      <c r="P189">
        <f t="shared" ca="1" si="8"/>
        <v>99.999999999999957</v>
      </c>
      <c r="Q189">
        <f t="shared" si="9"/>
        <v>0</v>
      </c>
      <c r="R189" s="169">
        <f t="shared" si="10"/>
        <v>0</v>
      </c>
    </row>
    <row r="190" spans="2:18">
      <c r="B190" s="1400"/>
      <c r="P190">
        <f t="shared" ca="1" si="8"/>
        <v>99.999999999999957</v>
      </c>
      <c r="Q190">
        <f t="shared" si="9"/>
        <v>0</v>
      </c>
      <c r="R190" s="169">
        <f t="shared" si="10"/>
        <v>0</v>
      </c>
    </row>
    <row r="191" spans="2:18">
      <c r="B191" s="1400"/>
      <c r="P191">
        <f t="shared" ca="1" si="8"/>
        <v>99.999999999999957</v>
      </c>
      <c r="Q191">
        <f t="shared" si="9"/>
        <v>0</v>
      </c>
      <c r="R191" s="169">
        <f t="shared" si="10"/>
        <v>0</v>
      </c>
    </row>
    <row r="192" spans="2:18">
      <c r="B192" s="1400"/>
      <c r="P192">
        <f t="shared" ca="1" si="8"/>
        <v>99.999999999999957</v>
      </c>
      <c r="Q192">
        <f t="shared" si="9"/>
        <v>0</v>
      </c>
      <c r="R192" s="169">
        <f t="shared" si="10"/>
        <v>0</v>
      </c>
    </row>
    <row r="193" spans="2:18">
      <c r="B193" s="1400"/>
      <c r="P193">
        <f t="shared" ca="1" si="8"/>
        <v>99.999999999999957</v>
      </c>
      <c r="Q193">
        <f t="shared" si="9"/>
        <v>0</v>
      </c>
      <c r="R193" s="169">
        <f t="shared" si="10"/>
        <v>0</v>
      </c>
    </row>
    <row r="194" spans="2:18">
      <c r="B194" s="1400"/>
      <c r="P194">
        <f t="shared" ca="1" si="8"/>
        <v>99.999999999999957</v>
      </c>
      <c r="Q194">
        <f t="shared" si="9"/>
        <v>0</v>
      </c>
      <c r="R194" s="169">
        <f t="shared" si="10"/>
        <v>0</v>
      </c>
    </row>
    <row r="195" spans="2:18">
      <c r="B195" s="1400"/>
      <c r="P195">
        <f t="shared" ref="P195:P223" ca="1" si="11">(L195/O$2*100+P194)</f>
        <v>99.999999999999957</v>
      </c>
      <c r="Q195">
        <f t="shared" ref="Q195:Q223" si="12">IF(M195="kg",1,_xlfn.XLOOKUP(K195,Y:Y,Z:Z,0))</f>
        <v>0</v>
      </c>
      <c r="R195" s="169">
        <f t="shared" si="10"/>
        <v>0</v>
      </c>
    </row>
    <row r="196" spans="2:18">
      <c r="B196" s="1400"/>
      <c r="P196">
        <f t="shared" ca="1" si="11"/>
        <v>99.999999999999957</v>
      </c>
      <c r="Q196">
        <f t="shared" si="12"/>
        <v>0</v>
      </c>
      <c r="R196" s="169">
        <f t="shared" ref="R196:R223" si="13">N196*Q196/1000</f>
        <v>0</v>
      </c>
    </row>
    <row r="197" spans="2:18">
      <c r="B197" s="1400"/>
      <c r="P197">
        <f t="shared" ca="1" si="11"/>
        <v>99.999999999999957</v>
      </c>
      <c r="Q197">
        <f t="shared" si="12"/>
        <v>0</v>
      </c>
      <c r="R197" s="169">
        <f t="shared" si="13"/>
        <v>0</v>
      </c>
    </row>
    <row r="198" spans="2:18">
      <c r="B198" s="1400"/>
      <c r="P198">
        <f t="shared" ca="1" si="11"/>
        <v>99.999999999999957</v>
      </c>
      <c r="Q198">
        <f t="shared" si="12"/>
        <v>0</v>
      </c>
      <c r="R198" s="169">
        <f t="shared" si="13"/>
        <v>0</v>
      </c>
    </row>
    <row r="199" spans="2:18">
      <c r="B199" s="1400"/>
      <c r="P199">
        <f t="shared" ca="1" si="11"/>
        <v>99.999999999999957</v>
      </c>
      <c r="Q199">
        <f t="shared" si="12"/>
        <v>0</v>
      </c>
      <c r="R199" s="169">
        <f t="shared" si="13"/>
        <v>0</v>
      </c>
    </row>
    <row r="200" spans="2:18">
      <c r="B200" s="1400"/>
      <c r="P200">
        <f t="shared" ca="1" si="11"/>
        <v>99.999999999999957</v>
      </c>
      <c r="Q200">
        <f t="shared" si="12"/>
        <v>0</v>
      </c>
      <c r="R200" s="169">
        <f t="shared" si="13"/>
        <v>0</v>
      </c>
    </row>
    <row r="201" spans="2:18">
      <c r="B201" s="1400"/>
      <c r="P201">
        <f t="shared" ca="1" si="11"/>
        <v>99.999999999999957</v>
      </c>
      <c r="Q201">
        <f t="shared" si="12"/>
        <v>0</v>
      </c>
      <c r="R201" s="169">
        <f t="shared" si="13"/>
        <v>0</v>
      </c>
    </row>
    <row r="202" spans="2:18">
      <c r="B202" s="1400"/>
      <c r="P202">
        <f t="shared" ca="1" si="11"/>
        <v>99.999999999999957</v>
      </c>
      <c r="Q202">
        <f t="shared" si="12"/>
        <v>0</v>
      </c>
      <c r="R202" s="169">
        <f t="shared" si="13"/>
        <v>0</v>
      </c>
    </row>
    <row r="203" spans="2:18">
      <c r="B203" s="1400"/>
      <c r="P203">
        <f t="shared" ca="1" si="11"/>
        <v>99.999999999999957</v>
      </c>
      <c r="Q203">
        <f t="shared" si="12"/>
        <v>0</v>
      </c>
      <c r="R203" s="169">
        <f t="shared" si="13"/>
        <v>0</v>
      </c>
    </row>
    <row r="204" spans="2:18">
      <c r="B204" s="1400"/>
      <c r="P204">
        <f t="shared" ca="1" si="11"/>
        <v>99.999999999999957</v>
      </c>
      <c r="Q204">
        <f t="shared" si="12"/>
        <v>0</v>
      </c>
      <c r="R204" s="169">
        <f t="shared" si="13"/>
        <v>0</v>
      </c>
    </row>
    <row r="205" spans="2:18">
      <c r="B205" s="1400"/>
      <c r="P205">
        <f t="shared" ca="1" si="11"/>
        <v>99.999999999999957</v>
      </c>
      <c r="Q205">
        <f t="shared" si="12"/>
        <v>0</v>
      </c>
      <c r="R205" s="169">
        <f t="shared" si="13"/>
        <v>0</v>
      </c>
    </row>
    <row r="206" spans="2:18">
      <c r="B206" s="1400"/>
      <c r="P206">
        <f t="shared" ca="1" si="11"/>
        <v>99.999999999999957</v>
      </c>
      <c r="Q206">
        <f t="shared" si="12"/>
        <v>0</v>
      </c>
      <c r="R206" s="169">
        <f t="shared" si="13"/>
        <v>0</v>
      </c>
    </row>
    <row r="207" spans="2:18">
      <c r="B207" s="1400"/>
      <c r="P207">
        <f t="shared" ca="1" si="11"/>
        <v>99.999999999999957</v>
      </c>
      <c r="Q207">
        <f t="shared" si="12"/>
        <v>0</v>
      </c>
      <c r="R207" s="169">
        <f t="shared" si="13"/>
        <v>0</v>
      </c>
    </row>
    <row r="208" spans="2:18">
      <c r="B208" s="1400"/>
      <c r="P208">
        <f t="shared" ca="1" si="11"/>
        <v>99.999999999999957</v>
      </c>
      <c r="Q208">
        <f t="shared" si="12"/>
        <v>0</v>
      </c>
      <c r="R208" s="169">
        <f t="shared" si="13"/>
        <v>0</v>
      </c>
    </row>
    <row r="209" spans="2:18">
      <c r="B209" s="1400"/>
      <c r="P209">
        <f t="shared" ca="1" si="11"/>
        <v>99.999999999999957</v>
      </c>
      <c r="Q209">
        <f t="shared" si="12"/>
        <v>0</v>
      </c>
      <c r="R209" s="169">
        <f t="shared" si="13"/>
        <v>0</v>
      </c>
    </row>
    <row r="210" spans="2:18">
      <c r="B210" s="1400"/>
      <c r="P210">
        <f t="shared" ca="1" si="11"/>
        <v>99.999999999999957</v>
      </c>
      <c r="Q210">
        <f t="shared" si="12"/>
        <v>0</v>
      </c>
      <c r="R210" s="169">
        <f t="shared" si="13"/>
        <v>0</v>
      </c>
    </row>
    <row r="211" spans="2:18">
      <c r="B211" s="1400"/>
      <c r="P211">
        <f t="shared" ca="1" si="11"/>
        <v>99.999999999999957</v>
      </c>
      <c r="Q211">
        <f t="shared" si="12"/>
        <v>0</v>
      </c>
      <c r="R211" s="169">
        <f t="shared" si="13"/>
        <v>0</v>
      </c>
    </row>
    <row r="212" spans="2:18">
      <c r="B212" s="1400"/>
      <c r="P212">
        <f t="shared" ca="1" si="11"/>
        <v>99.999999999999957</v>
      </c>
      <c r="Q212">
        <f t="shared" si="12"/>
        <v>0</v>
      </c>
      <c r="R212" s="169">
        <f t="shared" si="13"/>
        <v>0</v>
      </c>
    </row>
    <row r="213" spans="2:18">
      <c r="B213" s="1400"/>
      <c r="P213">
        <f t="shared" ca="1" si="11"/>
        <v>99.999999999999957</v>
      </c>
      <c r="Q213">
        <f t="shared" si="12"/>
        <v>0</v>
      </c>
      <c r="R213" s="169">
        <f t="shared" si="13"/>
        <v>0</v>
      </c>
    </row>
    <row r="214" spans="2:18">
      <c r="B214" s="1400"/>
      <c r="P214">
        <f t="shared" ca="1" si="11"/>
        <v>99.999999999999957</v>
      </c>
      <c r="Q214">
        <f t="shared" si="12"/>
        <v>0</v>
      </c>
      <c r="R214" s="169">
        <f t="shared" si="13"/>
        <v>0</v>
      </c>
    </row>
    <row r="215" spans="2:18">
      <c r="B215" s="1400"/>
      <c r="P215">
        <f t="shared" ca="1" si="11"/>
        <v>99.999999999999957</v>
      </c>
      <c r="Q215">
        <f t="shared" si="12"/>
        <v>0</v>
      </c>
      <c r="R215" s="169">
        <f t="shared" si="13"/>
        <v>0</v>
      </c>
    </row>
    <row r="216" spans="2:18">
      <c r="B216" s="1400"/>
      <c r="P216">
        <f t="shared" ca="1" si="11"/>
        <v>99.999999999999957</v>
      </c>
      <c r="Q216">
        <f t="shared" si="12"/>
        <v>0</v>
      </c>
      <c r="R216" s="169">
        <f t="shared" si="13"/>
        <v>0</v>
      </c>
    </row>
    <row r="217" spans="2:18">
      <c r="B217" s="1400"/>
      <c r="P217">
        <f t="shared" ca="1" si="11"/>
        <v>99.999999999999957</v>
      </c>
      <c r="Q217">
        <f t="shared" si="12"/>
        <v>0</v>
      </c>
      <c r="R217" s="169">
        <f t="shared" si="13"/>
        <v>0</v>
      </c>
    </row>
    <row r="218" spans="2:18">
      <c r="B218" s="1400"/>
      <c r="P218">
        <f t="shared" ca="1" si="11"/>
        <v>99.999999999999957</v>
      </c>
      <c r="Q218">
        <f t="shared" si="12"/>
        <v>0</v>
      </c>
      <c r="R218" s="169">
        <f t="shared" si="13"/>
        <v>0</v>
      </c>
    </row>
    <row r="219" spans="2:18">
      <c r="B219" s="1400"/>
      <c r="P219">
        <f t="shared" ca="1" si="11"/>
        <v>99.999999999999957</v>
      </c>
      <c r="Q219">
        <f t="shared" si="12"/>
        <v>0</v>
      </c>
      <c r="R219" s="169">
        <f t="shared" si="13"/>
        <v>0</v>
      </c>
    </row>
    <row r="220" spans="2:18">
      <c r="B220" s="1400"/>
      <c r="P220">
        <f t="shared" ca="1" si="11"/>
        <v>99.999999999999957</v>
      </c>
      <c r="Q220">
        <f t="shared" si="12"/>
        <v>0</v>
      </c>
      <c r="R220" s="169">
        <f t="shared" si="13"/>
        <v>0</v>
      </c>
    </row>
    <row r="221" spans="2:18">
      <c r="B221" s="1400"/>
      <c r="P221">
        <f t="shared" ca="1" si="11"/>
        <v>99.999999999999957</v>
      </c>
      <c r="Q221">
        <f t="shared" si="12"/>
        <v>0</v>
      </c>
      <c r="R221" s="169">
        <f t="shared" si="13"/>
        <v>0</v>
      </c>
    </row>
    <row r="222" spans="2:18">
      <c r="B222" s="1400"/>
      <c r="P222">
        <f t="shared" ca="1" si="11"/>
        <v>99.999999999999957</v>
      </c>
      <c r="Q222">
        <f t="shared" si="12"/>
        <v>0</v>
      </c>
      <c r="R222" s="169">
        <f t="shared" si="13"/>
        <v>0</v>
      </c>
    </row>
    <row r="223" spans="2:18">
      <c r="B223" s="1400"/>
      <c r="P223">
        <f t="shared" ca="1" si="11"/>
        <v>99.999999999999957</v>
      </c>
      <c r="Q223">
        <f t="shared" si="12"/>
        <v>0</v>
      </c>
      <c r="R223" s="169">
        <f t="shared" si="13"/>
        <v>0</v>
      </c>
    </row>
    <row r="224" spans="2:18">
      <c r="B224" s="1400"/>
    </row>
    <row r="225" spans="2:2">
      <c r="B225" s="1400"/>
    </row>
    <row r="226" spans="2:2">
      <c r="B226" s="1400"/>
    </row>
    <row r="227" spans="2:2">
      <c r="B227" s="1400"/>
    </row>
    <row r="228" spans="2:2">
      <c r="B228" s="1400"/>
    </row>
  </sheetData>
  <customSheetViews>
    <customSheetView guid="{54A7C567-FA7D-467E-B353-ECB5E61AE756}" scale="85" topLeftCell="A4">
      <selection activeCell="I30" sqref="I30"/>
      <pageMargins left="0" right="0" top="0" bottom="0" header="0" footer="0"/>
    </customSheetView>
  </customSheetView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9</vt:i4>
      </vt:variant>
    </vt:vector>
  </HeadingPairs>
  <TitlesOfParts>
    <vt:vector size="30" baseType="lpstr">
      <vt:lpstr>Info</vt:lpstr>
      <vt:lpstr>Aide</vt:lpstr>
      <vt:lpstr>Outil simplifié</vt:lpstr>
      <vt:lpstr>Hypothèses</vt:lpstr>
      <vt:lpstr>Proposition calcul PV</vt:lpstr>
      <vt:lpstr>Liste</vt:lpstr>
      <vt:lpstr>Cibles</vt:lpstr>
      <vt:lpstr>Graphes_Background</vt:lpstr>
      <vt:lpstr>List of materials</vt:lpstr>
      <vt:lpstr>Exploitation</vt:lpstr>
      <vt:lpstr>Outil détaillé</vt:lpstr>
      <vt:lpstr>Décomposition</vt:lpstr>
      <vt:lpstr>Travaux préparatoires</vt:lpstr>
      <vt:lpstr>Enveloppe du bâtiment sout.</vt:lpstr>
      <vt:lpstr>Enveloppe du bâtiment hors terr</vt:lpstr>
      <vt:lpstr>Eléments de constr. inté. et ex</vt:lpstr>
      <vt:lpstr>Installations</vt:lpstr>
      <vt:lpstr>Baumaterialien Matériaux</vt:lpstr>
      <vt:lpstr>Gebäudetechnik Technique du bât</vt:lpstr>
      <vt:lpstr>Energie Energie</vt:lpstr>
      <vt:lpstr>Transporte Transports</vt:lpstr>
      <vt:lpstr>Aide!Print_Area</vt:lpstr>
      <vt:lpstr>Hypothèses!Print_Area</vt:lpstr>
      <vt:lpstr>Info!Print_Area</vt:lpstr>
      <vt:lpstr>'Outil détaillé'!Print_Area</vt:lpstr>
      <vt:lpstr>'Outil simplifié'!Print_Area</vt:lpstr>
      <vt:lpstr>Aide!Zone_d_impression</vt:lpstr>
      <vt:lpstr>Hypothèses!Zone_d_impression</vt:lpstr>
      <vt:lpstr>'Outil détaillé'!Zone_d_impression</vt:lpstr>
      <vt:lpstr>'Outil simplifié'!Zone_d_impression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Office-Anwender</dc:creator>
  <cp:keywords/>
  <dc:description/>
  <cp:lastModifiedBy>Schulthess Lucile</cp:lastModifiedBy>
  <cp:revision/>
  <cp:lastPrinted>2024-03-19T10:21:19Z</cp:lastPrinted>
  <dcterms:created xsi:type="dcterms:W3CDTF">2017-04-28T10:25:38Z</dcterms:created>
  <dcterms:modified xsi:type="dcterms:W3CDTF">2024-04-03T08:39:18Z</dcterms:modified>
  <cp:category/>
  <cp:contentStatus/>
</cp:coreProperties>
</file>